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/>
  </bookViews>
  <sheets>
    <sheet name="Readme" sheetId="1" r:id="rId1"/>
    <sheet name="Inputs" sheetId="2" r:id="rId2"/>
    <sheet name="Timing" sheetId="3" r:id="rId3"/>
    <sheet name="Construction" sheetId="4" r:id="rId4"/>
    <sheet name="Operations" sheetId="5" r:id="rId5"/>
    <sheet name="Tax" sheetId="6" r:id="rId6"/>
    <sheet name="Debt" sheetId="7" r:id="rId7"/>
    <sheet name="Waterfall" sheetId="8" r:id="rId8"/>
    <sheet name="Statements" sheetId="9" r:id="rId9"/>
    <sheet name="Results" sheetId="10" r:id="rId10"/>
    <sheet name="Checks" sheetId="11" r:id="rId11"/>
    <sheet name="Scenarios" sheetId="12" r:id="rId12"/>
    <sheet name="Sensitivities" sheetId="13" r:id="rId13"/>
    <sheet name="Sources" sheetId="14" r:id="rId14"/>
  </sheets>
  <definedNames>
    <definedName name="_xlnm.Print_Titles" localSheetId="2">Timing!$A:$B,Timing!$1:$4</definedName>
    <definedName name="_xlnm.Print_Titles" localSheetId="3">Construction!$A:$B,Construction!$1:$4</definedName>
    <definedName name="_xlnm.Print_Titles" localSheetId="4">Operations!$A:$B,Operations!$1:$4</definedName>
    <definedName name="_xlnm.Print_Titles" localSheetId="5">Tax!$A:$B,Tax!$1:$4</definedName>
    <definedName name="_xlnm.Print_Titles" localSheetId="6">Debt!$A:$B,Debt!$1:$4</definedName>
    <definedName name="_xlnm.Print_Titles" localSheetId="7">Waterfall!$A:$B,Waterfall!$1:$4</definedName>
    <definedName name="_xlnm.Print_Titles" localSheetId="8">Statements!$A:$B,Statements!$1:$4</definedName>
    <definedName name="_xlnm.Print_Titles" localSheetId="9">Results!$A:$B,Results!$1:$4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#,##0.00#"/>
    <numFmt numFmtId="165" formatCode="#,##0.00##"/>
    <numFmt numFmtId="166" formatCode="#,##0.00##"/>
    <numFmt numFmtId="167" formatCode="0.0%"/>
    <numFmt numFmtId="168" formatCode="0.00#%"/>
    <numFmt numFmtId="169" formatCode="yyyy-mm-dd"/>
    <numFmt numFmtId="170" formatCode="0.00&quot;x&quot;"/>
  </numFmts>
  <fonts count="8"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FF"/>
      <name val="Calibri"/>
      <family val="2"/>
    </font>
    <font>
      <sz val="10"/>
      <color rgb="FF008000"/>
      <name val="Calibri"/>
      <family val="2"/>
    </font>
    <font>
      <b/>
      <sz val="10"/>
      <color rgb="FFFFFFFF"/>
      <name val="Calibri"/>
      <family val="2"/>
    </font>
    <font>
      <i/>
      <sz val="9"/>
      <color rgb="FF595959"/>
      <name val="Calibri"/>
      <family val="2"/>
    </font>
    <font>
      <b/>
      <sz val="14"/>
      <color rgb="FF1F3864"/>
      <name val="Calibri"/>
      <family val="2"/>
    </font>
    <font>
      <b/>
      <sz val="11"/>
      <color rgb="FF1F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4" fillId="5" borderId="0" xfId="0" applyNumberFormat="1" applyFont="1" applyFill="1" applyBorder="1"/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3" fontId="1" fillId="0" borderId="0" xfId="0" applyNumberFormat="1" applyFont="1" applyFill="1" applyBorder="1"/>
    <xf numFmtId="3" fontId="2" fillId="2" borderId="0" xfId="0" applyNumberFormat="1" applyFont="1" applyFill="1" applyBorder="1"/>
    <xf numFmtId="0" fontId="5" fillId="0" borderId="0" xfId="0" applyNumberFormat="1" applyFont="1" applyFill="1" applyBorder="1"/>
    <xf numFmtId="4" fontId="2" fillId="2" borderId="0" xfId="0" applyNumberFormat="1" applyFont="1" applyFill="1" applyBorder="1"/>
    <xf numFmtId="169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2" borderId="0" xfId="0" applyNumberFormat="1" applyFont="1" applyFill="1" applyBorder="1"/>
    <xf numFmtId="10" fontId="2" fillId="2" borderId="0" xfId="0" applyNumberFormat="1" applyFont="1" applyFill="1" applyBorder="1"/>
    <xf numFmtId="164" fontId="2" fillId="2" borderId="0" xfId="0" applyNumberFormat="1" applyFont="1" applyFill="1" applyBorder="1"/>
    <xf numFmtId="0" fontId="1" fillId="4" borderId="1" xfId="0" applyNumberFormat="1" applyFont="1" applyFill="1" applyBorder="1"/>
    <xf numFmtId="1" fontId="2" fillId="2" borderId="0" xfId="0" applyNumberFormat="1" applyFont="1" applyFill="1" applyBorder="1"/>
    <xf numFmtId="170" fontId="2" fillId="2" borderId="0" xfId="0" applyNumberFormat="1" applyFont="1" applyFill="1" applyBorder="1"/>
    <xf numFmtId="168" fontId="2" fillId="2" borderId="0" xfId="0" applyNumberFormat="1" applyFont="1" applyFill="1" applyBorder="1"/>
    <xf numFmtId="165" fontId="0" fillId="0" borderId="0" xfId="0" applyNumberFormat="1" applyFont="1" applyFill="1" applyBorder="1"/>
    <xf numFmtId="10" fontId="0" fillId="0" borderId="0" xfId="0" applyNumberFormat="1" applyFont="1" applyFill="1" applyBorder="1"/>
    <xf numFmtId="3" fontId="0" fillId="0" borderId="0" xfId="0" applyNumberFormat="1" applyFont="1" applyFill="1" applyBorder="1"/>
    <xf numFmtId="167" fontId="0" fillId="0" borderId="0" xfId="0" applyNumberFormat="1" applyFont="1" applyFill="1" applyBorder="1"/>
    <xf numFmtId="1" fontId="0" fillId="0" borderId="0" xfId="0" applyNumberFormat="1" applyFont="1" applyFill="1" applyBorder="1"/>
    <xf numFmtId="4" fontId="0" fillId="0" borderId="0" xfId="0" applyNumberFormat="1" applyFont="1" applyFill="1" applyBorder="1"/>
    <xf numFmtId="169" fontId="0" fillId="0" borderId="0" xfId="0" applyNumberFormat="1" applyFont="1" applyFill="1" applyBorder="1"/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4" fontId="1" fillId="3" borderId="0" xfId="0" applyNumberFormat="1" applyFont="1" applyFill="1" applyBorder="1"/>
    <xf numFmtId="169" fontId="1" fillId="3" borderId="0" xfId="0" applyNumberFormat="1" applyFont="1" applyFill="1" applyBorder="1"/>
    <xf numFmtId="3" fontId="1" fillId="3" borderId="0" xfId="0" applyNumberFormat="1" applyFont="1" applyFill="1" applyBorder="1"/>
    <xf numFmtId="0" fontId="1" fillId="3" borderId="0" xfId="0" applyNumberFormat="1" applyFont="1" applyFill="1" applyBorder="1"/>
    <xf numFmtId="1" fontId="1" fillId="4" borderId="1" xfId="0" applyNumberFormat="1" applyFont="1" applyFill="1" applyBorder="1"/>
    <xf numFmtId="169" fontId="3" fillId="0" borderId="0" xfId="0" applyNumberFormat="1" applyFont="1" applyFill="1" applyBorder="1"/>
    <xf numFmtId="166" fontId="0" fillId="0" borderId="0" xfId="0" applyNumberFormat="1" applyFont="1" applyFill="1" applyBorder="1"/>
    <xf numFmtId="1" fontId="0" fillId="0" borderId="0" xfId="0" applyNumberFormat="1" applyFont="1" applyFill="1" applyBorder="1"/>
    <xf numFmtId="166" fontId="0" fillId="0" borderId="0" xfId="0" applyNumberFormat="1" applyFont="1" applyFill="1" applyBorder="1"/>
    <xf numFmtId="3" fontId="1" fillId="4" borderId="1" xfId="0" applyNumberFormat="1" applyFont="1" applyFill="1" applyBorder="1"/>
    <xf numFmtId="0" fontId="1" fillId="0" borderId="2" xfId="0" applyNumberFormat="1" applyFont="1" applyFill="1" applyBorder="1"/>
    <xf numFmtId="3" fontId="1" fillId="0" borderId="2" xfId="0" applyNumberFormat="1" applyFont="1" applyFill="1" applyBorder="1"/>
    <xf numFmtId="167" fontId="3" fillId="0" borderId="0" xfId="0" applyNumberFormat="1" applyFont="1" applyFill="1" applyBorder="1"/>
    <xf numFmtId="164" fontId="0" fillId="0" borderId="0" xfId="0" applyNumberFormat="1" applyFont="1" applyFill="1" applyBorder="1"/>
    <xf numFmtId="3" fontId="3" fillId="0" borderId="0" xfId="0" applyNumberFormat="1" applyFont="1" applyFill="1" applyBorder="1"/>
    <xf numFmtId="170" fontId="0" fillId="0" borderId="0" xfId="0" applyNumberFormat="1" applyFont="1" applyFill="1" applyBorder="1"/>
    <xf numFmtId="170" fontId="1" fillId="0" borderId="2" xfId="0" applyNumberFormat="1" applyFont="1" applyFill="1" applyBorder="1"/>
    <xf numFmtId="10" fontId="0" fillId="6" borderId="0" xfId="0" applyNumberFormat="1" applyFont="1" applyFill="1" applyBorder="1"/>
    <xf numFmtId="10" fontId="1" fillId="0" borderId="2" xfId="0" applyNumberFormat="1" applyFont="1" applyFill="1" applyBorder="1"/>
    <xf numFmtId="4" fontId="1" fillId="0" borderId="2" xfId="0" applyNumberFormat="1" applyFont="1" applyFill="1" applyBorder="1"/>
    <xf numFmtId="1" fontId="1" fillId="0" borderId="2" xfId="0" applyNumberFormat="1" applyFont="1" applyFill="1" applyBorder="1"/>
    <xf numFmtId="10" fontId="3" fillId="0" borderId="0" xfId="0" applyNumberFormat="1" applyFont="1" applyFill="1" applyBorder="1"/>
    <xf numFmtId="3" fontId="0" fillId="6" borderId="0" xfId="0" applyNumberFormat="1" applyFont="1" applyFill="1" applyBorder="1"/>
    <xf numFmtId="4" fontId="3" fillId="0" borderId="0" xfId="0" applyNumberFormat="1" applyFont="1" applyFill="1" applyBorder="1"/>
    <xf numFmtId="4" fontId="0" fillId="6" borderId="0" xfId="0" applyNumberFormat="1" applyFont="1" applyFill="1" applyBorder="1"/>
    <xf numFmtId="170" fontId="3" fillId="0" borderId="0" xfId="0" applyNumberFormat="1" applyFont="1" applyFill="1" applyBorder="1"/>
    <xf numFmtId="170" fontId="0" fillId="6" borderId="0" xfId="0" applyNumberFormat="1" applyFont="1" applyFill="1" applyBorder="1"/>
    <xf numFmtId="0" fontId="0" fillId="6" borderId="0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85"/>
  </sheetViews>
  <sheetFormatPr defaultRowHeight="13.2"/>
  <cols>
    <col min="1" max="1" width="150" customWidth="1"/>
    <col min="2" max="2" width="10" customWidth="1"/>
    <col min="3" max="3" width="14" customWidth="1"/>
  </cols>
  <sheetData>
    <row r="1">
      <c r="A1" s="1" t="inlineStr">
        <is>
          <t xml:space="preserve">Wind Farm Investment Calculator — formula workbook</t>
        </is>
      </c>
    </row>
    <row r="2">
      <c r="A2" s="2" t="inlineStr">
        <is>
          <t xml:space="preserve">Fictional wind farm “Musterhöhe” · 5 × 6.3 MW · Hesse, Germany</t>
        </is>
      </c>
    </row>
    <row r="5">
      <c r="A5" s="3" t="inlineStr">
        <is>
          <t xml:space="preserve">Illustrative calculation — not investment, tax or legal advice. The wind farm is fictional.</t>
        </is>
      </c>
    </row>
    <row r="6">
      <c r="A6" s="2" t="inlineStr">
        <is>
          <t xml:space="preserve">Engine 2.1.0 · input hash 388d9b67b9e5fe67 · data as of 2026-09-30</t>
        </is>
      </c>
    </row>
    <row r="7">
      <c r="A7" s="2" t="inlineStr">
        <is>
          <t xml:space="preserve">https://igorsabodakha.com/wind-farm-calculator/</t>
        </is>
      </c>
    </row>
    <row r="8">
      <c r="A8" s="4"/>
    </row>
    <row r="9">
      <c r="A9" s="5" t="inlineStr">
        <is>
          <t xml:space="preserve">What this workbook is</t>
        </is>
      </c>
      <c r="B9" s="5"/>
      <c r="C9" s="5"/>
    </row>
    <row r="10">
      <c r="A10" s="4" t="inlineStr">
        <is>
          <t xml:space="preserve">The project-finance model of the website, rebuilt with live spreadsheet formulas: change an input on the Inputs sheet and every result follows.</t>
        </is>
      </c>
    </row>
    <row r="11">
      <c r="A11" s="4" t="inlineStr">
        <is>
          <t xml:space="preserve">The website solves the two fixed points of the model — the loan and the total uses — and, for a sculpted loan, the principal per year. They are pasted as values (purple).</t>
        </is>
      </c>
    </row>
    <row r="12">
      <c r="A12" s="4" t="inlineStr">
        <is>
          <t xml:space="preserve">After a change, the Checks sheet shows whether the pasted loan still fits the DSCR targets. If not, re-solve on the website and download again.</t>
        </is>
      </c>
    </row>
    <row r="13">
      <c r="A13" s="4"/>
    </row>
    <row r="14">
      <c r="A14" s="5" t="inlineStr">
        <is>
          <t xml:space="preserve">What you can change here</t>
        </is>
      </c>
      <c r="B14" s="5"/>
      <c r="C14" s="5"/>
    </row>
    <row r="15">
      <c r="A15" s="4" t="inlineStr">
        <is>
          <t xml:space="preserve">Valuation only — cost of equity, nominal WACC, real WACC: the NPVs and the LCOE follow; the loan and the checks are not affected.</t>
        </is>
      </c>
    </row>
    <row r="16">
      <c r="A16" s="4" t="inlineStr">
        <is>
          <t xml:space="preserve">Everything else on the Inputs sheet that is not marked as structure — yield, prices, costs, tax, fees, DSCR targets, gearing: every formula follows with the pasted loan kept, as a lender would see it after financial close. If the Checks sheet then says “Re-solve the financing on the website”, the loan no longer fits the targets: make the same change on the website and download again.</t>
        </is>
      </c>
    </row>
    <row r="17">
      <c r="A17" s="4" t="inlineStr">
        <is>
          <t xml:space="preserve">Structure — financial close, construction period, operating life, loan term, grace years, repayment: download a new workbook. The period columns and the loan calendar depend on them.</t>
        </is>
      </c>
    </row>
    <row r="18">
      <c r="A18" s="4" t="inlineStr">
        <is>
          <t xml:space="preserve">Purple cells are the website's solution and blue-grey cells its results at download: do not edit them. Switches accept only their listed values.</t>
        </is>
      </c>
    </row>
    <row r="19">
      <c r="A19" s="4"/>
    </row>
    <row r="20">
      <c r="A20" s="5" t="inlineStr">
        <is>
          <t xml:space="preserve">Colour code</t>
        </is>
      </c>
      <c r="B20" s="5"/>
      <c r="C20" s="5"/>
    </row>
    <row r="21">
      <c r="A21" s="4" t="inlineStr">
        <is>
          <t xml:space="preserve">Blue on yellow: inputs. Black: formulas. Green: links to another sheet. Purple: solved on the website — do not edit. Blue-grey: website results at download.</t>
        </is>
      </c>
    </row>
    <row r="22">
      <c r="A22" s="4"/>
    </row>
    <row r="23">
      <c r="A23" s="5" t="inlineStr">
        <is>
          <t xml:space="preserve">Sheets</t>
        </is>
      </c>
      <c r="B23" s="5"/>
      <c r="C23" s="5"/>
    </row>
    <row r="24">
      <c r="A24" s="4" t="inlineStr">
        <is>
          <t xml:space="preserve">Inputs · Timing · Construction (monthly) · Operations · Tax · Debt (annual and monthly) · Waterfall · Statements · Results · Checks · Scenarios · Sensitivities · Sources</t>
        </is>
      </c>
    </row>
    <row r="25">
      <c r="A25" s="4" t="inlineStr">
        <is>
          <t xml:space="preserve">Every period sheet has the years in the same columns; column E holds opening values. One formula per row, copied across.</t>
        </is>
      </c>
    </row>
    <row r="26">
      <c r="A26" s="4" t="inlineStr">
        <is>
          <t xml:space="preserve">Printing: the period sheets print at 70 % across several pages, with the labels (columns A–B) and the header rows repeated on each page; the other sheets fit the page width.</t>
        </is>
      </c>
    </row>
    <row r="27">
      <c r="A27" s="4"/>
    </row>
    <row r="28">
      <c r="A28" s="5" t="inlineStr">
        <is>
          <t xml:space="preserve">Conventions</t>
        </is>
      </c>
      <c r="B28" s="5"/>
      <c r="C28" s="5"/>
    </row>
    <row r="29">
      <c r="A29" s="4" t="inlineStr">
        <is>
          <t xml:space="preserve">Amounts in nominal euros. Construction by month, operations by calendar year with cash flows on 31 December; IRR and NPV use the exact dates (Act/365, XIRR/XNPV).</t>
        </is>
      </c>
    </row>
    <row r="30">
      <c r="A30" s="4" t="inlineStr">
        <is>
          <t xml:space="preserve">Inputs are the website's, rounded to 0.001 of their unit; results may differ from an unrounded website run by fractions of a euro. Numbers show two decimals where more would only add zeros; the cells keep full precision.</t>
        </is>
      </c>
    </row>
    <row r="31">
      <c r="A31" s="4" t="inlineStr">
        <is>
          <t xml:space="preserve">Cash available to equity is before legal limits on distributions (§ 30 GmbHG, § 172 (4) HGB). The wind farm is fictional; the results are illustrative.</t>
        </is>
      </c>
    </row>
    <row r="33">
      <c r="A33" s="6" t="inlineStr">
        <is>
          <t xml:space="preserve">Status of all checks (errors)</t>
        </is>
      </c>
      <c r="C33" s="7" t="str">
        <f>Checks!$C$48</f>
        <v>OK</v>
      </c>
    </row>
    <row r="34">
      <c r="A34" s="6" t="inlineStr">
        <is>
          <t xml:space="preserve">Warnings (see the Checks sheet)</t>
        </is>
      </c>
      <c r="C34" s="8">
        <f>Checks!$C$49</f>
        <v>1</v>
      </c>
    </row>
  </sheetData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sheetViews>
    <sheetView workbookViewId="0" zoomScale="85">
      <pane xSplit="1" ySplit="4" topLeftCell="B5" activePane="bottomRight" state="frozen"/>
    </sheetView>
  </sheetViews>
  <sheetFormatPr defaultRowHeight="13.2"/>
  <cols>
    <col min="1" max="1" width="52" customWidth="1"/>
    <col min="2" max="2" width="16" customWidth="1"/>
    <col min="3" max="3" width="16" customWidth="1"/>
    <col min="4" max="4" width="40" customWidth="1"/>
  </cols>
  <sheetData>
    <row r="1">
      <c r="A1" s="1" t="inlineStr">
        <is>
          <t xml:space="preserve">Inputs</t>
        </is>
      </c>
    </row>
    <row r="2">
      <c r="A2" s="2" t="inlineStr">
        <is>
          <t xml:space="preserve">Blue on yellow: inputs you may change. Purple: solved on the website — do not edit.</t>
        </is>
      </c>
    </row>
    <row r="5">
      <c r="A5" s="3" t="inlineStr">
        <is>
          <t xml:space="preserve">Project</t>
        </is>
      </c>
    </row>
    <row r="6">
      <c r="A6" s="6" t="inlineStr">
        <is>
          <t xml:space="preserve">Number of turbines</t>
        </is>
      </c>
      <c r="C6" s="9">
        <v>5</v>
      </c>
    </row>
    <row r="7">
      <c r="A7" s="6" t="inlineStr">
        <is>
          <t xml:space="preserve">Turbine rating</t>
        </is>
      </c>
      <c r="B7" s="10" t="inlineStr">
        <is>
          <t xml:space="preserve">MW</t>
        </is>
      </c>
      <c r="C7" s="11">
        <v>6.3</v>
      </c>
    </row>
    <row r="8">
      <c r="A8" s="6" t="inlineStr">
        <is>
          <t xml:space="preserve">Hub height</t>
        </is>
      </c>
      <c r="B8" s="10" t="inlineStr">
        <is>
          <t xml:space="preserve">m</t>
        </is>
      </c>
      <c r="C8" s="9">
        <v>159</v>
      </c>
    </row>
    <row r="9">
      <c r="A9" s="6" t="inlineStr">
        <is>
          <t xml:space="preserve">Rotor diameter</t>
        </is>
      </c>
      <c r="B9" s="10" t="inlineStr">
        <is>
          <t xml:space="preserve">m</t>
        </is>
      </c>
      <c r="C9" s="9">
        <v>165</v>
      </c>
    </row>
    <row r="10">
      <c r="A10" s="6" t="inlineStr">
        <is>
          <t xml:space="preserve">Financial close</t>
        </is>
      </c>
      <c r="B10" s="10" t="inlineStr">
        <is>
          <t xml:space="preserve">date</t>
        </is>
      </c>
      <c r="C10" s="12">
        <v>46388</v>
      </c>
      <c r="D10" s="2" t="inlineStr">
        <is>
          <t xml:space="preserve">structure: changing it needs a new download</t>
        </is>
      </c>
    </row>
    <row r="11">
      <c r="A11" s="6" t="inlineStr">
        <is>
          <t xml:space="preserve">Construction period</t>
        </is>
      </c>
      <c r="B11" s="10" t="inlineStr">
        <is>
          <t xml:space="preserve">months</t>
        </is>
      </c>
      <c r="C11" s="9">
        <v>18</v>
      </c>
      <c r="D11" s="2" t="inlineStr">
        <is>
          <t xml:space="preserve">structure: changing it needs a new download</t>
        </is>
      </c>
    </row>
    <row r="12">
      <c r="A12" s="6" t="inlineStr">
        <is>
          <t xml:space="preserve">Operating life</t>
        </is>
      </c>
      <c r="B12" s="10" t="inlineStr">
        <is>
          <t xml:space="preserve">years</t>
        </is>
      </c>
      <c r="C12" s="9">
        <v>25</v>
      </c>
      <c r="D12" s="2" t="inlineStr">
        <is>
          <t xml:space="preserve">structure: changing it needs a new download</t>
        </is>
      </c>
    </row>
    <row r="14">
      <c r="A14" s="3" t="inlineStr">
        <is>
          <t xml:space="preserve">Energy yield</t>
        </is>
      </c>
    </row>
    <row r="15">
      <c r="A15" s="6" t="inlineStr">
        <is>
          <t xml:space="preserve">Reference yield (100 % site)</t>
        </is>
      </c>
      <c r="B15" s="10" t="inlineStr">
        <is>
          <t xml:space="preserve">h/yr</t>
        </is>
      </c>
      <c r="C15" s="9">
        <v>3623</v>
      </c>
    </row>
    <row r="16">
      <c r="A16" s="6" t="inlineStr">
        <is>
          <t xml:space="preserve">Site quality (Gütefaktor)</t>
        </is>
      </c>
      <c r="B16" s="10" t="inlineStr">
        <is>
          <t xml:space="preserve">%</t>
        </is>
      </c>
      <c r="C16" s="13">
        <v>0.68</v>
      </c>
    </row>
    <row r="17">
      <c r="A17" s="6" t="inlineStr">
        <is>
          <t xml:space="preserve">Site in the EEG Südregion</t>
        </is>
      </c>
      <c r="B17" s="10" t="inlineStr">
        <is>
          <t xml:space="preserve">TRUE/FALSE</t>
        </is>
      </c>
      <c r="C17" s="14" t="b">
        <v>0</v>
      </c>
    </row>
    <row r="18">
      <c r="A18" s="6" t="inlineStr">
        <is>
          <t xml:space="preserve">Availability</t>
        </is>
      </c>
      <c r="B18" s="10" t="inlineStr">
        <is>
          <t xml:space="preserve">%</t>
        </is>
      </c>
      <c r="C18" s="13">
        <v>0.97</v>
      </c>
    </row>
    <row r="19">
      <c r="A19" s="6" t="inlineStr">
        <is>
          <t xml:space="preserve">Other extra losses</t>
        </is>
      </c>
      <c r="B19" s="10" t="inlineStr">
        <is>
          <t xml:space="preserve">%</t>
        </is>
      </c>
      <c r="C19" s="13">
        <v>0</v>
      </c>
    </row>
    <row r="20">
      <c r="A20" s="6" t="inlineStr">
        <is>
          <t xml:space="preserve">Degradation per year</t>
        </is>
      </c>
      <c r="B20" s="10" t="inlineStr">
        <is>
          <t xml:space="preserve">%</t>
        </is>
      </c>
      <c r="C20" s="15">
        <v>0.002</v>
      </c>
    </row>
    <row r="21">
      <c r="A21" s="6" t="inlineStr">
        <is>
          <t xml:space="preserve">Yield uncertainty, 1 year (σ)</t>
        </is>
      </c>
      <c r="B21" s="10" t="inlineStr">
        <is>
          <t xml:space="preserve">%</t>
        </is>
      </c>
      <c r="C21" s="13">
        <v>0.128</v>
      </c>
    </row>
    <row r="22">
      <c r="A22" s="6" t="inlineStr">
        <is>
          <t xml:space="preserve">Yield uncertainty, 10 years (σ)</t>
        </is>
      </c>
      <c r="B22" s="10" t="inlineStr">
        <is>
          <t xml:space="preserve">%</t>
        </is>
      </c>
      <c r="C22" s="13">
        <v>0.103</v>
      </c>
    </row>
    <row r="23">
      <c r="A23" s="6" t="inlineStr">
        <is>
          <t xml:space="preserve">Output at negative prices</t>
        </is>
      </c>
      <c r="B23" s="10" t="inlineStr">
        <is>
          <t xml:space="preserve">%</t>
        </is>
      </c>
      <c r="C23" s="13">
        <v>0.05</v>
      </c>
    </row>
    <row r="24">
      <c r="A24" s="6" t="inlineStr">
        <is>
          <t xml:space="preserve">Time with negative prices (§ 51a)</t>
        </is>
      </c>
      <c r="B24" s="10" t="inlineStr">
        <is>
          <t xml:space="preserve">%</t>
        </is>
      </c>
      <c r="C24" s="13">
        <v>0.065</v>
      </c>
    </row>
    <row r="26">
      <c r="A26" s="3" t="inlineStr">
        <is>
          <t xml:space="preserve">Revenue</t>
        </is>
      </c>
    </row>
    <row r="27">
      <c r="A27" s="6" t="inlineStr">
        <is>
          <t xml:space="preserve">Award price (Zuschlagswert)</t>
        </is>
      </c>
      <c r="B27" s="10" t="inlineStr">
        <is>
          <t xml:space="preserve">ct/kWh</t>
        </is>
      </c>
      <c r="C27" s="11">
        <v>4.79</v>
      </c>
    </row>
    <row r="28">
      <c r="A28" s="6" t="inlineStr">
        <is>
          <t xml:space="preserve">Tender ceiling (Höchstwert)</t>
        </is>
      </c>
      <c r="B28" s="10" t="inlineStr">
        <is>
          <t xml:space="preserve">ct/kWh</t>
        </is>
      </c>
      <c r="C28" s="11">
        <v>7.25</v>
      </c>
    </row>
    <row r="29">
      <c r="A29" s="6" t="inlineStr">
        <is>
          <t xml:space="preserve">Award announced</t>
        </is>
      </c>
      <c r="B29" s="10" t="inlineStr">
        <is>
          <t xml:space="preserve">date</t>
        </is>
      </c>
      <c r="C29" s="12">
        <v>46282</v>
      </c>
    </row>
    <row r="30">
      <c r="A30" s="6" t="inlineStr">
        <is>
          <t xml:space="preserve">Long-term baseload price (2026 money)</t>
        </is>
      </c>
      <c r="B30" s="10" t="inlineStr">
        <is>
          <t xml:space="preserve">€/MWh</t>
        </is>
      </c>
      <c r="C30" s="11">
        <v>75</v>
      </c>
    </row>
    <row r="31">
      <c r="A31" s="6" t="inlineStr">
        <is>
          <t xml:space="preserve">Wind capture factor</t>
        </is>
      </c>
      <c r="C31" s="16">
        <v>0.8</v>
      </c>
    </row>
    <row r="32">
      <c r="A32" s="6" t="inlineStr">
        <is>
          <t xml:space="preserve">Direct-marketing fee (2026 money)</t>
        </is>
      </c>
      <c r="B32" s="10" t="inlineStr">
        <is>
          <t xml:space="preserve">ct/kWh</t>
        </is>
      </c>
      <c r="C32" s="16">
        <v>0.2</v>
      </c>
    </row>
    <row r="33">
      <c r="A33" s="6" t="inlineStr">
        <is>
          <t xml:space="preserve">After the EEG period</t>
        </is>
      </c>
      <c r="B33" s="10" t="inlineStr">
        <is>
          <t xml:space="preserve">market / ppa</t>
        </is>
      </c>
      <c r="C33" s="14" t="inlineStr">
        <is>
          <t xml:space="preserve">market</t>
        </is>
      </c>
    </row>
    <row r="34">
      <c r="A34" s="6" t="inlineStr">
        <is>
          <t xml:space="preserve">PPA price (2026 money)</t>
        </is>
      </c>
      <c r="B34" s="10" t="inlineStr">
        <is>
          <t xml:space="preserve">€/MWh</t>
        </is>
      </c>
      <c r="C34" s="11">
        <v>60</v>
      </c>
    </row>
    <row r="35">
      <c r="A35" s="6" t="inlineStr">
        <is>
          <t xml:space="preserve">Two-sided premium (simplified stress)</t>
        </is>
      </c>
      <c r="B35" s="10" t="inlineStr">
        <is>
          <t xml:space="preserve">TRUE/FALSE</t>
        </is>
      </c>
      <c r="C35" s="14" t="b">
        <v>0</v>
      </c>
    </row>
    <row r="36">
      <c r="A36" s="6" t="inlineStr">
        <is>
          <t xml:space="preserve">Receivable days (market sales)</t>
        </is>
      </c>
      <c r="B36" s="10" t="inlineStr">
        <is>
          <t xml:space="preserve">days</t>
        </is>
      </c>
      <c r="C36" s="9">
        <v>30</v>
      </c>
    </row>
    <row r="37">
      <c r="A37" s="6" t="inlineStr">
        <is>
          <t xml:space="preserve">Premium settlement lag after the year end</t>
        </is>
      </c>
      <c r="B37" s="10" t="inlineStr">
        <is>
          <t xml:space="preserve">months</t>
        </is>
      </c>
      <c r="C37" s="9">
        <v>3</v>
      </c>
    </row>
    <row r="38">
      <c r="A38" s="6" t="inlineStr">
        <is>
          <t xml:space="preserve">Municipal payment (§ 6)</t>
        </is>
      </c>
      <c r="B38" s="10" t="inlineStr">
        <is>
          <t xml:space="preserve">ct/kWh</t>
        </is>
      </c>
      <c r="C38" s="11">
        <v>0.2</v>
      </c>
    </row>
    <row r="39">
      <c r="A39" s="6" t="inlineStr">
        <is>
          <t xml:space="preserve">Continue the municipal payment after the EEG</t>
        </is>
      </c>
      <c r="B39" s="10" t="inlineStr">
        <is>
          <t xml:space="preserve">TRUE/FALSE</t>
        </is>
      </c>
      <c r="C39" s="14" t="b">
        <v>1</v>
      </c>
    </row>
    <row r="40">
      <c r="A40" s="6" t="inlineStr">
        <is>
          <t xml:space="preserve">Revenue the lender counts on</t>
        </is>
      </c>
      <c r="B40" s="10" t="inlineStr">
        <is>
          <t xml:space="preserve">floor / base</t>
        </is>
      </c>
      <c r="C40" s="14" t="inlineStr">
        <is>
          <t xml:space="preserve">floor</t>
        </is>
      </c>
    </row>
    <row r="41">
      <c r="A41" s="17" t="inlineStr">
        <is>
          <t xml:space="preserve">Power futures (baseload)</t>
        </is>
      </c>
      <c r="B41" s="17" t="inlineStr">
        <is>
          <t xml:space="preserve">€/MWh</t>
        </is>
      </c>
    </row>
    <row r="42">
      <c r="A42" s="18">
        <v>2027</v>
      </c>
      <c r="B42" s="11">
        <v>128.37</v>
      </c>
    </row>
    <row r="43">
      <c r="A43" s="18">
        <v>2028</v>
      </c>
      <c r="B43" s="11">
        <v>98.88</v>
      </c>
    </row>
    <row r="44">
      <c r="A44" s="18">
        <v>2029</v>
      </c>
      <c r="B44" s="11">
        <v>82.74</v>
      </c>
    </row>
    <row r="46">
      <c r="A46" s="3" t="inlineStr">
        <is>
          <t xml:space="preserve">Capex (net of VAT)</t>
        </is>
      </c>
    </row>
    <row r="47">
      <c r="A47" s="17" t="inlineStr">
        <is>
          <t xml:space="preserve">Item</t>
        </is>
      </c>
      <c r="B47" s="17" t="inlineStr">
        <is>
          <t xml:space="preserve">Payment profile</t>
        </is>
      </c>
      <c r="C47" s="17" t="inlineStr">
        <is>
          <t xml:space="preserve">€/kW</t>
        </is>
      </c>
    </row>
    <row r="48">
      <c r="A48" s="4" t="inlineStr">
        <is>
          <t xml:space="preserve">turbine</t>
        </is>
      </c>
      <c r="B48" s="14" t="inlineStr">
        <is>
          <t xml:space="preserve">turbine</t>
        </is>
      </c>
      <c r="C48" s="11">
        <v>1163</v>
      </c>
    </row>
    <row r="49">
      <c r="A49" s="4" t="inlineStr">
        <is>
          <t xml:space="preserve">foundation</t>
        </is>
      </c>
      <c r="B49" s="14" t="inlineStr">
        <is>
          <t xml:space="preserve">thirds</t>
        </is>
      </c>
      <c r="C49" s="11">
        <v>88</v>
      </c>
    </row>
    <row r="50">
      <c r="A50" s="4" t="inlineStr">
        <is>
          <t xml:space="preserve">infrastructure</t>
        </is>
      </c>
      <c r="B50" s="14" t="inlineStr">
        <is>
          <t xml:space="preserve">thirds</t>
        </is>
      </c>
      <c r="C50" s="11">
        <v>119</v>
      </c>
    </row>
    <row r="51">
      <c r="A51" s="4" t="inlineStr">
        <is>
          <t xml:space="preserve">gridConnection</t>
        </is>
      </c>
      <c r="B51" s="14" t="inlineStr">
        <is>
          <t xml:space="preserve">thirds</t>
        </is>
      </c>
      <c r="C51" s="11">
        <v>133</v>
      </c>
    </row>
    <row r="52">
      <c r="A52" s="4" t="inlineStr">
        <is>
          <t xml:space="preserve">development</t>
        </is>
      </c>
      <c r="B52" s="14" t="inlineStr">
        <is>
          <t xml:space="preserve">atStart</t>
        </is>
      </c>
      <c r="C52" s="11">
        <v>163</v>
      </c>
    </row>
    <row r="53">
      <c r="A53" s="4" t="inlineStr">
        <is>
          <t xml:space="preserve">compensation</t>
        </is>
      </c>
      <c r="B53" s="14" t="inlineStr">
        <is>
          <t xml:space="preserve">atStart</t>
        </is>
      </c>
      <c r="C53" s="11">
        <v>35</v>
      </c>
    </row>
    <row r="54">
      <c r="A54" s="4" t="inlineStr">
        <is>
          <t xml:space="preserve">other</t>
        </is>
      </c>
      <c r="B54" s="14" t="inlineStr">
        <is>
          <t xml:space="preserve">linear</t>
        </is>
      </c>
      <c r="C54" s="11">
        <v>60</v>
      </c>
    </row>
    <row r="55">
      <c r="A55" s="6" t="inlineStr">
        <is>
          <t xml:space="preserve">Contingency on all items</t>
        </is>
      </c>
      <c r="B55" s="10" t="inlineStr">
        <is>
          <t xml:space="preserve">%</t>
        </is>
      </c>
      <c r="C55" s="13">
        <v>0.03</v>
      </c>
    </row>
    <row r="56">
      <c r="A56" s="6" t="inlineStr">
        <is>
          <t xml:space="preserve">VAT rate</t>
        </is>
      </c>
      <c r="B56" s="10" t="inlineStr">
        <is>
          <t xml:space="preserve">%</t>
        </is>
      </c>
      <c r="C56" s="13">
        <v>0.19</v>
      </c>
    </row>
    <row r="57">
      <c r="A57" s="6" t="inlineStr">
        <is>
          <t xml:space="preserve">VAT refund lag</t>
        </is>
      </c>
      <c r="B57" s="10" t="inlineStr">
        <is>
          <t xml:space="preserve">months</t>
        </is>
      </c>
      <c r="C57" s="9">
        <v>2</v>
      </c>
    </row>
    <row r="59">
      <c r="A59" s="3" t="inlineStr">
        <is>
          <t xml:space="preserve">Opex (€/kW a year, 2025 money)</t>
        </is>
      </c>
    </row>
    <row r="60">
      <c r="A60" s="17" t="inlineStr">
        <is>
          <t xml:space="preserve">Item</t>
        </is>
      </c>
      <c r="B60" s="17" t="inlineStr">
        <is>
          <t xml:space="preserve">Years 1–10</t>
        </is>
      </c>
      <c r="C60" s="17" t="inlineStr">
        <is>
          <t xml:space="preserve">Years 11–20</t>
        </is>
      </c>
      <c r="D60" s="17" t="inlineStr">
        <is>
          <t xml:space="preserve">Years 21+</t>
        </is>
      </c>
    </row>
    <row r="61">
      <c r="A61" s="4" t="inlineStr">
        <is>
          <t xml:space="preserve">Maintenance</t>
        </is>
      </c>
      <c r="B61" s="11">
        <v>14</v>
      </c>
      <c r="C61" s="11">
        <v>16</v>
      </c>
      <c r="D61" s="11">
        <v>17.6</v>
      </c>
    </row>
    <row r="62">
      <c r="A62" s="4" t="inlineStr">
        <is>
          <t xml:space="preserve">Management</t>
        </is>
      </c>
      <c r="B62" s="11">
        <v>4</v>
      </c>
      <c r="C62" s="11">
        <v>5</v>
      </c>
      <c r="D62" s="11">
        <v>5</v>
      </c>
    </row>
    <row r="63">
      <c r="A63" s="4" t="inlineStr">
        <is>
          <t xml:space="preserve">Insurance</t>
        </is>
      </c>
      <c r="B63" s="11">
        <v>1</v>
      </c>
      <c r="C63" s="11">
        <v>1</v>
      </c>
      <c r="D63" s="11">
        <v>1</v>
      </c>
    </row>
    <row r="64">
      <c r="A64" s="4" t="inlineStr">
        <is>
          <t xml:space="preserve">Other</t>
        </is>
      </c>
      <c r="B64" s="11">
        <v>6</v>
      </c>
      <c r="C64" s="11">
        <v>6</v>
      </c>
      <c r="D64" s="11">
        <v>6</v>
      </c>
    </row>
    <row r="65">
      <c r="A65" s="6" t="inlineStr">
        <is>
          <t xml:space="preserve">Land lease, share of revenue</t>
        </is>
      </c>
      <c r="B65" s="10" t="inlineStr">
        <is>
          <t xml:space="preserve">%</t>
        </is>
      </c>
      <c r="C65" s="13">
        <v>0.1</v>
      </c>
    </row>
    <row r="66">
      <c r="A66" s="6" t="inlineStr">
        <is>
          <t xml:space="preserve">Minimum lease per turbine (2026 money)</t>
        </is>
      </c>
      <c r="B66" s="10" t="inlineStr">
        <is>
          <t xml:space="preserve">€</t>
        </is>
      </c>
      <c r="C66" s="9">
        <v>70000</v>
      </c>
    </row>
    <row r="67">
      <c r="A67" s="6" t="inlineStr">
        <is>
          <t xml:space="preserve">Decommissioning security per metre of hub height</t>
        </is>
      </c>
      <c r="B67" s="10" t="inlineStr">
        <is>
          <t xml:space="preserve">€</t>
        </is>
      </c>
      <c r="C67" s="9">
        <v>1000</v>
      </c>
    </row>
    <row r="68">
      <c r="A68" s="6" t="inlineStr">
        <is>
          <t xml:space="preserve">Guarantee fee on the security</t>
        </is>
      </c>
      <c r="B68" s="10" t="inlineStr">
        <is>
          <t xml:space="preserve">% p.a.</t>
        </is>
      </c>
      <c r="C68" s="15">
        <v>0.0125</v>
      </c>
    </row>
    <row r="69">
      <c r="A69" s="6" t="inlineStr">
        <is>
          <t xml:space="preserve">Decommissioning cost (2026 money)</t>
        </is>
      </c>
      <c r="B69" s="10" t="inlineStr">
        <is>
          <t xml:space="preserve">€/kW</t>
        </is>
      </c>
      <c r="C69" s="11">
        <v>50</v>
      </c>
    </row>
    <row r="70">
      <c r="A70" s="6" t="inlineStr">
        <is>
          <t xml:space="preserve">Decommissioning reserve built over the last</t>
        </is>
      </c>
      <c r="B70" s="10" t="inlineStr">
        <is>
          <t xml:space="preserve">years</t>
        </is>
      </c>
      <c r="C70" s="9">
        <v>5</v>
      </c>
    </row>
    <row r="71">
      <c r="A71" s="6" t="inlineStr">
        <is>
          <t xml:space="preserve">Generator grid fee (2026 money)</t>
        </is>
      </c>
      <c r="B71" s="10" t="inlineStr">
        <is>
          <t xml:space="preserve">€/kW/yr</t>
        </is>
      </c>
      <c r="C71" s="11">
        <v>0</v>
      </c>
    </row>
    <row r="73">
      <c r="A73" s="3" t="inlineStr">
        <is>
          <t xml:space="preserve">Financing</t>
        </is>
      </c>
    </row>
    <row r="74">
      <c r="A74" s="6" t="inlineStr">
        <is>
          <t xml:space="preserve">Interest rate</t>
        </is>
      </c>
      <c r="B74" s="10" t="inlineStr">
        <is>
          <t xml:space="preserve">%</t>
        </is>
      </c>
      <c r="C74" s="15">
        <v>0.0535</v>
      </c>
    </row>
    <row r="75">
      <c r="A75" s="6" t="inlineStr">
        <is>
          <t xml:space="preserve">Loan term from financial close</t>
        </is>
      </c>
      <c r="B75" s="10" t="inlineStr">
        <is>
          <t xml:space="preserve">years</t>
        </is>
      </c>
      <c r="C75" s="9">
        <v>20</v>
      </c>
      <c r="D75" s="2" t="inlineStr">
        <is>
          <t xml:space="preserve">structure: changing it needs a new download</t>
        </is>
      </c>
    </row>
    <row r="76">
      <c r="A76" s="6" t="inlineStr">
        <is>
          <t xml:space="preserve">Grace years</t>
        </is>
      </c>
      <c r="B76" s="10" t="inlineStr">
        <is>
          <t xml:space="preserve">years</t>
        </is>
      </c>
      <c r="C76" s="9">
        <v>3</v>
      </c>
      <c r="D76" s="2" t="inlineStr">
        <is>
          <t xml:space="preserve">structure: changing it needs a new download</t>
        </is>
      </c>
    </row>
    <row r="77">
      <c r="A77" s="6" t="inlineStr">
        <is>
          <t xml:space="preserve">Repayment</t>
        </is>
      </c>
      <c r="B77" s="10" t="inlineStr">
        <is>
          <t xml:space="preserve">linear / annuity / sculpted</t>
        </is>
      </c>
      <c r="C77" s="14" t="inlineStr">
        <is>
          <t xml:space="preserve">linear</t>
        </is>
      </c>
      <c r="D77" s="2" t="inlineStr">
        <is>
          <t xml:space="preserve">structure: changing it needs a new download</t>
        </is>
      </c>
    </row>
    <row r="78">
      <c r="A78" s="6" t="inlineStr">
        <is>
          <t xml:space="preserve">Target DSCR, P50</t>
        </is>
      </c>
      <c r="B78" s="10" t="inlineStr">
        <is>
          <t xml:space="preserve">x</t>
        </is>
      </c>
      <c r="C78" s="19">
        <v>1.2</v>
      </c>
    </row>
    <row r="79">
      <c r="A79" s="6" t="inlineStr">
        <is>
          <t xml:space="preserve">Target DSCR, P90 1-year</t>
        </is>
      </c>
      <c r="B79" s="10" t="inlineStr">
        <is>
          <t xml:space="preserve">x</t>
        </is>
      </c>
      <c r="C79" s="19">
        <v>1</v>
      </c>
    </row>
    <row r="80">
      <c r="A80" s="6" t="inlineStr">
        <is>
          <t xml:space="preserve">Covenant DSCR</t>
        </is>
      </c>
      <c r="B80" s="10" t="inlineStr">
        <is>
          <t xml:space="preserve">x</t>
        </is>
      </c>
      <c r="C80" s="19">
        <v>1.05</v>
      </c>
    </row>
    <row r="81">
      <c r="A81" s="6" t="inlineStr">
        <is>
          <t xml:space="preserve">Lock-up DSCR</t>
        </is>
      </c>
      <c r="B81" s="10" t="inlineStr">
        <is>
          <t xml:space="preserve">x</t>
        </is>
      </c>
      <c r="C81" s="19">
        <v>1.1</v>
      </c>
    </row>
    <row r="82">
      <c r="A82" s="6" t="inlineStr">
        <is>
          <t xml:space="preserve">Maximum gearing</t>
        </is>
      </c>
      <c r="B82" s="10" t="inlineStr">
        <is>
          <t xml:space="preserve">%</t>
        </is>
      </c>
      <c r="C82" s="13">
        <v>0.8</v>
      </c>
    </row>
    <row r="83">
      <c r="A83" s="6" t="inlineStr">
        <is>
          <t xml:space="preserve">Upfront fee</t>
        </is>
      </c>
      <c r="B83" s="10" t="inlineStr">
        <is>
          <t xml:space="preserve">%</t>
        </is>
      </c>
      <c r="C83" s="15">
        <v>0.01</v>
      </c>
    </row>
    <row r="84">
      <c r="A84" s="6" t="inlineStr">
        <is>
          <t xml:space="preserve">Commitment fee on the undrawn loan</t>
        </is>
      </c>
      <c r="B84" s="10" t="inlineStr">
        <is>
          <t xml:space="preserve">% / month</t>
        </is>
      </c>
      <c r="C84" s="20">
        <v>0.0015</v>
      </c>
    </row>
    <row r="85">
      <c r="A85" s="6" t="inlineStr">
        <is>
          <t xml:space="preserve">Commitment fee from construction month</t>
        </is>
      </c>
      <c r="C85" s="9">
        <v>7</v>
      </c>
    </row>
    <row r="86">
      <c r="A86" s="6" t="inlineStr">
        <is>
          <t xml:space="preserve">Debt service reserve</t>
        </is>
      </c>
      <c r="B86" s="10" t="inlineStr">
        <is>
          <t xml:space="preserve">months</t>
        </is>
      </c>
      <c r="C86" s="11">
        <v>3</v>
      </c>
    </row>
    <row r="87">
      <c r="A87" s="6" t="inlineStr">
        <is>
          <t xml:space="preserve">VAT bridge loan spread</t>
        </is>
      </c>
      <c r="B87" s="10" t="inlineStr">
        <is>
          <t xml:space="preserve">%</t>
        </is>
      </c>
      <c r="C87" s="15">
        <v>0.0085</v>
      </c>
    </row>
    <row r="88">
      <c r="A88" s="6" t="inlineStr">
        <is>
          <t xml:space="preserve">Equity first</t>
        </is>
      </c>
      <c r="B88" s="10" t="inlineStr">
        <is>
          <t xml:space="preserve">TRUE/FALSE</t>
        </is>
      </c>
      <c r="C88" s="14" t="b">
        <v>0</v>
      </c>
    </row>
    <row r="90">
      <c r="A90" s="3" t="inlineStr">
        <is>
          <t xml:space="preserve">Tax</t>
        </is>
      </c>
    </row>
    <row r="91">
      <c r="A91" s="6" t="inlineStr">
        <is>
          <t xml:space="preserve">Legal form</t>
        </is>
      </c>
      <c r="B91" s="10" t="inlineStr">
        <is>
          <t xml:space="preserve">KG / GmbH</t>
        </is>
      </c>
      <c r="C91" s="14" t="inlineStr">
        <is>
          <t xml:space="preserve">KG</t>
        </is>
      </c>
    </row>
    <row r="92">
      <c r="A92" s="6" t="inlineStr">
        <is>
          <t xml:space="preserve">Trade-tax multiplier (Hebesatz)</t>
        </is>
      </c>
      <c r="B92" s="10" t="inlineStr">
        <is>
          <t xml:space="preserve">%</t>
        </is>
      </c>
      <c r="C92" s="13">
        <v>4</v>
      </c>
    </row>
    <row r="93">
      <c r="A93" s="6" t="inlineStr">
        <is>
          <t xml:space="preserve">Depreciation period</t>
        </is>
      </c>
      <c r="B93" s="10" t="inlineStr">
        <is>
          <t xml:space="preserve">years</t>
        </is>
      </c>
      <c r="C93" s="9">
        <v>16</v>
      </c>
    </row>
    <row r="94">
      <c r="A94" s="6" t="inlineStr">
        <is>
          <t xml:space="preserve">Declining-balance depreciation</t>
        </is>
      </c>
      <c r="B94" s="10" t="inlineStr">
        <is>
          <t xml:space="preserve">TRUE/FALSE</t>
        </is>
      </c>
      <c r="C94" s="14" t="b">
        <v>0</v>
      </c>
    </row>
    <row r="96">
      <c r="A96" s="3" t="inlineStr">
        <is>
          <t xml:space="preserve">Valuation and inflation</t>
        </is>
      </c>
    </row>
    <row r="97">
      <c r="A97" s="17" t="inlineStr">
        <is>
          <t xml:space="preserve">Inflation (CPI change in the year)</t>
        </is>
      </c>
      <c r="B97" s="17" t="inlineStr">
        <is>
          <t xml:space="preserve">%</t>
        </is>
      </c>
    </row>
    <row r="98">
      <c r="A98" s="18">
        <v>2026</v>
      </c>
      <c r="B98" s="15">
        <v>0.029</v>
      </c>
    </row>
    <row r="99">
      <c r="A99" s="18">
        <v>2027</v>
      </c>
      <c r="B99" s="15">
        <v>0.027</v>
      </c>
    </row>
    <row r="100">
      <c r="A100" s="18">
        <v>2028</v>
      </c>
      <c r="B100" s="15">
        <v>0.019</v>
      </c>
    </row>
    <row r="101">
      <c r="A101" s="6" t="inlineStr">
        <is>
          <t xml:space="preserve">Inflation in all other years</t>
        </is>
      </c>
      <c r="B101" s="10" t="inlineStr">
        <is>
          <t xml:space="preserve">%</t>
        </is>
      </c>
      <c r="C101" s="15">
        <v>0.02</v>
      </c>
    </row>
    <row r="102">
      <c r="A102" s="6" t="inlineStr">
        <is>
          <t xml:space="preserve">Cost of equity</t>
        </is>
      </c>
      <c r="B102" s="10" t="inlineStr">
        <is>
          <t xml:space="preserve">%</t>
        </is>
      </c>
      <c r="C102" s="15">
        <v>0.08</v>
      </c>
    </row>
    <row r="103">
      <c r="A103" s="6" t="inlineStr">
        <is>
          <t xml:space="preserve">Nominal WACC (project NPV, nominal LCOE)</t>
        </is>
      </c>
      <c r="B103" s="10" t="inlineStr">
        <is>
          <t xml:space="preserve">%</t>
        </is>
      </c>
      <c r="C103" s="15">
        <v>0.058</v>
      </c>
    </row>
    <row r="104">
      <c r="A104" s="6" t="inlineStr">
        <is>
          <t xml:space="preserve">Real WACC (LCOE)</t>
        </is>
      </c>
      <c r="B104" s="10" t="inlineStr">
        <is>
          <t xml:space="preserve">%</t>
        </is>
      </c>
      <c r="C104" s="15">
        <v>0.039</v>
      </c>
    </row>
    <row r="106">
      <c r="A106" s="3" t="inlineStr">
        <is>
          <t xml:space="preserve">Scenarios (the loan of the base case is kept)</t>
        </is>
      </c>
    </row>
    <row r="107">
      <c r="A107" s="6" t="inlineStr">
        <is>
          <t xml:space="preserve">P90 1-yr: output factor</t>
        </is>
      </c>
      <c r="C107" s="21">
        <f>1-$C$137*$C$21</f>
        <v>0.8359552</v>
      </c>
    </row>
    <row r="108">
      <c r="A108" s="6" t="inlineStr">
        <is>
          <t xml:space="preserve">P90 10-yr and downside: output factor</t>
        </is>
      </c>
      <c r="C108" s="21">
        <f>1-$C$137*$C$22</f>
        <v>0.8679952</v>
      </c>
    </row>
    <row r="109">
      <c r="A109" s="6" t="inlineStr">
        <is>
          <t xml:space="preserve">Downside: power prices</t>
        </is>
      </c>
      <c r="B109" s="10" t="inlineStr">
        <is>
          <t xml:space="preserve">factor</t>
        </is>
      </c>
      <c r="C109" s="11">
        <v>0.8</v>
      </c>
    </row>
    <row r="110">
      <c r="A110" s="6" t="inlineStr">
        <is>
          <t xml:space="preserve">Downside: fixed opex and grid fee</t>
        </is>
      </c>
      <c r="B110" s="10" t="inlineStr">
        <is>
          <t xml:space="preserve">factor</t>
        </is>
      </c>
      <c r="C110" s="11">
        <v>1.1</v>
      </c>
    </row>
    <row r="111">
      <c r="A111" s="6" t="inlineStr">
        <is>
          <t xml:space="preserve">Downside: capex</t>
        </is>
      </c>
      <c r="B111" s="10" t="inlineStr">
        <is>
          <t xml:space="preserve">factor</t>
        </is>
      </c>
      <c r="C111" s="11">
        <v>1.05</v>
      </c>
    </row>
    <row r="113">
      <c r="A113" s="3" t="inlineStr">
        <is>
          <t xml:space="preserve">Statutory constants and conventions</t>
        </is>
      </c>
    </row>
    <row r="114">
      <c r="A114" s="6" t="inlineStr">
        <is>
          <t xml:space="preserve">Trade tax base rate (§ 11 (2) GewStG)</t>
        </is>
      </c>
      <c r="B114" s="10" t="inlineStr">
        <is>
          <t xml:space="preserve">%</t>
        </is>
      </c>
      <c r="C114" s="22">
        <v>0.035</v>
      </c>
    </row>
    <row r="115">
      <c r="A115" s="6" t="inlineStr">
        <is>
          <t xml:space="preserve">Trade-tax allowance of a partnership (§ 11 (1) GewStG)</t>
        </is>
      </c>
      <c r="B115" s="10" t="inlineStr">
        <is>
          <t xml:space="preserve">€</t>
        </is>
      </c>
      <c r="C115" s="23">
        <v>24500</v>
      </c>
    </row>
    <row r="116">
      <c r="A116" s="6" t="inlineStr">
        <is>
          <t xml:space="preserve">Add-back share (§ 8 Nr. 1 GewStG)</t>
        </is>
      </c>
      <c r="B116" s="10" t="inlineStr">
        <is>
          <t xml:space="preserve">%</t>
        </is>
      </c>
      <c r="C116" s="24">
        <v>0.25</v>
      </c>
    </row>
    <row r="117">
      <c r="A117" s="6" t="inlineStr">
        <is>
          <t xml:space="preserve">Add-back allowance</t>
        </is>
      </c>
      <c r="B117" s="10" t="inlineStr">
        <is>
          <t xml:space="preserve">€</t>
        </is>
      </c>
      <c r="C117" s="23">
        <v>200000</v>
      </c>
    </row>
    <row r="118">
      <c r="A118" s="6" t="inlineStr">
        <is>
          <t xml:space="preserve">Land lease counted in the add-back</t>
        </is>
      </c>
      <c r="B118" s="10" t="inlineStr">
        <is>
          <t xml:space="preserve">%</t>
        </is>
      </c>
      <c r="C118" s="24">
        <v>0.5</v>
      </c>
    </row>
    <row r="119">
      <c r="A119" s="6" t="inlineStr">
        <is>
          <t xml:space="preserve">Loss offset in full (§ 10a GewStG, § 10d EStG)</t>
        </is>
      </c>
      <c r="B119" s="10" t="inlineStr">
        <is>
          <t xml:space="preserve">€</t>
        </is>
      </c>
      <c r="C119" s="23">
        <v>1000000</v>
      </c>
    </row>
    <row r="120">
      <c r="A120" s="6" t="inlineStr">
        <is>
          <t xml:space="preserve">Trade tax: share of profit above that</t>
        </is>
      </c>
      <c r="B120" s="10" t="inlineStr">
        <is>
          <t xml:space="preserve">%</t>
        </is>
      </c>
      <c r="C120" s="24">
        <v>0.6</v>
      </c>
    </row>
    <row r="121">
      <c r="A121" s="6" t="inlineStr">
        <is>
          <t xml:space="preserve">Corporate tax: share above that until 2027</t>
        </is>
      </c>
      <c r="B121" s="10" t="inlineStr">
        <is>
          <t xml:space="preserve">%</t>
        </is>
      </c>
      <c r="C121" s="24">
        <v>0.7</v>
      </c>
    </row>
    <row r="122">
      <c r="A122" s="6" t="inlineStr">
        <is>
          <t xml:space="preserve">Corporate tax: share above that from 2028</t>
        </is>
      </c>
      <c r="B122" s="10" t="inlineStr">
        <is>
          <t xml:space="preserve">%</t>
        </is>
      </c>
      <c r="C122" s="24">
        <v>0.6</v>
      </c>
    </row>
    <row r="123">
      <c r="A123" s="6" t="inlineStr">
        <is>
          <t xml:space="preserve">Last year with the higher share</t>
        </is>
      </c>
      <c r="C123" s="25">
        <v>2027</v>
      </c>
    </row>
    <row r="124">
      <c r="A124" s="6" t="inlineStr">
        <is>
          <t xml:space="preserve">Corporate tax rate until 2027 (§ 23 KStG)</t>
        </is>
      </c>
      <c r="B124" s="10" t="inlineStr">
        <is>
          <t xml:space="preserve">%</t>
        </is>
      </c>
      <c r="C124" s="24">
        <v>0.15</v>
      </c>
    </row>
    <row r="125">
      <c r="A125" s="6" t="inlineStr">
        <is>
          <t xml:space="preserve">Corporate tax rate from 2032</t>
        </is>
      </c>
      <c r="B125" s="10" t="inlineStr">
        <is>
          <t xml:space="preserve">%</t>
        </is>
      </c>
      <c r="C125" s="24">
        <v>0.1</v>
      </c>
    </row>
    <row r="126">
      <c r="A126" s="6" t="inlineStr">
        <is>
          <t xml:space="preserve">Annual step 2028–2031</t>
        </is>
      </c>
      <c r="B126" s="10" t="inlineStr">
        <is>
          <t xml:space="preserve">%</t>
        </is>
      </c>
      <c r="C126" s="24">
        <v>0.01</v>
      </c>
    </row>
    <row r="127">
      <c r="A127" s="6" t="inlineStr">
        <is>
          <t xml:space="preserve">First year of the step</t>
        </is>
      </c>
      <c r="C127" s="25">
        <v>2027</v>
      </c>
    </row>
    <row r="128">
      <c r="A128" s="6" t="inlineStr">
        <is>
          <t xml:space="preserve">Solidarity surcharge</t>
        </is>
      </c>
      <c r="B128" s="10" t="inlineStr">
        <is>
          <t xml:space="preserve">%</t>
        </is>
      </c>
      <c r="C128" s="22">
        <v>0.055</v>
      </c>
    </row>
    <row r="129">
      <c r="A129" s="6" t="inlineStr">
        <is>
          <t xml:space="preserve">Minimum multiplier from 2027 (§ 16 (4) GewStG)</t>
        </is>
      </c>
      <c r="B129" s="10" t="inlineStr">
        <is>
          <t xml:space="preserve">%</t>
        </is>
      </c>
      <c r="C129" s="24">
        <v>2.8</v>
      </c>
    </row>
    <row r="130">
      <c r="A130" s="6" t="inlineStr">
        <is>
          <t xml:space="preserve">Discount rate of the tax provision (§ 6 EStG)</t>
        </is>
      </c>
      <c r="B130" s="10" t="inlineStr">
        <is>
          <t xml:space="preserve">%</t>
        </is>
      </c>
      <c r="C130" s="24">
        <v>0.055</v>
      </c>
    </row>
    <row r="131">
      <c r="A131" s="6" t="inlineStr">
        <is>
          <t xml:space="preserve">Interest-barrier threshold (§ 4h EStG)</t>
        </is>
      </c>
      <c r="B131" s="10" t="inlineStr">
        <is>
          <t xml:space="preserve">€</t>
        </is>
      </c>
      <c r="C131" s="23">
        <v>3000000</v>
      </c>
    </row>
    <row r="132">
      <c r="A132" s="6" t="inlineStr">
        <is>
          <t xml:space="preserve">Declining balance: multiple of straight-line</t>
        </is>
      </c>
      <c r="B132" s="10" t="inlineStr">
        <is>
          <t xml:space="preserve">x</t>
        </is>
      </c>
      <c r="C132" s="26">
        <v>3</v>
      </c>
    </row>
    <row r="133">
      <c r="A133" s="6" t="inlineStr">
        <is>
          <t xml:space="preserve">Declining balance: maximum rate</t>
        </is>
      </c>
      <c r="B133" s="10" t="inlineStr">
        <is>
          <t xml:space="preserve">%</t>
        </is>
      </c>
      <c r="C133" s="24">
        <v>0.3</v>
      </c>
    </row>
    <row r="134">
      <c r="A134" s="6" t="inlineStr">
        <is>
          <t xml:space="preserve">Declining balance: completion from</t>
        </is>
      </c>
      <c r="B134" s="10" t="inlineStr">
        <is>
          <t xml:space="preserve">date</t>
        </is>
      </c>
      <c r="C134" s="27">
        <v>45839</v>
      </c>
    </row>
    <row r="135">
      <c r="A135" s="6" t="inlineStr">
        <is>
          <t xml:space="preserve">Declining balance: completion until</t>
        </is>
      </c>
      <c r="B135" s="10" t="inlineStr">
        <is>
          <t xml:space="preserve">date</t>
        </is>
      </c>
      <c r="C135" s="27">
        <v>46752</v>
      </c>
    </row>
    <row r="136">
      <c r="A136" s="6" t="inlineStr">
        <is>
          <t xml:space="preserve">Availability already in the site yield (Anlage 2 EEG)</t>
        </is>
      </c>
      <c r="B136" s="10" t="inlineStr">
        <is>
          <t xml:space="preserve">%</t>
        </is>
      </c>
      <c r="C136" s="24">
        <v>0.98</v>
      </c>
    </row>
    <row r="137">
      <c r="A137" s="6" t="inlineStr">
        <is>
          <t xml:space="preserve">z-value of the one-sided 90 % quantile</t>
        </is>
      </c>
      <c r="C137" s="21">
        <v>1.2816</v>
      </c>
    </row>
    <row r="138">
      <c r="A138" s="6" t="inlineStr">
        <is>
          <t xml:space="preserve">EEG support period (§ 25)</t>
        </is>
      </c>
      <c r="B138" s="10" t="inlineStr">
        <is>
          <t xml:space="preserve">years</t>
        </is>
      </c>
      <c r="C138" s="23">
        <v>20</v>
      </c>
    </row>
    <row r="139">
      <c r="A139" s="6" t="inlineStr">
        <is>
          <t xml:space="preserve">§ 51a count: commissioning year and the years after, in total</t>
        </is>
      </c>
      <c r="B139" s="10" t="inlineStr">
        <is>
          <t xml:space="preserve">years</t>
        </is>
      </c>
      <c r="C139" s="23">
        <v>20</v>
      </c>
    </row>
    <row r="140">
      <c r="A140" s="6" t="inlineStr">
        <is>
          <t xml:space="preserve">§ 36h (2) review: start of year 6</t>
        </is>
      </c>
      <c r="B140" s="10" t="inlineStr">
        <is>
          <t xml:space="preserve">years after COD</t>
        </is>
      </c>
      <c r="C140" s="23">
        <v>5</v>
      </c>
    </row>
    <row r="141">
      <c r="A141" s="6" t="inlineStr">
        <is>
          <t xml:space="preserve">§ 36h (2) review: start of year 11</t>
        </is>
      </c>
      <c r="B141" s="10" t="inlineStr">
        <is>
          <t xml:space="preserve">years after COD</t>
        </is>
      </c>
      <c r="C141" s="23">
        <v>10</v>
      </c>
    </row>
    <row r="142">
      <c r="A142" s="6" t="inlineStr">
        <is>
          <t xml:space="preserve">§ 36h (2) review: start of year 16</t>
        </is>
      </c>
      <c r="B142" s="10" t="inlineStr">
        <is>
          <t xml:space="preserve">years after COD</t>
        </is>
      </c>
      <c r="C142" s="23">
        <v>15</v>
      </c>
    </row>
    <row r="143">
      <c r="A143" s="6" t="inlineStr">
        <is>
          <t xml:space="preserve">§ 36h (2) settlement threshold</t>
        </is>
      </c>
      <c r="B143" s="10" t="inlineStr">
        <is>
          <t xml:space="preserve">points</t>
        </is>
      </c>
      <c r="C143" s="24">
        <v>0.02</v>
      </c>
    </row>
    <row r="144">
      <c r="A144" s="6" t="inlineStr">
        <is>
          <t xml:space="preserve">§ 6 payment refunded at most</t>
        </is>
      </c>
      <c r="B144" s="10" t="inlineStr">
        <is>
          <t xml:space="preserve">ct/kWh</t>
        </is>
      </c>
      <c r="C144" s="26">
        <v>0.2</v>
      </c>
    </row>
    <row r="145">
      <c r="A145" s="6" t="inlineStr">
        <is>
          <t xml:space="preserve">§ 36e: award lapses after</t>
        </is>
      </c>
      <c r="B145" s="10" t="inlineStr">
        <is>
          <t xml:space="preserve">months</t>
        </is>
      </c>
      <c r="C145" s="23">
        <v>36</v>
      </c>
    </row>
    <row r="146">
      <c r="A146" s="6" t="inlineStr">
        <is>
          <t xml:space="preserve">§ 55: penalty after</t>
        </is>
      </c>
      <c r="B146" s="10" t="inlineStr">
        <is>
          <t xml:space="preserve">months</t>
        </is>
      </c>
      <c r="C146" s="23">
        <v>30</v>
      </c>
    </row>
    <row r="147">
      <c r="A147" s="6" t="inlineStr">
        <is>
          <t xml:space="preserve">Day count (Act/365)</t>
        </is>
      </c>
      <c r="B147" s="10" t="inlineStr">
        <is>
          <t xml:space="preserve">days</t>
        </is>
      </c>
      <c r="C147" s="23">
        <v>365</v>
      </c>
    </row>
    <row r="148">
      <c r="A148" s="6" t="inlineStr">
        <is>
          <t xml:space="preserve">Days per year for the payback period</t>
        </is>
      </c>
      <c r="B148" s="10" t="inlineStr">
        <is>
          <t xml:space="preserve">days</t>
        </is>
      </c>
      <c r="C148" s="26">
        <v>365.25</v>
      </c>
    </row>
    <row r="149">
      <c r="A149" s="6" t="inlineStr">
        <is>
          <t xml:space="preserve">Opex decade 2 from operating year</t>
        </is>
      </c>
      <c r="C149" s="23">
        <v>10</v>
      </c>
    </row>
    <row r="150">
      <c r="A150" s="6" t="inlineStr">
        <is>
          <t xml:space="preserve">Opex decade 3 from operating year</t>
        </is>
      </c>
      <c r="C150" s="23">
        <v>20</v>
      </c>
    </row>
    <row r="151">
      <c r="A151" s="6" t="inlineStr">
        <is>
          <t xml:space="preserve">Turbine: down payment at close</t>
        </is>
      </c>
      <c r="B151" s="10" t="inlineStr">
        <is>
          <t xml:space="preserve">%</t>
        </is>
      </c>
      <c r="C151" s="24">
        <v>0.1</v>
      </c>
    </row>
    <row r="152">
      <c r="A152" s="6" t="inlineStr">
        <is>
          <t xml:space="preserve">Turbine: on delivery 4–2 months before COD</t>
        </is>
      </c>
      <c r="B152" s="10" t="inlineStr">
        <is>
          <t xml:space="preserve">%</t>
        </is>
      </c>
      <c r="C152" s="24">
        <v>0.7</v>
      </c>
    </row>
    <row r="153">
      <c r="A153" s="6" t="inlineStr">
        <is>
          <t xml:space="preserve">Turbine: at commissioning</t>
        </is>
      </c>
      <c r="B153" s="10" t="inlineStr">
        <is>
          <t xml:space="preserve">%</t>
        </is>
      </c>
      <c r="C153" s="24">
        <v>0.2</v>
      </c>
    </row>
    <row r="154">
      <c r="A154" s="6" t="inlineStr">
        <is>
          <t xml:space="preserve">Turbine: delivery instalments</t>
        </is>
      </c>
      <c r="C154" s="23">
        <v>3</v>
      </c>
    </row>
    <row r="155">
      <c r="A155" s="6" t="inlineStr">
        <is>
          <t xml:space="preserve">Thirds profile: first and second third</t>
        </is>
      </c>
      <c r="B155" s="10" t="inlineStr">
        <is>
          <t xml:space="preserve">%</t>
        </is>
      </c>
      <c r="C155" s="24">
        <v>0.4</v>
      </c>
    </row>
    <row r="156">
      <c r="A156" s="6" t="inlineStr">
        <is>
          <t xml:space="preserve">Thirds profile: last third</t>
        </is>
      </c>
      <c r="B156" s="10" t="inlineStr">
        <is>
          <t xml:space="preserve">%</t>
        </is>
      </c>
      <c r="C156" s="24">
        <v>0.2</v>
      </c>
    </row>
    <row r="157">
      <c r="A157" s="6" t="inlineStr">
        <is>
          <t xml:space="preserve">Numerical zero</t>
        </is>
      </c>
      <c r="C157" s="28">
        <v>0.000001</v>
      </c>
    </row>
    <row r="158">
      <c r="A158" s="6" t="inlineStr">
        <is>
          <t xml:space="preserve">Debt service counted for a DSCR from</t>
        </is>
      </c>
      <c r="B158" s="10" t="inlineStr">
        <is>
          <t xml:space="preserve">€</t>
        </is>
      </c>
      <c r="C158" s="23">
        <v>1</v>
      </c>
    </row>
    <row r="159">
      <c r="A159" s="6" t="inlineStr">
        <is>
          <t xml:space="preserve">Tolerance of the pasted loan and uses (as the website's solver)</t>
        </is>
      </c>
      <c r="B159" s="10" t="inlineStr">
        <is>
          <t xml:space="preserve">€</t>
        </is>
      </c>
      <c r="C159" s="26">
        <v>0.5</v>
      </c>
    </row>
    <row r="160">
      <c r="A160" s="6" t="inlineStr">
        <is>
          <t xml:space="preserve">An XIRR result counts as an IRR when the NPV changes sign within ± this of the rate</t>
        </is>
      </c>
      <c r="C160" s="28">
        <v>0.000001</v>
      </c>
    </row>
    <row r="161">
      <c r="A161" s="6" t="inlineStr">
        <is>
          <t xml:space="preserve">XIRR: the second and third tries start this far below and above the website's result</t>
        </is>
      </c>
      <c r="B161" s="10" t="inlineStr">
        <is>
          <t xml:space="preserve">%</t>
        </is>
      </c>
      <c r="C161" s="24">
        <v>0.01</v>
      </c>
    </row>
    <row r="162">
      <c r="A162" s="6" t="inlineStr">
        <is>
          <t xml:space="preserve">XIRR start value, fourth try</t>
        </is>
      </c>
      <c r="B162" s="10" t="inlineStr">
        <is>
          <t xml:space="preserve">%</t>
        </is>
      </c>
      <c r="C162" s="24">
        <v>-0.05</v>
      </c>
    </row>
    <row r="163">
      <c r="A163" s="6" t="inlineStr">
        <is>
          <t xml:space="preserve">XIRR start value, fifth try</t>
        </is>
      </c>
      <c r="B163" s="10" t="inlineStr">
        <is>
          <t xml:space="preserve">%</t>
        </is>
      </c>
      <c r="C163" s="24">
        <v>0.1</v>
      </c>
    </row>
    <row r="164">
      <c r="A164" s="6" t="inlineStr">
        <is>
          <t xml:space="preserve">Minimum trade-tax multiplier applies from</t>
        </is>
      </c>
      <c r="C164" s="25">
        <v>2027</v>
      </c>
    </row>
    <row r="165">
      <c r="A165" s="6" t="inlineStr">
        <is>
          <t xml:space="preserve">Price basis of the inputs in “2026 money”</t>
        </is>
      </c>
      <c r="C165" s="25">
        <v>2026</v>
      </c>
    </row>
    <row r="166">
      <c r="A166" s="6" t="inlineStr">
        <is>
          <t xml:space="preserve">KfW 270: longest drawdown period (12 months, extendable by up to 24)</t>
        </is>
      </c>
      <c r="B166" s="10" t="inlineStr">
        <is>
          <t xml:space="preserve">months</t>
        </is>
      </c>
      <c r="C166" s="23">
        <v>36</v>
      </c>
    </row>
    <row r="167">
      <c r="A167" s="17" t="inlineStr">
        <is>
          <t xml:space="preserve">KfW 270 variant: loan term up to (years)</t>
        </is>
      </c>
      <c r="B167" s="17" t="inlineStr">
        <is>
          <t xml:space="preserve">Grace years at most</t>
        </is>
      </c>
    </row>
    <row r="168">
      <c r="A168" s="29">
        <v>5</v>
      </c>
      <c r="B168" s="29">
        <v>1</v>
      </c>
    </row>
    <row r="169">
      <c r="A169" s="29">
        <v>10</v>
      </c>
      <c r="B169" s="29">
        <v>2</v>
      </c>
    </row>
    <row r="170">
      <c r="A170" s="29">
        <v>20</v>
      </c>
      <c r="B170" s="29">
        <v>3</v>
      </c>
    </row>
    <row r="171">
      <c r="A171" s="29">
        <v>30</v>
      </c>
      <c r="B171" s="29">
        <v>5</v>
      </c>
    </row>
    <row r="172">
      <c r="A172" s="17" t="inlineStr">
        <is>
          <t xml:space="preserve">Correction factor (§ 36h (1) EEG): site quality %</t>
        </is>
      </c>
      <c r="B172" s="17" t="inlineStr">
        <is>
          <t xml:space="preserve">Factor</t>
        </is>
      </c>
    </row>
    <row r="173">
      <c r="A173" s="29">
        <v>50</v>
      </c>
      <c r="B173" s="30">
        <v>1.55</v>
      </c>
    </row>
    <row r="174">
      <c r="A174" s="29">
        <v>60</v>
      </c>
      <c r="B174" s="30">
        <v>1.42</v>
      </c>
    </row>
    <row r="175">
      <c r="A175" s="29">
        <v>70</v>
      </c>
      <c r="B175" s="30">
        <v>1.29</v>
      </c>
    </row>
    <row r="176">
      <c r="A176" s="29">
        <v>80</v>
      </c>
      <c r="B176" s="30">
        <v>1.16</v>
      </c>
    </row>
    <row r="177">
      <c r="A177" s="29">
        <v>90</v>
      </c>
      <c r="B177" s="30">
        <v>1.07</v>
      </c>
    </row>
    <row r="178">
      <c r="A178" s="29">
        <v>100</v>
      </c>
      <c r="B178" s="30">
        <v>1</v>
      </c>
    </row>
    <row r="179">
      <c r="A179" s="29">
        <v>110</v>
      </c>
      <c r="B179" s="30">
        <v>0.94</v>
      </c>
    </row>
    <row r="180">
      <c r="A180" s="29">
        <v>120</v>
      </c>
      <c r="B180" s="30">
        <v>0.89</v>
      </c>
    </row>
    <row r="181">
      <c r="A181" s="29">
        <v>130</v>
      </c>
      <c r="B181" s="30">
        <v>0.85</v>
      </c>
    </row>
    <row r="182">
      <c r="A182" s="29">
        <v>140</v>
      </c>
      <c r="B182" s="30">
        <v>0.81</v>
      </c>
    </row>
    <row r="183">
      <c r="A183" s="29">
        <v>150</v>
      </c>
      <c r="B183" s="30">
        <v>0.79</v>
      </c>
    </row>
    <row r="184">
      <c r="A184" s="6" t="inlineStr">
        <is>
          <t xml:space="preserve">Factor below 60 % outside the Südregion</t>
        </is>
      </c>
      <c r="C184" s="26">
        <v>1.42</v>
      </c>
    </row>
    <row r="185">
      <c r="A185" s="6" t="inlineStr">
        <is>
          <t xml:space="preserve">Factor at or below 50 % in the Südregion</t>
        </is>
      </c>
      <c r="C185" s="26">
        <v>1.55</v>
      </c>
    </row>
    <row r="186">
      <c r="A186" s="6" t="inlineStr">
        <is>
          <t xml:space="preserve">Factor from 150 %</t>
        </is>
      </c>
      <c r="C186" s="26">
        <v>0.79</v>
      </c>
    </row>
    <row r="187">
      <c r="A187" s="6" t="inlineStr">
        <is>
          <t xml:space="preserve">Lowest table point in the Südregion</t>
        </is>
      </c>
      <c r="B187" s="10" t="inlineStr">
        <is>
          <t xml:space="preserve">%</t>
        </is>
      </c>
      <c r="C187" s="23">
        <v>50</v>
      </c>
    </row>
    <row r="188">
      <c r="A188" s="6" t="inlineStr">
        <is>
          <t xml:space="preserve">Lowest table point elsewhere</t>
        </is>
      </c>
      <c r="B188" s="10" t="inlineStr">
        <is>
          <t xml:space="preserve">%</t>
        </is>
      </c>
      <c r="C188" s="23">
        <v>60</v>
      </c>
    </row>
    <row r="189">
      <c r="A189" s="6" t="inlineStr">
        <is>
          <t xml:space="preserve">Highest table point</t>
        </is>
      </c>
      <c r="B189" s="10" t="inlineStr">
        <is>
          <t xml:space="preserve">%</t>
        </is>
      </c>
      <c r="C189" s="23">
        <v>150</v>
      </c>
    </row>
    <row r="191">
      <c r="A191" s="3" t="inlineStr">
        <is>
          <t xml:space="preserve">Solved on the website — pasted values, do not edit</t>
        </is>
      </c>
    </row>
    <row r="192">
      <c r="A192" s="6" t="inlineStr">
        <is>
          <t xml:space="preserve">Senior loan</t>
        </is>
      </c>
      <c r="B192" s="10" t="inlineStr">
        <is>
          <t xml:space="preserve">€</t>
        </is>
      </c>
      <c r="C192" s="31">
        <v>20632341.68303732</v>
      </c>
      <c r="D192" s="2" t="inlineStr">
        <is>
          <t xml:space="preserve">re-solve on the website if the checks fail</t>
        </is>
      </c>
    </row>
    <row r="193">
      <c r="A193" s="6" t="inlineStr">
        <is>
          <t xml:space="preserve">Total uses (base, P90 1-yr, P90 10-yr)</t>
        </is>
      </c>
      <c r="B193" s="10" t="inlineStr">
        <is>
          <t xml:space="preserve">€</t>
        </is>
      </c>
      <c r="C193" s="31">
        <v>59303606.70605988</v>
      </c>
      <c r="D193" s="2" t="inlineStr">
        <is>
          <t xml:space="preserve">re-solve on the website if the checks fail</t>
        </is>
      </c>
    </row>
    <row r="194">
      <c r="A194" s="6" t="inlineStr">
        <is>
          <t xml:space="preserve">Total uses (downside: capex overrun)</t>
        </is>
      </c>
      <c r="B194" s="10" t="inlineStr">
        <is>
          <t xml:space="preserve">€</t>
        </is>
      </c>
      <c r="C194" s="31">
        <v>62166235.26630913</v>
      </c>
      <c r="D194" s="2" t="inlineStr">
        <is>
          <t xml:space="preserve">re-solve on the website if the checks fail</t>
        </is>
      </c>
    </row>
    <row r="195">
      <c r="A195" s="6" t="inlineStr">
        <is>
          <t xml:space="preserve">Financial close at download</t>
        </is>
      </c>
      <c r="B195" s="10" t="inlineStr">
        <is>
          <t xml:space="preserve">date</t>
        </is>
      </c>
      <c r="C195" s="32">
        <v>46388</v>
      </c>
      <c r="D195" s="2" t="inlineStr">
        <is>
          <t xml:space="preserve">re-solve on the website if the checks fail</t>
        </is>
      </c>
    </row>
    <row r="196">
      <c r="A196" s="6" t="inlineStr">
        <is>
          <t xml:space="preserve">Construction months at download</t>
        </is>
      </c>
      <c r="B196" s="10" t="inlineStr">
        <is>
          <t xml:space="preserve">months</t>
        </is>
      </c>
      <c r="C196" s="33">
        <v>18</v>
      </c>
      <c r="D196" s="2" t="inlineStr">
        <is>
          <t xml:space="preserve">re-solve on the website if the checks fail</t>
        </is>
      </c>
    </row>
    <row r="197">
      <c r="A197" s="6" t="inlineStr">
        <is>
          <t xml:space="preserve">Operating life at download</t>
        </is>
      </c>
      <c r="B197" s="10" t="inlineStr">
        <is>
          <t xml:space="preserve">years</t>
        </is>
      </c>
      <c r="C197" s="33">
        <v>25</v>
      </c>
      <c r="D197" s="2" t="inlineStr">
        <is>
          <t xml:space="preserve">re-solve on the website if the checks fail</t>
        </is>
      </c>
    </row>
    <row r="198">
      <c r="A198" s="6" t="inlineStr">
        <is>
          <t xml:space="preserve">Loan term at download</t>
        </is>
      </c>
      <c r="B198" s="10" t="inlineStr">
        <is>
          <t xml:space="preserve">years</t>
        </is>
      </c>
      <c r="C198" s="33">
        <v>20</v>
      </c>
      <c r="D198" s="2" t="inlineStr">
        <is>
          <t xml:space="preserve">re-solve on the website if the checks fail</t>
        </is>
      </c>
    </row>
    <row r="199">
      <c r="A199" s="6" t="inlineStr">
        <is>
          <t xml:space="preserve">Grace years at download</t>
        </is>
      </c>
      <c r="B199" s="10" t="inlineStr">
        <is>
          <t xml:space="preserve">years</t>
        </is>
      </c>
      <c r="C199" s="33">
        <v>3</v>
      </c>
      <c r="D199" s="2" t="inlineStr">
        <is>
          <t xml:space="preserve">re-solve on the website if the checks fail</t>
        </is>
      </c>
    </row>
    <row r="200">
      <c r="A200" s="6" t="inlineStr">
        <is>
          <t xml:space="preserve">Repayment at download</t>
        </is>
      </c>
      <c r="C200" s="34" t="inlineStr">
        <is>
          <t xml:space="preserve">linear</t>
        </is>
      </c>
      <c r="D200" s="2" t="inlineStr">
        <is>
          <t xml:space="preserve">re-solve on the website if the checks fail</t>
        </is>
      </c>
    </row>
  </sheetData>
  <dataValidations count="9">
    <dataValidation type="list" allowBlank="0" showErrorMessage="1" errorTitle="Not a valid value" error="Choose one of: TRUE, FALSE" sqref="C17">
      <formula1>"TRUE,FALSE"</formula1>
    </dataValidation>
    <dataValidation type="list" allowBlank="0" showErrorMessage="1" errorTitle="Not a valid value" error="Choose one of: market, ppa" sqref="C33">
      <formula1>"market,ppa"</formula1>
    </dataValidation>
    <dataValidation type="list" allowBlank="0" showErrorMessage="1" errorTitle="Not a valid value" error="Choose one of: TRUE, FALSE" sqref="C35">
      <formula1>"TRUE,FALSE"</formula1>
    </dataValidation>
    <dataValidation type="list" allowBlank="0" showErrorMessage="1" errorTitle="Not a valid value" error="Choose one of: TRUE, FALSE" sqref="C39">
      <formula1>"TRUE,FALSE"</formula1>
    </dataValidation>
    <dataValidation type="list" allowBlank="0" showErrorMessage="1" errorTitle="Not a valid value" error="Choose one of: floor, base" sqref="C40">
      <formula1>"floor,base"</formula1>
    </dataValidation>
    <dataValidation type="list" allowBlank="0" showErrorMessage="1" errorTitle="Not a valid value" error="Choose one of: linear, annuity, sculpted" sqref="C77">
      <formula1>"linear,annuity,sculpted"</formula1>
    </dataValidation>
    <dataValidation type="list" allowBlank="0" showErrorMessage="1" errorTitle="Not a valid value" error="Choose one of: TRUE, FALSE" sqref="C88">
      <formula1>"TRUE,FALSE"</formula1>
    </dataValidation>
    <dataValidation type="list" allowBlank="0" showErrorMessage="1" errorTitle="Not a valid value" error="Choose one of: KG, GmbH" sqref="C91">
      <formula1>"KG,GmbH"</formula1>
    </dataValidation>
    <dataValidation type="list" allowBlank="0" showErrorMessage="1" errorTitle="Not a valid value" error="Choose one of: TRUE, FALSE" sqref="C94">
      <formula1>"TRUE,FALSE"</formula1>
    </dataValidation>
  </dataValidations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Timing</t>
        </is>
      </c>
    </row>
    <row r="2">
      <c r="A2" s="2" t="inlineStr">
        <is>
          <t xml:space="preserve">Dates, operating days, support shares, price index and loan calendar by calendar year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5">
      <c r="A5" s="3" t="inlineStr">
        <is>
          <t xml:space="preserve">Dates</t>
        </is>
      </c>
    </row>
    <row r="6">
      <c r="A6" s="6" t="inlineStr">
        <is>
          <t xml:space="preserve">Financial close</t>
        </is>
      </c>
      <c r="C6" s="36">
        <f>Inputs!$C$10</f>
        <v>46388</v>
      </c>
    </row>
    <row r="7">
      <c r="A7" s="6" t="inlineStr">
        <is>
          <t xml:space="preserve">Commissioning (COD)</t>
        </is>
      </c>
      <c r="C7" s="27">
        <f>EDATE($C$6,Inputs!$C$11)</f>
        <v>46935</v>
      </c>
    </row>
    <row r="8">
      <c r="A8" s="6" t="inlineStr">
        <is>
          <t xml:space="preserve">End of life</t>
        </is>
      </c>
      <c r="C8" s="27">
        <f>EDATE($C$7,12*Inputs!$C$12)</f>
        <v>56066</v>
      </c>
    </row>
    <row r="9">
      <c r="A9" s="6" t="inlineStr">
        <is>
          <t xml:space="preserve">EEG support: 20 years from COD</t>
        </is>
      </c>
      <c r="C9" s="27">
        <f>EDATE($C$7,12*Inputs!$C$138)</f>
        <v>54240</v>
      </c>
    </row>
    <row r="10">
      <c r="A10" s="6" t="inlineStr">
        <is>
          <t xml:space="preserve">§ 51a: end of the count (COD year + 19 calendar years)</t>
        </is>
      </c>
      <c r="C10" s="27">
        <f>MIN($C$9,DATE(YEAR($C$7)+Inputs!$C$139,1,1))</f>
        <v>54058</v>
      </c>
    </row>
    <row r="11">
      <c r="A11" s="6" t="inlineStr">
        <is>
          <t xml:space="preserve">EEG support ends (§ 51a extension, whole days)</t>
        </is>
      </c>
      <c r="C11" s="27">
        <f>$C$9+ROUNDUP(Inputs!$C$24*($C$10-$C$7),0)</f>
        <v>54703</v>
      </c>
    </row>
    <row r="12">
      <c r="A12" s="6" t="inlineStr">
        <is>
          <t xml:space="preserve">§ 36h review from</t>
        </is>
      </c>
      <c r="C12" s="27">
        <f>EDATE($C$7,12*Inputs!$C$140)</f>
        <v>48761</v>
      </c>
    </row>
    <row r="13">
      <c r="A13" s="6" t="inlineStr">
        <is>
          <t xml:space="preserve">§ 36h review from</t>
        </is>
      </c>
      <c r="C13" s="27">
        <f>EDATE($C$7,12*Inputs!$C$141)</f>
        <v>50587</v>
      </c>
    </row>
    <row r="14">
      <c r="A14" s="6" t="inlineStr">
        <is>
          <t xml:space="preserve">§ 36h review from</t>
        </is>
      </c>
      <c r="C14" s="27">
        <f>EDATE($C$7,12*Inputs!$C$142)</f>
        <v>52413</v>
      </c>
    </row>
    <row r="15">
      <c r="A15" s="6" t="inlineStr">
        <is>
          <t xml:space="preserve">Year of COD</t>
        </is>
      </c>
      <c r="C15" s="25">
        <f>YEAR($C$7)</f>
        <v>2028</v>
      </c>
    </row>
    <row r="16">
      <c r="A16" s="6" t="inlineStr">
        <is>
          <t xml:space="preserve">First full operating year</t>
        </is>
      </c>
      <c r="C16" s="25">
        <f>IF($C$7=DATE(YEAR($C$7),1,1),YEAR($C$7),YEAR($C$7)+1)</f>
        <v>2029</v>
      </c>
    </row>
    <row r="17">
      <c r="A17" s="6" t="inlineStr">
        <is>
          <t xml:space="preserve">Last operating year</t>
        </is>
      </c>
      <c r="C17" s="25">
        <f>YEAR($C$8-1)</f>
        <v>2053</v>
      </c>
    </row>
    <row r="18">
      <c r="A18" s="6" t="inlineStr">
        <is>
          <t xml:space="preserve">Award lapses (§ 36e)</t>
        </is>
      </c>
      <c r="C18" s="27">
        <f>EDATE(Inputs!$C$29,Inputs!$C$145)</f>
        <v>47378</v>
      </c>
    </row>
    <row r="19">
      <c r="A19" s="6" t="inlineStr">
        <is>
          <t xml:space="preserve">Penalty for later commissioning (§ 55)</t>
        </is>
      </c>
      <c r="C19" s="27">
        <f>EDATE(Inputs!$C$29,Inputs!$C$146)</f>
        <v>47194</v>
      </c>
    </row>
    <row r="20">
      <c r="A20" s="6" t="inlineStr">
        <is>
          <t xml:space="preserve">Grace period ends</t>
        </is>
      </c>
      <c r="C20" s="27">
        <f>EDATE($C$6,12*Inputs!$C$76)</f>
        <v>47484</v>
      </c>
    </row>
    <row r="21">
      <c r="A21" s="6" t="inlineStr">
        <is>
          <t xml:space="preserve">First instalment</t>
        </is>
      </c>
      <c r="C21" s="27">
        <f>EDATE($C$6,12*Inputs!$C$76+3)-1</f>
        <v>47573</v>
      </c>
    </row>
    <row r="22">
      <c r="A22" s="6" t="inlineStr">
        <is>
          <t xml:space="preserve">Last instalment</t>
        </is>
      </c>
      <c r="C22" s="27">
        <f>EDATE($C$6,12*Inputs!$C$75)-1</f>
        <v>53692</v>
      </c>
    </row>
    <row r="23">
      <c r="A23" s="6" t="inlineStr">
        <is>
          <t xml:space="preserve">Year of the last instalment</t>
        </is>
      </c>
      <c r="C23" s="25">
        <f>YEAR($C$22)</f>
        <v>2046</v>
      </c>
    </row>
    <row r="24">
      <c r="A24" s="6" t="inlineStr">
        <is>
          <t xml:space="preserve">First repayment year</t>
        </is>
      </c>
      <c r="C24" s="25">
        <f>YEAR($C$21)</f>
        <v>2030</v>
      </c>
    </row>
    <row r="25">
      <c r="A25" s="6" t="inlineStr">
        <is>
          <t xml:space="preserve">Quarterly instalments</t>
        </is>
      </c>
      <c r="C25" s="23">
        <f>4*(Inputs!$C$75-Inputs!$C$76)</f>
        <v>68</v>
      </c>
    </row>
    <row r="27">
      <c r="A27" s="3" t="inlineStr">
        <is>
          <t xml:space="preserve">Farm and price basis</t>
        </is>
      </c>
    </row>
    <row r="28">
      <c r="A28" s="6" t="inlineStr">
        <is>
          <t xml:space="preserve">Capacity</t>
        </is>
      </c>
      <c r="B28" s="10" t="inlineStr">
        <is>
          <t xml:space="preserve">kW</t>
        </is>
      </c>
      <c r="C28" s="23">
        <f>Inputs!$C$6*Inputs!$C$7*1000</f>
        <v>31500</v>
      </c>
    </row>
    <row r="29">
      <c r="A29" s="6" t="inlineStr">
        <is>
          <t xml:space="preserve">Full-load hours P50, net</t>
        </is>
      </c>
      <c r="B29" s="10" t="inlineStr">
        <is>
          <t xml:space="preserve">h/yr</t>
        </is>
      </c>
      <c r="C29" s="26">
        <f>Inputs!$C$16*Inputs!$C$15*MIN(1,Inputs!$C$18/Inputs!$C$136)*(1-Inputs!$C$19)</f>
        <v>2438.500816326531</v>
      </c>
    </row>
    <row r="30">
      <c r="A30" s="6" t="inlineStr">
        <is>
          <t xml:space="preserve">Price index 2026 (2025 = 1)</t>
        </is>
      </c>
      <c r="C30" s="37">
        <f>1+IF(COUNTIF(Inputs!$A$98:$A$100,Inputs!$C$165)&gt;0,SUMIFS(Inputs!$B$98:$B$100,Inputs!$A$98:$A$100,Inputs!$C$165),Inputs!$C$101)</f>
        <v>1.029</v>
      </c>
    </row>
    <row r="31">
      <c r="A31" s="6" t="inlineStr">
        <is>
          <t xml:space="preserve">Premium true-up collected after … years</t>
        </is>
      </c>
      <c r="C31" s="23">
        <f>IF(Inputs!$C$37&gt;0,ROUNDUP(Inputs!$C$37/12,0),0)</f>
        <v>1</v>
      </c>
    </row>
    <row r="32">
      <c r="A32" s="6" t="inlineStr">
        <is>
          <t xml:space="preserve">§ 6 refund per kWh</t>
        </is>
      </c>
      <c r="B32" s="10" t="inlineStr">
        <is>
          <t xml:space="preserve">€/kWh</t>
        </is>
      </c>
      <c r="C32" s="37">
        <f>MIN(Inputs!$C$38,Inputs!$C$144)/100</f>
        <v>0.002</v>
      </c>
    </row>
    <row r="33">
      <c r="A33" s="6" t="inlineStr">
        <is>
          <t xml:space="preserve">Decommissioning security</t>
        </is>
      </c>
      <c r="B33" s="10" t="inlineStr">
        <is>
          <t xml:space="preserve">€</t>
        </is>
      </c>
      <c r="C33" s="23">
        <f>Inputs!$C$8*Inputs!$C$67*Inputs!$C$6</f>
        <v>795000</v>
      </c>
    </row>
    <row r="34">
      <c r="A34" s="6" t="inlineStr">
        <is>
          <t xml:space="preserve">Decommissioning cost at the end of life</t>
        </is>
      </c>
      <c r="B34" s="10" t="inlineStr">
        <is>
          <t xml:space="preserve">€</t>
        </is>
      </c>
      <c r="C34" s="23">
        <f>Inputs!$C$69*$C$28*INDEX($F$76:$AE$76,MATCH($C$17,$F$59:$AE$59,0))</f>
        <v>2704141.9142092974</v>
      </c>
    </row>
    <row r="35">
      <c r="A35" s="6" t="inlineStr">
        <is>
          <t xml:space="preserve">Declining-balance depreciation allowed (1 = yes)</t>
        </is>
      </c>
      <c r="C35" s="23">
        <f>IF(AND(Inputs!$C$94,$C$7&gt;=Inputs!$C$134,$C$7&lt;=Inputs!$C$135),1,0)</f>
        <v>0</v>
      </c>
    </row>
    <row r="36">
      <c r="A36" s="6" t="inlineStr">
        <is>
          <t xml:space="preserve">Declining-balance rate</t>
        </is>
      </c>
      <c r="C36" s="22">
        <f>MIN(Inputs!$C$132/Inputs!$C$93,Inputs!$C$133)</f>
        <v>0.1875</v>
      </c>
    </row>
    <row r="37">
      <c r="A37" s="6" t="inlineStr">
        <is>
          <t xml:space="preserve">Decommissioning cost in 2026 money</t>
        </is>
      </c>
      <c r="B37" s="10" t="inlineStr">
        <is>
          <t xml:space="preserve">€</t>
        </is>
      </c>
      <c r="C37" s="23">
        <f>Inputs!$C$69*$C$28</f>
        <v>1575000</v>
      </c>
    </row>
    <row r="39">
      <c r="A39" s="17" t="inlineStr">
        <is>
          <t xml:space="preserve">Year</t>
        </is>
      </c>
      <c r="B39" s="17" t="inlineStr">
        <is>
          <t xml:space="preserve">Price index (2025 = 1)</t>
        </is>
      </c>
    </row>
    <row r="40">
      <c r="A40" s="38">
        <v>2025</v>
      </c>
      <c r="B40" s="39">
        <v>1</v>
      </c>
    </row>
    <row r="41">
      <c r="A41" s="25">
        <f>$A$40+1</f>
        <v>2026</v>
      </c>
      <c r="B41" s="37">
        <f>$B$40*(1+IF(COUNTIF(Inputs!$A$98:$A$100,$A$41)&gt;0,SUMIFS(Inputs!$B$98:$B$100,Inputs!$A$98:$A$100,$A$41),Inputs!$C$101))</f>
        <v>1.029</v>
      </c>
    </row>
    <row r="42">
      <c r="A42" s="25">
        <f>$A$41+1</f>
        <v>2027</v>
      </c>
      <c r="B42" s="37">
        <f>$B$41*(1+IF(COUNTIF(Inputs!$A$98:$A$100,$A$42)&gt;0,SUMIFS(Inputs!$B$98:$B$100,Inputs!$A$98:$A$100,$A$42),Inputs!$C$101))</f>
        <v>1.0567829999999998</v>
      </c>
    </row>
    <row r="43">
      <c r="A43" s="25">
        <f>$A$42+1</f>
        <v>2028</v>
      </c>
      <c r="B43" s="37">
        <f>$B$42*(1+IF(COUNTIF(Inputs!$A$98:$A$100,$A$43)&gt;0,SUMIFS(Inputs!$B$98:$B$100,Inputs!$A$98:$A$100,$A$43),Inputs!$C$101))</f>
        <v>1.0768618769999998</v>
      </c>
    </row>
    <row r="44">
      <c r="A44" s="25">
        <f>$A$43+1</f>
        <v>2029</v>
      </c>
      <c r="B44" s="37">
        <f>$B$43*(1+IF(COUNTIF(Inputs!$A$98:$A$100,$A$44)&gt;0,SUMIFS(Inputs!$B$98:$B$100,Inputs!$A$98:$A$100,$A$44),Inputs!$C$101))</f>
        <v>1.0983991145399998</v>
      </c>
    </row>
    <row r="45">
      <c r="A45" s="25">
        <f>$A$44+1</f>
        <v>2030</v>
      </c>
      <c r="B45" s="37">
        <f>$B$44*(1+IF(COUNTIF(Inputs!$A$98:$A$100,$A$45)&gt;0,SUMIFS(Inputs!$B$98:$B$100,Inputs!$A$98:$A$100,$A$45),Inputs!$C$101))</f>
        <v>1.1203670968308</v>
      </c>
    </row>
    <row r="46">
      <c r="A46" s="25">
        <f>$A$45+1</f>
        <v>2031</v>
      </c>
      <c r="B46" s="37">
        <f>$B$45*(1+IF(COUNTIF(Inputs!$A$98:$A$100,$A$46)&gt;0,SUMIFS(Inputs!$B$98:$B$100,Inputs!$A$98:$A$100,$A$46),Inputs!$C$101))</f>
        <v>1.142774438767416</v>
      </c>
    </row>
    <row r="47">
      <c r="A47" s="25">
        <f>$A$46+1</f>
        <v>2032</v>
      </c>
      <c r="B47" s="37">
        <f>$B$46*(1+IF(COUNTIF(Inputs!$A$98:$A$100,$A$47)&gt;0,SUMIFS(Inputs!$B$98:$B$100,Inputs!$A$98:$A$100,$A$47),Inputs!$C$101))</f>
        <v>1.1656299275427642</v>
      </c>
    </row>
    <row r="48">
      <c r="A48" s="25">
        <f>$A$47+1</f>
        <v>2033</v>
      </c>
      <c r="B48" s="37">
        <f>$B$47*(1+IF(COUNTIF(Inputs!$A$98:$A$100,$A$48)&gt;0,SUMIFS(Inputs!$B$98:$B$100,Inputs!$A$98:$A$100,$A$48),Inputs!$C$101))</f>
        <v>1.1889425260936195</v>
      </c>
    </row>
    <row r="49">
      <c r="A49" s="25">
        <f>$A$48+1</f>
        <v>2034</v>
      </c>
      <c r="B49" s="37">
        <f>$B$48*(1+IF(COUNTIF(Inputs!$A$98:$A$100,$A$49)&gt;0,SUMIFS(Inputs!$B$98:$B$100,Inputs!$A$98:$A$100,$A$49),Inputs!$C$101))</f>
        <v>1.2127213766154918</v>
      </c>
    </row>
    <row r="50">
      <c r="A50" s="25">
        <f>$A$49+1</f>
        <v>2035</v>
      </c>
      <c r="B50" s="37">
        <f>$B$49*(1+IF(COUNTIF(Inputs!$A$98:$A$100,$A$50)&gt;0,SUMIFS(Inputs!$B$98:$B$100,Inputs!$A$98:$A$100,$A$50),Inputs!$C$101))</f>
        <v>1.2369758041478016</v>
      </c>
    </row>
    <row r="51">
      <c r="A51" s="25">
        <f>$A$50+1</f>
        <v>2036</v>
      </c>
      <c r="B51" s="37">
        <f>$B$50*(1+IF(COUNTIF(Inputs!$A$98:$A$100,$A$51)&gt;0,SUMIFS(Inputs!$B$98:$B$100,Inputs!$A$98:$A$100,$A$51),Inputs!$C$101))</f>
        <v>1.2617153202307576</v>
      </c>
    </row>
    <row r="52">
      <c r="A52" s="25">
        <f>$A$51+1</f>
        <v>2037</v>
      </c>
      <c r="B52" s="37">
        <f>$B$51*(1+IF(COUNTIF(Inputs!$A$98:$A$100,$A$52)&gt;0,SUMIFS(Inputs!$B$98:$B$100,Inputs!$A$98:$A$100,$A$52),Inputs!$C$101))</f>
        <v>1.2869496266353728</v>
      </c>
    </row>
    <row r="53">
      <c r="A53" s="25">
        <f>$A$52+1</f>
        <v>2038</v>
      </c>
      <c r="B53" s="37">
        <f>$B$52*(1+IF(COUNTIF(Inputs!$A$98:$A$100,$A$53)&gt;0,SUMIFS(Inputs!$B$98:$B$100,Inputs!$A$98:$A$100,$A$53),Inputs!$C$101))</f>
        <v>1.3126886191680802</v>
      </c>
    </row>
    <row r="54">
      <c r="A54" s="25">
        <f>$A$53+1</f>
        <v>2039</v>
      </c>
      <c r="B54" s="37">
        <f>$B$53*(1+IF(COUNTIF(Inputs!$A$98:$A$100,$A$54)&gt;0,SUMIFS(Inputs!$B$98:$B$100,Inputs!$A$98:$A$100,$A$54),Inputs!$C$101))</f>
        <v>1.3389423915514418</v>
      </c>
    </row>
    <row r="55">
      <c r="A55" s="25">
        <f>$A$54+1</f>
        <v>2040</v>
      </c>
      <c r="B55" s="37">
        <f>$B$54*(1+IF(COUNTIF(Inputs!$A$98:$A$100,$A$55)&gt;0,SUMIFS(Inputs!$B$98:$B$100,Inputs!$A$98:$A$100,$A$55),Inputs!$C$101))</f>
        <v>1.3657212393824707</v>
      </c>
    </row>
    <row r="57">
      <c r="A57" s="3" t="inlineStr">
        <is>
          <t xml:space="preserve">Operating years</t>
        </is>
      </c>
    </row>
    <row r="58">
      <c r="A58" s="6" t="inlineStr">
        <is>
          <t xml:space="preserve">Operating period</t>
        </is>
      </c>
      <c r="F58" s="23">
        <v>1</v>
      </c>
      <c r="G58" s="23">
        <v>2</v>
      </c>
      <c r="H58" s="23">
        <v>3</v>
      </c>
      <c r="I58" s="23">
        <v>4</v>
      </c>
      <c r="J58" s="23">
        <v>5</v>
      </c>
      <c r="K58" s="23">
        <v>6</v>
      </c>
      <c r="L58" s="23">
        <v>7</v>
      </c>
      <c r="M58" s="23">
        <v>8</v>
      </c>
      <c r="N58" s="23">
        <v>9</v>
      </c>
      <c r="O58" s="23">
        <v>10</v>
      </c>
      <c r="P58" s="23">
        <v>11</v>
      </c>
      <c r="Q58" s="23">
        <v>12</v>
      </c>
      <c r="R58" s="23">
        <v>13</v>
      </c>
      <c r="S58" s="23">
        <v>14</v>
      </c>
      <c r="T58" s="23">
        <v>15</v>
      </c>
      <c r="U58" s="23">
        <v>16</v>
      </c>
      <c r="V58" s="23">
        <v>17</v>
      </c>
      <c r="W58" s="23">
        <v>18</v>
      </c>
      <c r="X58" s="23">
        <v>19</v>
      </c>
      <c r="Y58" s="23">
        <v>20</v>
      </c>
      <c r="Z58" s="23">
        <v>21</v>
      </c>
      <c r="AA58" s="23">
        <v>22</v>
      </c>
      <c r="AB58" s="23">
        <v>23</v>
      </c>
      <c r="AC58" s="23">
        <v>24</v>
      </c>
      <c r="AD58" s="23">
        <v>25</v>
      </c>
      <c r="AE58" s="23">
        <v>26</v>
      </c>
    </row>
    <row r="59">
      <c r="A59" s="6" t="inlineStr">
        <is>
          <t xml:space="preserve">Calendar year</t>
        </is>
      </c>
      <c r="F59" s="25">
        <f>$C$15+F58-1</f>
        <v>2028</v>
      </c>
      <c r="G59" s="25">
        <f>$C$15+G58-1</f>
        <v>2029</v>
      </c>
      <c r="H59" s="25">
        <f>$C$15+H58-1</f>
        <v>2030</v>
      </c>
      <c r="I59" s="25">
        <f>$C$15+I58-1</f>
        <v>2031</v>
      </c>
      <c r="J59" s="25">
        <f>$C$15+J58-1</f>
        <v>2032</v>
      </c>
      <c r="K59" s="25">
        <f>$C$15+K58-1</f>
        <v>2033</v>
      </c>
      <c r="L59" s="25">
        <f>$C$15+L58-1</f>
        <v>2034</v>
      </c>
      <c r="M59" s="25">
        <f>$C$15+M58-1</f>
        <v>2035</v>
      </c>
      <c r="N59" s="25">
        <f>$C$15+N58-1</f>
        <v>2036</v>
      </c>
      <c r="O59" s="25">
        <f>$C$15+O58-1</f>
        <v>2037</v>
      </c>
      <c r="P59" s="25">
        <f>$C$15+P58-1</f>
        <v>2038</v>
      </c>
      <c r="Q59" s="25">
        <f>$C$15+Q58-1</f>
        <v>2039</v>
      </c>
      <c r="R59" s="25">
        <f>$C$15+R58-1</f>
        <v>2040</v>
      </c>
      <c r="S59" s="25">
        <f>$C$15+S58-1</f>
        <v>2041</v>
      </c>
      <c r="T59" s="25">
        <f>$C$15+T58-1</f>
        <v>2042</v>
      </c>
      <c r="U59" s="25">
        <f>$C$15+U58-1</f>
        <v>2043</v>
      </c>
      <c r="V59" s="25">
        <f>$C$15+V58-1</f>
        <v>2044</v>
      </c>
      <c r="W59" s="25">
        <f>$C$15+W58-1</f>
        <v>2045</v>
      </c>
      <c r="X59" s="25">
        <f>$C$15+X58-1</f>
        <v>2046</v>
      </c>
      <c r="Y59" s="25">
        <f>$C$15+Y58-1</f>
        <v>2047</v>
      </c>
      <c r="Z59" s="25">
        <f>$C$15+Z58-1</f>
        <v>2048</v>
      </c>
      <c r="AA59" s="25">
        <f>$C$15+AA58-1</f>
        <v>2049</v>
      </c>
      <c r="AB59" s="25">
        <f>$C$15+AB58-1</f>
        <v>2050</v>
      </c>
      <c r="AC59" s="25">
        <f>$C$15+AC58-1</f>
        <v>2051</v>
      </c>
      <c r="AD59" s="25">
        <f>$C$15+AD58-1</f>
        <v>2052</v>
      </c>
      <c r="AE59" s="25">
        <f>$C$15+AE58-1</f>
        <v>2053</v>
      </c>
    </row>
    <row r="60">
      <c r="A60" s="6" t="inlineStr">
        <is>
          <t xml:space="preserve">Year starts</t>
        </is>
      </c>
      <c r="F60" s="27">
        <f>DATE(F59,1,1)</f>
        <v>46753</v>
      </c>
      <c r="G60" s="27">
        <f>DATE(G59,1,1)</f>
        <v>47119</v>
      </c>
      <c r="H60" s="27">
        <f>DATE(H59,1,1)</f>
        <v>47484</v>
      </c>
      <c r="I60" s="27">
        <f>DATE(I59,1,1)</f>
        <v>47849</v>
      </c>
      <c r="J60" s="27">
        <f>DATE(J59,1,1)</f>
        <v>48214</v>
      </c>
      <c r="K60" s="27">
        <f>DATE(K59,1,1)</f>
        <v>48580</v>
      </c>
      <c r="L60" s="27">
        <f>DATE(L59,1,1)</f>
        <v>48945</v>
      </c>
      <c r="M60" s="27">
        <f>DATE(M59,1,1)</f>
        <v>49310</v>
      </c>
      <c r="N60" s="27">
        <f>DATE(N59,1,1)</f>
        <v>49675</v>
      </c>
      <c r="O60" s="27">
        <f>DATE(O59,1,1)</f>
        <v>50041</v>
      </c>
      <c r="P60" s="27">
        <f>DATE(P59,1,1)</f>
        <v>50406</v>
      </c>
      <c r="Q60" s="27">
        <f>DATE(Q59,1,1)</f>
        <v>50771</v>
      </c>
      <c r="R60" s="27">
        <f>DATE(R59,1,1)</f>
        <v>51136</v>
      </c>
      <c r="S60" s="27">
        <f>DATE(S59,1,1)</f>
        <v>51502</v>
      </c>
      <c r="T60" s="27">
        <f>DATE(T59,1,1)</f>
        <v>51867</v>
      </c>
      <c r="U60" s="27">
        <f>DATE(U59,1,1)</f>
        <v>52232</v>
      </c>
      <c r="V60" s="27">
        <f>DATE(V59,1,1)</f>
        <v>52597</v>
      </c>
      <c r="W60" s="27">
        <f>DATE(W59,1,1)</f>
        <v>52963</v>
      </c>
      <c r="X60" s="27">
        <f>DATE(X59,1,1)</f>
        <v>53328</v>
      </c>
      <c r="Y60" s="27">
        <f>DATE(Y59,1,1)</f>
        <v>53693</v>
      </c>
      <c r="Z60" s="27">
        <f>DATE(Z59,1,1)</f>
        <v>54058</v>
      </c>
      <c r="AA60" s="27">
        <f>DATE(AA59,1,1)</f>
        <v>54424</v>
      </c>
      <c r="AB60" s="27">
        <f>DATE(AB59,1,1)</f>
        <v>54789</v>
      </c>
      <c r="AC60" s="27">
        <f>DATE(AC59,1,1)</f>
        <v>55154</v>
      </c>
      <c r="AD60" s="27">
        <f>DATE(AD59,1,1)</f>
        <v>55519</v>
      </c>
      <c r="AE60" s="27">
        <f>DATE(AE59,1,1)</f>
        <v>55885</v>
      </c>
    </row>
    <row r="61">
      <c r="A61" s="6" t="inlineStr">
        <is>
          <t xml:space="preserve">Next year starts</t>
        </is>
      </c>
      <c r="F61" s="27">
        <f>DATE(F59+1,1,1)</f>
        <v>47119</v>
      </c>
      <c r="G61" s="27">
        <f>DATE(G59+1,1,1)</f>
        <v>47484</v>
      </c>
      <c r="H61" s="27">
        <f>DATE(H59+1,1,1)</f>
        <v>47849</v>
      </c>
      <c r="I61" s="27">
        <f>DATE(I59+1,1,1)</f>
        <v>48214</v>
      </c>
      <c r="J61" s="27">
        <f>DATE(J59+1,1,1)</f>
        <v>48580</v>
      </c>
      <c r="K61" s="27">
        <f>DATE(K59+1,1,1)</f>
        <v>48945</v>
      </c>
      <c r="L61" s="27">
        <f>DATE(L59+1,1,1)</f>
        <v>49310</v>
      </c>
      <c r="M61" s="27">
        <f>DATE(M59+1,1,1)</f>
        <v>49675</v>
      </c>
      <c r="N61" s="27">
        <f>DATE(N59+1,1,1)</f>
        <v>50041</v>
      </c>
      <c r="O61" s="27">
        <f>DATE(O59+1,1,1)</f>
        <v>50406</v>
      </c>
      <c r="P61" s="27">
        <f>DATE(P59+1,1,1)</f>
        <v>50771</v>
      </c>
      <c r="Q61" s="27">
        <f>DATE(Q59+1,1,1)</f>
        <v>51136</v>
      </c>
      <c r="R61" s="27">
        <f>DATE(R59+1,1,1)</f>
        <v>51502</v>
      </c>
      <c r="S61" s="27">
        <f>DATE(S59+1,1,1)</f>
        <v>51867</v>
      </c>
      <c r="T61" s="27">
        <f>DATE(T59+1,1,1)</f>
        <v>52232</v>
      </c>
      <c r="U61" s="27">
        <f>DATE(U59+1,1,1)</f>
        <v>52597</v>
      </c>
      <c r="V61" s="27">
        <f>DATE(V59+1,1,1)</f>
        <v>52963</v>
      </c>
      <c r="W61" s="27">
        <f>DATE(W59+1,1,1)</f>
        <v>53328</v>
      </c>
      <c r="X61" s="27">
        <f>DATE(X59+1,1,1)</f>
        <v>53693</v>
      </c>
      <c r="Y61" s="27">
        <f>DATE(Y59+1,1,1)</f>
        <v>54058</v>
      </c>
      <c r="Z61" s="27">
        <f>DATE(Z59+1,1,1)</f>
        <v>54424</v>
      </c>
      <c r="AA61" s="27">
        <f>DATE(AA59+1,1,1)</f>
        <v>54789</v>
      </c>
      <c r="AB61" s="27">
        <f>DATE(AB59+1,1,1)</f>
        <v>55154</v>
      </c>
      <c r="AC61" s="27">
        <f>DATE(AC59+1,1,1)</f>
        <v>55519</v>
      </c>
      <c r="AD61" s="27">
        <f>DATE(AD59+1,1,1)</f>
        <v>55885</v>
      </c>
      <c r="AE61" s="27">
        <f>DATE(AE59+1,1,1)</f>
        <v>56250</v>
      </c>
    </row>
    <row r="62">
      <c r="A62" s="6" t="inlineStr">
        <is>
          <t xml:space="preserve">Operation from</t>
        </is>
      </c>
      <c r="F62" s="27">
        <f>MAX($C$7,F60)</f>
        <v>46935</v>
      </c>
      <c r="G62" s="27">
        <f>MAX($C$7,G60)</f>
        <v>47119</v>
      </c>
      <c r="H62" s="27">
        <f>MAX($C$7,H60)</f>
        <v>47484</v>
      </c>
      <c r="I62" s="27">
        <f>MAX($C$7,I60)</f>
        <v>47849</v>
      </c>
      <c r="J62" s="27">
        <f>MAX($C$7,J60)</f>
        <v>48214</v>
      </c>
      <c r="K62" s="27">
        <f>MAX($C$7,K60)</f>
        <v>48580</v>
      </c>
      <c r="L62" s="27">
        <f>MAX($C$7,L60)</f>
        <v>48945</v>
      </c>
      <c r="M62" s="27">
        <f>MAX($C$7,M60)</f>
        <v>49310</v>
      </c>
      <c r="N62" s="27">
        <f>MAX($C$7,N60)</f>
        <v>49675</v>
      </c>
      <c r="O62" s="27">
        <f>MAX($C$7,O60)</f>
        <v>50041</v>
      </c>
      <c r="P62" s="27">
        <f>MAX($C$7,P60)</f>
        <v>50406</v>
      </c>
      <c r="Q62" s="27">
        <f>MAX($C$7,Q60)</f>
        <v>50771</v>
      </c>
      <c r="R62" s="27">
        <f>MAX($C$7,R60)</f>
        <v>51136</v>
      </c>
      <c r="S62" s="27">
        <f>MAX($C$7,S60)</f>
        <v>51502</v>
      </c>
      <c r="T62" s="27">
        <f>MAX($C$7,T60)</f>
        <v>51867</v>
      </c>
      <c r="U62" s="27">
        <f>MAX($C$7,U60)</f>
        <v>52232</v>
      </c>
      <c r="V62" s="27">
        <f>MAX($C$7,V60)</f>
        <v>52597</v>
      </c>
      <c r="W62" s="27">
        <f>MAX($C$7,W60)</f>
        <v>52963</v>
      </c>
      <c r="X62" s="27">
        <f>MAX($C$7,X60)</f>
        <v>53328</v>
      </c>
      <c r="Y62" s="27">
        <f>MAX($C$7,Y60)</f>
        <v>53693</v>
      </c>
      <c r="Z62" s="27">
        <f>MAX($C$7,Z60)</f>
        <v>54058</v>
      </c>
      <c r="AA62" s="27">
        <f>MAX($C$7,AA60)</f>
        <v>54424</v>
      </c>
      <c r="AB62" s="27">
        <f>MAX($C$7,AB60)</f>
        <v>54789</v>
      </c>
      <c r="AC62" s="27">
        <f>MAX($C$7,AC60)</f>
        <v>55154</v>
      </c>
      <c r="AD62" s="27">
        <f>MAX($C$7,AD60)</f>
        <v>55519</v>
      </c>
      <c r="AE62" s="27">
        <f>MAX($C$7,AE60)</f>
        <v>55885</v>
      </c>
    </row>
    <row r="63">
      <c r="A63" s="6" t="inlineStr">
        <is>
          <t xml:space="preserve">Operation until (exclusive)</t>
        </is>
      </c>
      <c r="F63" s="27">
        <f>MIN($C$8,F61)</f>
        <v>47119</v>
      </c>
      <c r="G63" s="27">
        <f>MIN($C$8,G61)</f>
        <v>47484</v>
      </c>
      <c r="H63" s="27">
        <f>MIN($C$8,H61)</f>
        <v>47849</v>
      </c>
      <c r="I63" s="27">
        <f>MIN($C$8,I61)</f>
        <v>48214</v>
      </c>
      <c r="J63" s="27">
        <f>MIN($C$8,J61)</f>
        <v>48580</v>
      </c>
      <c r="K63" s="27">
        <f>MIN($C$8,K61)</f>
        <v>48945</v>
      </c>
      <c r="L63" s="27">
        <f>MIN($C$8,L61)</f>
        <v>49310</v>
      </c>
      <c r="M63" s="27">
        <f>MIN($C$8,M61)</f>
        <v>49675</v>
      </c>
      <c r="N63" s="27">
        <f>MIN($C$8,N61)</f>
        <v>50041</v>
      </c>
      <c r="O63" s="27">
        <f>MIN($C$8,O61)</f>
        <v>50406</v>
      </c>
      <c r="P63" s="27">
        <f>MIN($C$8,P61)</f>
        <v>50771</v>
      </c>
      <c r="Q63" s="27">
        <f>MIN($C$8,Q61)</f>
        <v>51136</v>
      </c>
      <c r="R63" s="27">
        <f>MIN($C$8,R61)</f>
        <v>51502</v>
      </c>
      <c r="S63" s="27">
        <f>MIN($C$8,S61)</f>
        <v>51867</v>
      </c>
      <c r="T63" s="27">
        <f>MIN($C$8,T61)</f>
        <v>52232</v>
      </c>
      <c r="U63" s="27">
        <f>MIN($C$8,U61)</f>
        <v>52597</v>
      </c>
      <c r="V63" s="27">
        <f>MIN($C$8,V61)</f>
        <v>52963</v>
      </c>
      <c r="W63" s="27">
        <f>MIN($C$8,W61)</f>
        <v>53328</v>
      </c>
      <c r="X63" s="27">
        <f>MIN($C$8,X61)</f>
        <v>53693</v>
      </c>
      <c r="Y63" s="27">
        <f>MIN($C$8,Y61)</f>
        <v>54058</v>
      </c>
      <c r="Z63" s="27">
        <f>MIN($C$8,Z61)</f>
        <v>54424</v>
      </c>
      <c r="AA63" s="27">
        <f>MIN($C$8,AA61)</f>
        <v>54789</v>
      </c>
      <c r="AB63" s="27">
        <f>MIN($C$8,AB61)</f>
        <v>55154</v>
      </c>
      <c r="AC63" s="27">
        <f>MIN($C$8,AC61)</f>
        <v>55519</v>
      </c>
      <c r="AD63" s="27">
        <f>MIN($C$8,AD61)</f>
        <v>55885</v>
      </c>
      <c r="AE63" s="27">
        <f>MIN($C$8,AE61)</f>
        <v>56066</v>
      </c>
    </row>
    <row r="64">
      <c r="A64" s="6" t="inlineStr">
        <is>
          <t xml:space="preserve">Operating days</t>
        </is>
      </c>
      <c r="B64" s="10" t="inlineStr">
        <is>
          <t xml:space="preserve">days</t>
        </is>
      </c>
      <c r="F64" s="23">
        <f>F63-F62</f>
        <v>184</v>
      </c>
      <c r="G64" s="23">
        <f>G63-G62</f>
        <v>365</v>
      </c>
      <c r="H64" s="23">
        <f>H63-H62</f>
        <v>365</v>
      </c>
      <c r="I64" s="23">
        <f>I63-I62</f>
        <v>365</v>
      </c>
      <c r="J64" s="23">
        <f>J63-J62</f>
        <v>366</v>
      </c>
      <c r="K64" s="23">
        <f>K63-K62</f>
        <v>365</v>
      </c>
      <c r="L64" s="23">
        <f>L63-L62</f>
        <v>365</v>
      </c>
      <c r="M64" s="23">
        <f>M63-M62</f>
        <v>365</v>
      </c>
      <c r="N64" s="23">
        <f>N63-N62</f>
        <v>366</v>
      </c>
      <c r="O64" s="23">
        <f>O63-O62</f>
        <v>365</v>
      </c>
      <c r="P64" s="23">
        <f>P63-P62</f>
        <v>365</v>
      </c>
      <c r="Q64" s="23">
        <f>Q63-Q62</f>
        <v>365</v>
      </c>
      <c r="R64" s="23">
        <f>R63-R62</f>
        <v>366</v>
      </c>
      <c r="S64" s="23">
        <f>S63-S62</f>
        <v>365</v>
      </c>
      <c r="T64" s="23">
        <f>T63-T62</f>
        <v>365</v>
      </c>
      <c r="U64" s="23">
        <f>U63-U62</f>
        <v>365</v>
      </c>
      <c r="V64" s="23">
        <f>V63-V62</f>
        <v>366</v>
      </c>
      <c r="W64" s="23">
        <f>W63-W62</f>
        <v>365</v>
      </c>
      <c r="X64" s="23">
        <f>X63-X62</f>
        <v>365</v>
      </c>
      <c r="Y64" s="23">
        <f>Y63-Y62</f>
        <v>365</v>
      </c>
      <c r="Z64" s="23">
        <f>Z63-Z62</f>
        <v>366</v>
      </c>
      <c r="AA64" s="23">
        <f>AA63-AA62</f>
        <v>365</v>
      </c>
      <c r="AB64" s="23">
        <f>AB63-AB62</f>
        <v>365</v>
      </c>
      <c r="AC64" s="23">
        <f>AC63-AC62</f>
        <v>365</v>
      </c>
      <c r="AD64" s="23">
        <f>AD63-AD62</f>
        <v>366</v>
      </c>
      <c r="AE64" s="23">
        <f>AE63-AE62</f>
        <v>181</v>
      </c>
    </row>
    <row r="65">
      <c r="A65" s="6" t="inlineStr">
        <is>
          <t xml:space="preserve">Days in the year</t>
        </is>
      </c>
      <c r="B65" s="10" t="inlineStr">
        <is>
          <t xml:space="preserve">days</t>
        </is>
      </c>
      <c r="F65" s="23">
        <f>F61-F60</f>
        <v>366</v>
      </c>
      <c r="G65" s="23">
        <f>G61-G60</f>
        <v>365</v>
      </c>
      <c r="H65" s="23">
        <f>H61-H60</f>
        <v>365</v>
      </c>
      <c r="I65" s="23">
        <f>I61-I60</f>
        <v>365</v>
      </c>
      <c r="J65" s="23">
        <f>J61-J60</f>
        <v>366</v>
      </c>
      <c r="K65" s="23">
        <f>K61-K60</f>
        <v>365</v>
      </c>
      <c r="L65" s="23">
        <f>L61-L60</f>
        <v>365</v>
      </c>
      <c r="M65" s="23">
        <f>M61-M60</f>
        <v>365</v>
      </c>
      <c r="N65" s="23">
        <f>N61-N60</f>
        <v>366</v>
      </c>
      <c r="O65" s="23">
        <f>O61-O60</f>
        <v>365</v>
      </c>
      <c r="P65" s="23">
        <f>P61-P60</f>
        <v>365</v>
      </c>
      <c r="Q65" s="23">
        <f>Q61-Q60</f>
        <v>365</v>
      </c>
      <c r="R65" s="23">
        <f>R61-R60</f>
        <v>366</v>
      </c>
      <c r="S65" s="23">
        <f>S61-S60</f>
        <v>365</v>
      </c>
      <c r="T65" s="23">
        <f>T61-T60</f>
        <v>365</v>
      </c>
      <c r="U65" s="23">
        <f>U61-U60</f>
        <v>365</v>
      </c>
      <c r="V65" s="23">
        <f>V61-V60</f>
        <v>366</v>
      </c>
      <c r="W65" s="23">
        <f>W61-W60</f>
        <v>365</v>
      </c>
      <c r="X65" s="23">
        <f>X61-X60</f>
        <v>365</v>
      </c>
      <c r="Y65" s="23">
        <f>Y61-Y60</f>
        <v>365</v>
      </c>
      <c r="Z65" s="23">
        <f>Z61-Z60</f>
        <v>366</v>
      </c>
      <c r="AA65" s="23">
        <f>AA61-AA60</f>
        <v>365</v>
      </c>
      <c r="AB65" s="23">
        <f>AB61-AB60</f>
        <v>365</v>
      </c>
      <c r="AC65" s="23">
        <f>AC61-AC60</f>
        <v>365</v>
      </c>
      <c r="AD65" s="23">
        <f>AD61-AD60</f>
        <v>366</v>
      </c>
      <c r="AE65" s="23">
        <f>AE61-AE60</f>
        <v>365</v>
      </c>
    </row>
    <row r="66">
      <c r="A66" s="6" t="inlineStr">
        <is>
          <t xml:space="preserve">Share of the year in operation</t>
        </is>
      </c>
      <c r="F66" s="37">
        <f>F64/F65</f>
        <v>0.5027322404371585</v>
      </c>
      <c r="G66" s="37">
        <f>G64/G65</f>
        <v>1</v>
      </c>
      <c r="H66" s="37">
        <f>H64/H65</f>
        <v>1</v>
      </c>
      <c r="I66" s="37">
        <f>I64/I65</f>
        <v>1</v>
      </c>
      <c r="J66" s="37">
        <f>J64/J65</f>
        <v>1</v>
      </c>
      <c r="K66" s="37">
        <f>K64/K65</f>
        <v>1</v>
      </c>
      <c r="L66" s="37">
        <f>L64/L65</f>
        <v>1</v>
      </c>
      <c r="M66" s="37">
        <f>M64/M65</f>
        <v>1</v>
      </c>
      <c r="N66" s="37">
        <f>N64/N65</f>
        <v>1</v>
      </c>
      <c r="O66" s="37">
        <f>O64/O65</f>
        <v>1</v>
      </c>
      <c r="P66" s="37">
        <f>P64/P65</f>
        <v>1</v>
      </c>
      <c r="Q66" s="37">
        <f>Q64/Q65</f>
        <v>1</v>
      </c>
      <c r="R66" s="37">
        <f>R64/R65</f>
        <v>1</v>
      </c>
      <c r="S66" s="37">
        <f>S64/S65</f>
        <v>1</v>
      </c>
      <c r="T66" s="37">
        <f>T64/T65</f>
        <v>1</v>
      </c>
      <c r="U66" s="37">
        <f>U64/U65</f>
        <v>1</v>
      </c>
      <c r="V66" s="37">
        <f>V64/V65</f>
        <v>1</v>
      </c>
      <c r="W66" s="37">
        <f>W64/W65</f>
        <v>1</v>
      </c>
      <c r="X66" s="37">
        <f>X64/X65</f>
        <v>1</v>
      </c>
      <c r="Y66" s="37">
        <f>Y64/Y65</f>
        <v>1</v>
      </c>
      <c r="Z66" s="37">
        <f>Z64/Z65</f>
        <v>1</v>
      </c>
      <c r="AA66" s="37">
        <f>AA64/AA65</f>
        <v>1</v>
      </c>
      <c r="AB66" s="37">
        <f>AB64/AB65</f>
        <v>1</v>
      </c>
      <c r="AC66" s="37">
        <f>AC64/AC65</f>
        <v>1</v>
      </c>
      <c r="AD66" s="37">
        <f>AD64/AD65</f>
        <v>1</v>
      </c>
      <c r="AE66" s="37">
        <f>AE64/AE65</f>
        <v>0.4958904109589041</v>
      </c>
    </row>
    <row r="67">
      <c r="A67" s="6" t="inlineStr">
        <is>
          <t xml:space="preserve">Operating months</t>
        </is>
      </c>
      <c r="B67" s="10" t="inlineStr">
        <is>
          <t xml:space="preserve">months</t>
        </is>
      </c>
      <c r="F67" s="23">
        <f>(YEAR(F63)-YEAR(F62))*12+MONTH(F63)-MONTH(F62)</f>
        <v>6</v>
      </c>
      <c r="G67" s="23">
        <f>(YEAR(G63)-YEAR(G62))*12+MONTH(G63)-MONTH(G62)</f>
        <v>12</v>
      </c>
      <c r="H67" s="23">
        <f>(YEAR(H63)-YEAR(H62))*12+MONTH(H63)-MONTH(H62)</f>
        <v>12</v>
      </c>
      <c r="I67" s="23">
        <f>(YEAR(I63)-YEAR(I62))*12+MONTH(I63)-MONTH(I62)</f>
        <v>12</v>
      </c>
      <c r="J67" s="23">
        <f>(YEAR(J63)-YEAR(J62))*12+MONTH(J63)-MONTH(J62)</f>
        <v>12</v>
      </c>
      <c r="K67" s="23">
        <f>(YEAR(K63)-YEAR(K62))*12+MONTH(K63)-MONTH(K62)</f>
        <v>12</v>
      </c>
      <c r="L67" s="23">
        <f>(YEAR(L63)-YEAR(L62))*12+MONTH(L63)-MONTH(L62)</f>
        <v>12</v>
      </c>
      <c r="M67" s="23">
        <f>(YEAR(M63)-YEAR(M62))*12+MONTH(M63)-MONTH(M62)</f>
        <v>12</v>
      </c>
      <c r="N67" s="23">
        <f>(YEAR(N63)-YEAR(N62))*12+MONTH(N63)-MONTH(N62)</f>
        <v>12</v>
      </c>
      <c r="O67" s="23">
        <f>(YEAR(O63)-YEAR(O62))*12+MONTH(O63)-MONTH(O62)</f>
        <v>12</v>
      </c>
      <c r="P67" s="23">
        <f>(YEAR(P63)-YEAR(P62))*12+MONTH(P63)-MONTH(P62)</f>
        <v>12</v>
      </c>
      <c r="Q67" s="23">
        <f>(YEAR(Q63)-YEAR(Q62))*12+MONTH(Q63)-MONTH(Q62)</f>
        <v>12</v>
      </c>
      <c r="R67" s="23">
        <f>(YEAR(R63)-YEAR(R62))*12+MONTH(R63)-MONTH(R62)</f>
        <v>12</v>
      </c>
      <c r="S67" s="23">
        <f>(YEAR(S63)-YEAR(S62))*12+MONTH(S63)-MONTH(S62)</f>
        <v>12</v>
      </c>
      <c r="T67" s="23">
        <f>(YEAR(T63)-YEAR(T62))*12+MONTH(T63)-MONTH(T62)</f>
        <v>12</v>
      </c>
      <c r="U67" s="23">
        <f>(YEAR(U63)-YEAR(U62))*12+MONTH(U63)-MONTH(U62)</f>
        <v>12</v>
      </c>
      <c r="V67" s="23">
        <f>(YEAR(V63)-YEAR(V62))*12+MONTH(V63)-MONTH(V62)</f>
        <v>12</v>
      </c>
      <c r="W67" s="23">
        <f>(YEAR(W63)-YEAR(W62))*12+MONTH(W63)-MONTH(W62)</f>
        <v>12</v>
      </c>
      <c r="X67" s="23">
        <f>(YEAR(X63)-YEAR(X62))*12+MONTH(X63)-MONTH(X62)</f>
        <v>12</v>
      </c>
      <c r="Y67" s="23">
        <f>(YEAR(Y63)-YEAR(Y62))*12+MONTH(Y63)-MONTH(Y62)</f>
        <v>12</v>
      </c>
      <c r="Z67" s="23">
        <f>(YEAR(Z63)-YEAR(Z62))*12+MONTH(Z63)-MONTH(Z62)</f>
        <v>12</v>
      </c>
      <c r="AA67" s="23">
        <f>(YEAR(AA63)-YEAR(AA62))*12+MONTH(AA63)-MONTH(AA62)</f>
        <v>12</v>
      </c>
      <c r="AB67" s="23">
        <f>(YEAR(AB63)-YEAR(AB62))*12+MONTH(AB63)-MONTH(AB62)</f>
        <v>12</v>
      </c>
      <c r="AC67" s="23">
        <f>(YEAR(AC63)-YEAR(AC62))*12+MONTH(AC63)-MONTH(AC62)</f>
        <v>12</v>
      </c>
      <c r="AD67" s="23">
        <f>(YEAR(AD63)-YEAR(AD62))*12+MONTH(AD63)-MONTH(AD62)</f>
        <v>12</v>
      </c>
      <c r="AE67" s="23">
        <f>(YEAR(AE63)-YEAR(AE62))*12+MONTH(AE63)-MONTH(AE62)</f>
        <v>6</v>
      </c>
    </row>
    <row r="68">
      <c r="A68" s="6" t="inlineStr">
        <is>
          <t xml:space="preserve">Days with EEG support</t>
        </is>
      </c>
      <c r="B68" s="10" t="inlineStr">
        <is>
          <t xml:space="preserve">days</t>
        </is>
      </c>
      <c r="F68" s="23">
        <f>MAX(0,MIN(F63,$C$11)-MAX(F62,$C$7))</f>
        <v>184</v>
      </c>
      <c r="G68" s="23">
        <f>MAX(0,MIN(G63,$C$11)-MAX(G62,$C$7))</f>
        <v>365</v>
      </c>
      <c r="H68" s="23">
        <f>MAX(0,MIN(H63,$C$11)-MAX(H62,$C$7))</f>
        <v>365</v>
      </c>
      <c r="I68" s="23">
        <f>MAX(0,MIN(I63,$C$11)-MAX(I62,$C$7))</f>
        <v>365</v>
      </c>
      <c r="J68" s="23">
        <f>MAX(0,MIN(J63,$C$11)-MAX(J62,$C$7))</f>
        <v>366</v>
      </c>
      <c r="K68" s="23">
        <f>MAX(0,MIN(K63,$C$11)-MAX(K62,$C$7))</f>
        <v>365</v>
      </c>
      <c r="L68" s="23">
        <f>MAX(0,MIN(L63,$C$11)-MAX(L62,$C$7))</f>
        <v>365</v>
      </c>
      <c r="M68" s="23">
        <f>MAX(0,MIN(M63,$C$11)-MAX(M62,$C$7))</f>
        <v>365</v>
      </c>
      <c r="N68" s="23">
        <f>MAX(0,MIN(N63,$C$11)-MAX(N62,$C$7))</f>
        <v>366</v>
      </c>
      <c r="O68" s="23">
        <f>MAX(0,MIN(O63,$C$11)-MAX(O62,$C$7))</f>
        <v>365</v>
      </c>
      <c r="P68" s="23">
        <f>MAX(0,MIN(P63,$C$11)-MAX(P62,$C$7))</f>
        <v>365</v>
      </c>
      <c r="Q68" s="23">
        <f>MAX(0,MIN(Q63,$C$11)-MAX(Q62,$C$7))</f>
        <v>365</v>
      </c>
      <c r="R68" s="23">
        <f>MAX(0,MIN(R63,$C$11)-MAX(R62,$C$7))</f>
        <v>366</v>
      </c>
      <c r="S68" s="23">
        <f>MAX(0,MIN(S63,$C$11)-MAX(S62,$C$7))</f>
        <v>365</v>
      </c>
      <c r="T68" s="23">
        <f>MAX(0,MIN(T63,$C$11)-MAX(T62,$C$7))</f>
        <v>365</v>
      </c>
      <c r="U68" s="23">
        <f>MAX(0,MIN(U63,$C$11)-MAX(U62,$C$7))</f>
        <v>365</v>
      </c>
      <c r="V68" s="23">
        <f>MAX(0,MIN(V63,$C$11)-MAX(V62,$C$7))</f>
        <v>366</v>
      </c>
      <c r="W68" s="23">
        <f>MAX(0,MIN(W63,$C$11)-MAX(W62,$C$7))</f>
        <v>365</v>
      </c>
      <c r="X68" s="23">
        <f>MAX(0,MIN(X63,$C$11)-MAX(X62,$C$7))</f>
        <v>365</v>
      </c>
      <c r="Y68" s="23">
        <f>MAX(0,MIN(Y63,$C$11)-MAX(Y62,$C$7))</f>
        <v>365</v>
      </c>
      <c r="Z68" s="23">
        <f>MAX(0,MIN(Z63,$C$11)-MAX(Z62,$C$7))</f>
        <v>366</v>
      </c>
      <c r="AA68" s="23">
        <f>MAX(0,MIN(AA63,$C$11)-MAX(AA62,$C$7))</f>
        <v>279</v>
      </c>
      <c r="AB68" s="23">
        <f>MAX(0,MIN(AB63,$C$11)-MAX(AB62,$C$7))</f>
        <v>0</v>
      </c>
      <c r="AC68" s="23">
        <f>MAX(0,MIN(AC63,$C$11)-MAX(AC62,$C$7))</f>
        <v>0</v>
      </c>
      <c r="AD68" s="23">
        <f>MAX(0,MIN(AD63,$C$11)-MAX(AD62,$C$7))</f>
        <v>0</v>
      </c>
      <c r="AE68" s="23">
        <f>MAX(0,MIN(AE63,$C$11)-MAX(AE62,$C$7))</f>
        <v>0</v>
      </c>
    </row>
    <row r="69">
      <c r="A69" s="6" t="inlineStr">
        <is>
          <t xml:space="preserve">Support share of the operating days</t>
        </is>
      </c>
      <c r="F69" s="37">
        <f>IF(F64&gt;0,F68/F64,0)</f>
        <v>1</v>
      </c>
      <c r="G69" s="37">
        <f>IF(G64&gt;0,G68/G64,0)</f>
        <v>1</v>
      </c>
      <c r="H69" s="37">
        <f>IF(H64&gt;0,H68/H64,0)</f>
        <v>1</v>
      </c>
      <c r="I69" s="37">
        <f>IF(I64&gt;0,I68/I64,0)</f>
        <v>1</v>
      </c>
      <c r="J69" s="37">
        <f>IF(J64&gt;0,J68/J64,0)</f>
        <v>1</v>
      </c>
      <c r="K69" s="37">
        <f>IF(K64&gt;0,K68/K64,0)</f>
        <v>1</v>
      </c>
      <c r="L69" s="37">
        <f>IF(L64&gt;0,L68/L64,0)</f>
        <v>1</v>
      </c>
      <c r="M69" s="37">
        <f>IF(M64&gt;0,M68/M64,0)</f>
        <v>1</v>
      </c>
      <c r="N69" s="37">
        <f>IF(N64&gt;0,N68/N64,0)</f>
        <v>1</v>
      </c>
      <c r="O69" s="37">
        <f>IF(O64&gt;0,O68/O64,0)</f>
        <v>1</v>
      </c>
      <c r="P69" s="37">
        <f>IF(P64&gt;0,P68/P64,0)</f>
        <v>1</v>
      </c>
      <c r="Q69" s="37">
        <f>IF(Q64&gt;0,Q68/Q64,0)</f>
        <v>1</v>
      </c>
      <c r="R69" s="37">
        <f>IF(R64&gt;0,R68/R64,0)</f>
        <v>1</v>
      </c>
      <c r="S69" s="37">
        <f>IF(S64&gt;0,S68/S64,0)</f>
        <v>1</v>
      </c>
      <c r="T69" s="37">
        <f>IF(T64&gt;0,T68/T64,0)</f>
        <v>1</v>
      </c>
      <c r="U69" s="37">
        <f>IF(U64&gt;0,U68/U64,0)</f>
        <v>1</v>
      </c>
      <c r="V69" s="37">
        <f>IF(V64&gt;0,V68/V64,0)</f>
        <v>1</v>
      </c>
      <c r="W69" s="37">
        <f>IF(W64&gt;0,W68/W64,0)</f>
        <v>1</v>
      </c>
      <c r="X69" s="37">
        <f>IF(X64&gt;0,X68/X64,0)</f>
        <v>1</v>
      </c>
      <c r="Y69" s="37">
        <f>IF(Y64&gt;0,Y68/Y64,0)</f>
        <v>1</v>
      </c>
      <c r="Z69" s="37">
        <f>IF(Z64&gt;0,Z68/Z64,0)</f>
        <v>1</v>
      </c>
      <c r="AA69" s="37">
        <f>IF(AA64&gt;0,AA68/AA64,0)</f>
        <v>0.7643835616438356</v>
      </c>
      <c r="AB69" s="37">
        <f>IF(AB64&gt;0,AB68/AB64,0)</f>
        <v>0</v>
      </c>
      <c r="AC69" s="37">
        <f>IF(AC64&gt;0,AC68/AC64,0)</f>
        <v>0</v>
      </c>
      <c r="AD69" s="37">
        <f>IF(AD64&gt;0,AD68/AD64,0)</f>
        <v>0</v>
      </c>
      <c r="AE69" s="37">
        <f>IF(AE64&gt;0,AE68/AE64,0)</f>
        <v>0</v>
      </c>
    </row>
    <row r="70">
      <c r="A70" s="6" t="inlineStr">
        <is>
          <t xml:space="preserve">Full years since COD</t>
        </is>
      </c>
      <c r="F70" s="23">
        <f>F59-$C$15</f>
        <v>0</v>
      </c>
      <c r="G70" s="23">
        <f>G59-$C$15</f>
        <v>1</v>
      </c>
      <c r="H70" s="23">
        <f>H59-$C$15</f>
        <v>2</v>
      </c>
      <c r="I70" s="23">
        <f>I59-$C$15</f>
        <v>3</v>
      </c>
      <c r="J70" s="23">
        <f>J59-$C$15</f>
        <v>4</v>
      </c>
      <c r="K70" s="23">
        <f>K59-$C$15</f>
        <v>5</v>
      </c>
      <c r="L70" s="23">
        <f>L59-$C$15</f>
        <v>6</v>
      </c>
      <c r="M70" s="23">
        <f>M59-$C$15</f>
        <v>7</v>
      </c>
      <c r="N70" s="23">
        <f>N59-$C$15</f>
        <v>8</v>
      </c>
      <c r="O70" s="23">
        <f>O59-$C$15</f>
        <v>9</v>
      </c>
      <c r="P70" s="23">
        <f>P59-$C$15</f>
        <v>10</v>
      </c>
      <c r="Q70" s="23">
        <f>Q59-$C$15</f>
        <v>11</v>
      </c>
      <c r="R70" s="23">
        <f>R59-$C$15</f>
        <v>12</v>
      </c>
      <c r="S70" s="23">
        <f>S59-$C$15</f>
        <v>13</v>
      </c>
      <c r="T70" s="23">
        <f>T59-$C$15</f>
        <v>14</v>
      </c>
      <c r="U70" s="23">
        <f>U59-$C$15</f>
        <v>15</v>
      </c>
      <c r="V70" s="23">
        <f>V59-$C$15</f>
        <v>16</v>
      </c>
      <c r="W70" s="23">
        <f>W59-$C$15</f>
        <v>17</v>
      </c>
      <c r="X70" s="23">
        <f>X59-$C$15</f>
        <v>18</v>
      </c>
      <c r="Y70" s="23">
        <f>Y59-$C$15</f>
        <v>19</v>
      </c>
      <c r="Z70" s="23">
        <f>Z59-$C$15</f>
        <v>20</v>
      </c>
      <c r="AA70" s="23">
        <f>AA59-$C$15</f>
        <v>21</v>
      </c>
      <c r="AB70" s="23">
        <f>AB59-$C$15</f>
        <v>22</v>
      </c>
      <c r="AC70" s="23">
        <f>AC59-$C$15</f>
        <v>23</v>
      </c>
      <c r="AD70" s="23">
        <f>AD59-$C$15</f>
        <v>24</v>
      </c>
      <c r="AE70" s="23">
        <f>AE59-$C$15</f>
        <v>25</v>
      </c>
    </row>
    <row r="71">
      <c r="A71" s="6" t="inlineStr">
        <is>
          <t xml:space="preserve">Opex decade (0, 1, 2)</t>
        </is>
      </c>
      <c r="F71" s="23">
        <f>IF(F70&lt;Inputs!$C$149,0,IF(F70&lt;Inputs!$C$150,1,2))</f>
        <v>0</v>
      </c>
      <c r="G71" s="23">
        <f>IF(G70&lt;Inputs!$C$149,0,IF(G70&lt;Inputs!$C$150,1,2))</f>
        <v>0</v>
      </c>
      <c r="H71" s="23">
        <f>IF(H70&lt;Inputs!$C$149,0,IF(H70&lt;Inputs!$C$150,1,2))</f>
        <v>0</v>
      </c>
      <c r="I71" s="23">
        <f>IF(I70&lt;Inputs!$C$149,0,IF(I70&lt;Inputs!$C$150,1,2))</f>
        <v>0</v>
      </c>
      <c r="J71" s="23">
        <f>IF(J70&lt;Inputs!$C$149,0,IF(J70&lt;Inputs!$C$150,1,2))</f>
        <v>0</v>
      </c>
      <c r="K71" s="23">
        <f>IF(K70&lt;Inputs!$C$149,0,IF(K70&lt;Inputs!$C$150,1,2))</f>
        <v>0</v>
      </c>
      <c r="L71" s="23">
        <f>IF(L70&lt;Inputs!$C$149,0,IF(L70&lt;Inputs!$C$150,1,2))</f>
        <v>0</v>
      </c>
      <c r="M71" s="23">
        <f>IF(M70&lt;Inputs!$C$149,0,IF(M70&lt;Inputs!$C$150,1,2))</f>
        <v>0</v>
      </c>
      <c r="N71" s="23">
        <f>IF(N70&lt;Inputs!$C$149,0,IF(N70&lt;Inputs!$C$150,1,2))</f>
        <v>0</v>
      </c>
      <c r="O71" s="23">
        <f>IF(O70&lt;Inputs!$C$149,0,IF(O70&lt;Inputs!$C$150,1,2))</f>
        <v>0</v>
      </c>
      <c r="P71" s="23">
        <f>IF(P70&lt;Inputs!$C$149,0,IF(P70&lt;Inputs!$C$150,1,2))</f>
        <v>1</v>
      </c>
      <c r="Q71" s="23">
        <f>IF(Q70&lt;Inputs!$C$149,0,IF(Q70&lt;Inputs!$C$150,1,2))</f>
        <v>1</v>
      </c>
      <c r="R71" s="23">
        <f>IF(R70&lt;Inputs!$C$149,0,IF(R70&lt;Inputs!$C$150,1,2))</f>
        <v>1</v>
      </c>
      <c r="S71" s="23">
        <f>IF(S70&lt;Inputs!$C$149,0,IF(S70&lt;Inputs!$C$150,1,2))</f>
        <v>1</v>
      </c>
      <c r="T71" s="23">
        <f>IF(T70&lt;Inputs!$C$149,0,IF(T70&lt;Inputs!$C$150,1,2))</f>
        <v>1</v>
      </c>
      <c r="U71" s="23">
        <f>IF(U70&lt;Inputs!$C$149,0,IF(U70&lt;Inputs!$C$150,1,2))</f>
        <v>1</v>
      </c>
      <c r="V71" s="23">
        <f>IF(V70&lt;Inputs!$C$149,0,IF(V70&lt;Inputs!$C$150,1,2))</f>
        <v>1</v>
      </c>
      <c r="W71" s="23">
        <f>IF(W70&lt;Inputs!$C$149,0,IF(W70&lt;Inputs!$C$150,1,2))</f>
        <v>1</v>
      </c>
      <c r="X71" s="23">
        <f>IF(X70&lt;Inputs!$C$149,0,IF(X70&lt;Inputs!$C$150,1,2))</f>
        <v>1</v>
      </c>
      <c r="Y71" s="23">
        <f>IF(Y70&lt;Inputs!$C$149,0,IF(Y70&lt;Inputs!$C$150,1,2))</f>
        <v>1</v>
      </c>
      <c r="Z71" s="23">
        <f>IF(Z70&lt;Inputs!$C$149,0,IF(Z70&lt;Inputs!$C$150,1,2))</f>
        <v>2</v>
      </c>
      <c r="AA71" s="23">
        <f>IF(AA70&lt;Inputs!$C$149,0,IF(AA70&lt;Inputs!$C$150,1,2))</f>
        <v>2</v>
      </c>
      <c r="AB71" s="23">
        <f>IF(AB70&lt;Inputs!$C$149,0,IF(AB70&lt;Inputs!$C$150,1,2))</f>
        <v>2</v>
      </c>
      <c r="AC71" s="23">
        <f>IF(AC70&lt;Inputs!$C$149,0,IF(AC70&lt;Inputs!$C$150,1,2))</f>
        <v>2</v>
      </c>
      <c r="AD71" s="23">
        <f>IF(AD70&lt;Inputs!$C$149,0,IF(AD70&lt;Inputs!$C$150,1,2))</f>
        <v>2</v>
      </c>
      <c r="AE71" s="23">
        <f>IF(AE70&lt;Inputs!$C$149,0,IF(AE70&lt;Inputs!$C$150,1,2))</f>
        <v>2</v>
      </c>
    </row>
    <row r="72">
      <c r="A72" s="6" t="inlineStr">
        <is>
          <t xml:space="preserve">Last operating year (1 = yes)</t>
        </is>
      </c>
      <c r="F72" s="23">
        <f>IF(F59=$C$17,1,0)</f>
        <v>0</v>
      </c>
      <c r="G72" s="23">
        <f>IF(G59=$C$17,1,0)</f>
        <v>0</v>
      </c>
      <c r="H72" s="23">
        <f>IF(H59=$C$17,1,0)</f>
        <v>0</v>
      </c>
      <c r="I72" s="23">
        <f>IF(I59=$C$17,1,0)</f>
        <v>0</v>
      </c>
      <c r="J72" s="23">
        <f>IF(J59=$C$17,1,0)</f>
        <v>0</v>
      </c>
      <c r="K72" s="23">
        <f>IF(K59=$C$17,1,0)</f>
        <v>0</v>
      </c>
      <c r="L72" s="23">
        <f>IF(L59=$C$17,1,0)</f>
        <v>0</v>
      </c>
      <c r="M72" s="23">
        <f>IF(M59=$C$17,1,0)</f>
        <v>0</v>
      </c>
      <c r="N72" s="23">
        <f>IF(N59=$C$17,1,0)</f>
        <v>0</v>
      </c>
      <c r="O72" s="23">
        <f>IF(O59=$C$17,1,0)</f>
        <v>0</v>
      </c>
      <c r="P72" s="23">
        <f>IF(P59=$C$17,1,0)</f>
        <v>0</v>
      </c>
      <c r="Q72" s="23">
        <f>IF(Q59=$C$17,1,0)</f>
        <v>0</v>
      </c>
      <c r="R72" s="23">
        <f>IF(R59=$C$17,1,0)</f>
        <v>0</v>
      </c>
      <c r="S72" s="23">
        <f>IF(S59=$C$17,1,0)</f>
        <v>0</v>
      </c>
      <c r="T72" s="23">
        <f>IF(T59=$C$17,1,0)</f>
        <v>0</v>
      </c>
      <c r="U72" s="23">
        <f>IF(U59=$C$17,1,0)</f>
        <v>0</v>
      </c>
      <c r="V72" s="23">
        <f>IF(V59=$C$17,1,0)</f>
        <v>0</v>
      </c>
      <c r="W72" s="23">
        <f>IF(W59=$C$17,1,0)</f>
        <v>0</v>
      </c>
      <c r="X72" s="23">
        <f>IF(X59=$C$17,1,0)</f>
        <v>0</v>
      </c>
      <c r="Y72" s="23">
        <f>IF(Y59=$C$17,1,0)</f>
        <v>0</v>
      </c>
      <c r="Z72" s="23">
        <f>IF(Z59=$C$17,1,0)</f>
        <v>0</v>
      </c>
      <c r="AA72" s="23">
        <f>IF(AA59=$C$17,1,0)</f>
        <v>0</v>
      </c>
      <c r="AB72" s="23">
        <f>IF(AB59=$C$17,1,0)</f>
        <v>0</v>
      </c>
      <c r="AC72" s="23">
        <f>IF(AC59=$C$17,1,0)</f>
        <v>0</v>
      </c>
      <c r="AD72" s="23">
        <f>IF(AD59=$C$17,1,0)</f>
        <v>0</v>
      </c>
      <c r="AE72" s="23">
        <f>IF(AE59=$C$17,1,0)</f>
        <v>1</v>
      </c>
    </row>
    <row r="73">
      <c r="A73" s="6" t="inlineStr">
        <is>
          <t xml:space="preserve">Degradation factor</t>
        </is>
      </c>
      <c r="F73" s="37">
        <f>(1-Inputs!$C$20)^F70</f>
        <v>1</v>
      </c>
      <c r="G73" s="37">
        <f>(1-Inputs!$C$20)^G70</f>
        <v>0.998</v>
      </c>
      <c r="H73" s="37">
        <f>(1-Inputs!$C$20)^H70</f>
        <v>0.996004</v>
      </c>
      <c r="I73" s="37">
        <f>(1-Inputs!$C$20)^I70</f>
        <v>0.994011992</v>
      </c>
      <c r="J73" s="37">
        <f>(1-Inputs!$C$20)^J70</f>
        <v>0.992023968016</v>
      </c>
      <c r="K73" s="37">
        <f>(1-Inputs!$C$20)^K70</f>
        <v>0.990039920079968</v>
      </c>
      <c r="L73" s="37">
        <f>(1-Inputs!$C$20)^L70</f>
        <v>0.9880598402398081</v>
      </c>
      <c r="M73" s="37">
        <f>(1-Inputs!$C$20)^M70</f>
        <v>0.9860837205593285</v>
      </c>
      <c r="N73" s="37">
        <f>(1-Inputs!$C$20)^N70</f>
        <v>0.9841115531182097</v>
      </c>
      <c r="O73" s="37">
        <f>(1-Inputs!$C$20)^O70</f>
        <v>0.9821433300119734</v>
      </c>
      <c r="P73" s="37">
        <f>(1-Inputs!$C$20)^P70</f>
        <v>0.9801790433519494</v>
      </c>
      <c r="Q73" s="37">
        <f>(1-Inputs!$C$20)^Q70</f>
        <v>0.9782186852652455</v>
      </c>
      <c r="R73" s="37">
        <f>(1-Inputs!$C$20)^R70</f>
        <v>0.976262247894715</v>
      </c>
      <c r="S73" s="37">
        <f>(1-Inputs!$C$20)^S70</f>
        <v>0.9743097233989256</v>
      </c>
      <c r="T73" s="37">
        <f>(1-Inputs!$C$20)^T70</f>
        <v>0.9723611039521277</v>
      </c>
      <c r="U73" s="37">
        <f>(1-Inputs!$C$20)^U70</f>
        <v>0.9704163817442235</v>
      </c>
      <c r="V73" s="37">
        <f>(1-Inputs!$C$20)^V70</f>
        <v>0.9684755489807351</v>
      </c>
      <c r="W73" s="37">
        <f>(1-Inputs!$C$20)^W70</f>
        <v>0.9665385978827735</v>
      </c>
      <c r="X73" s="37">
        <f>(1-Inputs!$C$20)^X70</f>
        <v>0.964605520687008</v>
      </c>
      <c r="Y73" s="37">
        <f>(1-Inputs!$C$20)^Y70</f>
        <v>0.962676309645634</v>
      </c>
      <c r="Z73" s="37">
        <f>(1-Inputs!$C$20)^Z70</f>
        <v>0.9607509570263427</v>
      </c>
      <c r="AA73" s="37">
        <f>(1-Inputs!$C$20)^AA70</f>
        <v>0.95882945511229</v>
      </c>
      <c r="AB73" s="37">
        <f>(1-Inputs!$C$20)^AB70</f>
        <v>0.9569117962020655</v>
      </c>
      <c r="AC73" s="37">
        <f>(1-Inputs!$C$20)^AC70</f>
        <v>0.9549979726096613</v>
      </c>
      <c r="AD73" s="37">
        <f>(1-Inputs!$C$20)^AD70</f>
        <v>0.953087976664442</v>
      </c>
      <c r="AE73" s="37">
        <f>(1-Inputs!$C$20)^AE70</f>
        <v>0.9511818007111131</v>
      </c>
    </row>
    <row r="74">
      <c r="A74" s="6" t="inlineStr">
        <is>
          <t xml:space="preserve">Inflation in the year</t>
        </is>
      </c>
      <c r="F74" s="22">
        <f>IF(COUNTIF(Inputs!$A$98:$A$100,F59)&gt;0,SUMIFS(Inputs!$B$98:$B$100,Inputs!$A$98:$A$100,F59),Inputs!$C$101)</f>
        <v>0.019</v>
      </c>
      <c r="G74" s="22">
        <f>IF(COUNTIF(Inputs!$A$98:$A$100,G59)&gt;0,SUMIFS(Inputs!$B$98:$B$100,Inputs!$A$98:$A$100,G59),Inputs!$C$101)</f>
        <v>0.02</v>
      </c>
      <c r="H74" s="22">
        <f>IF(COUNTIF(Inputs!$A$98:$A$100,H59)&gt;0,SUMIFS(Inputs!$B$98:$B$100,Inputs!$A$98:$A$100,H59),Inputs!$C$101)</f>
        <v>0.02</v>
      </c>
      <c r="I74" s="22">
        <f>IF(COUNTIF(Inputs!$A$98:$A$100,I59)&gt;0,SUMIFS(Inputs!$B$98:$B$100,Inputs!$A$98:$A$100,I59),Inputs!$C$101)</f>
        <v>0.02</v>
      </c>
      <c r="J74" s="22">
        <f>IF(COUNTIF(Inputs!$A$98:$A$100,J59)&gt;0,SUMIFS(Inputs!$B$98:$B$100,Inputs!$A$98:$A$100,J59),Inputs!$C$101)</f>
        <v>0.02</v>
      </c>
      <c r="K74" s="22">
        <f>IF(COUNTIF(Inputs!$A$98:$A$100,K59)&gt;0,SUMIFS(Inputs!$B$98:$B$100,Inputs!$A$98:$A$100,K59),Inputs!$C$101)</f>
        <v>0.02</v>
      </c>
      <c r="L74" s="22">
        <f>IF(COUNTIF(Inputs!$A$98:$A$100,L59)&gt;0,SUMIFS(Inputs!$B$98:$B$100,Inputs!$A$98:$A$100,L59),Inputs!$C$101)</f>
        <v>0.02</v>
      </c>
      <c r="M74" s="22">
        <f>IF(COUNTIF(Inputs!$A$98:$A$100,M59)&gt;0,SUMIFS(Inputs!$B$98:$B$100,Inputs!$A$98:$A$100,M59),Inputs!$C$101)</f>
        <v>0.02</v>
      </c>
      <c r="N74" s="22">
        <f>IF(COUNTIF(Inputs!$A$98:$A$100,N59)&gt;0,SUMIFS(Inputs!$B$98:$B$100,Inputs!$A$98:$A$100,N59),Inputs!$C$101)</f>
        <v>0.02</v>
      </c>
      <c r="O74" s="22">
        <f>IF(COUNTIF(Inputs!$A$98:$A$100,O59)&gt;0,SUMIFS(Inputs!$B$98:$B$100,Inputs!$A$98:$A$100,O59),Inputs!$C$101)</f>
        <v>0.02</v>
      </c>
      <c r="P74" s="22">
        <f>IF(COUNTIF(Inputs!$A$98:$A$100,P59)&gt;0,SUMIFS(Inputs!$B$98:$B$100,Inputs!$A$98:$A$100,P59),Inputs!$C$101)</f>
        <v>0.02</v>
      </c>
      <c r="Q74" s="22">
        <f>IF(COUNTIF(Inputs!$A$98:$A$100,Q59)&gt;0,SUMIFS(Inputs!$B$98:$B$100,Inputs!$A$98:$A$100,Q59),Inputs!$C$101)</f>
        <v>0.02</v>
      </c>
      <c r="R74" s="22">
        <f>IF(COUNTIF(Inputs!$A$98:$A$100,R59)&gt;0,SUMIFS(Inputs!$B$98:$B$100,Inputs!$A$98:$A$100,R59),Inputs!$C$101)</f>
        <v>0.02</v>
      </c>
      <c r="S74" s="22">
        <f>IF(COUNTIF(Inputs!$A$98:$A$100,S59)&gt;0,SUMIFS(Inputs!$B$98:$B$100,Inputs!$A$98:$A$100,S59),Inputs!$C$101)</f>
        <v>0.02</v>
      </c>
      <c r="T74" s="22">
        <f>IF(COUNTIF(Inputs!$A$98:$A$100,T59)&gt;0,SUMIFS(Inputs!$B$98:$B$100,Inputs!$A$98:$A$100,T59),Inputs!$C$101)</f>
        <v>0.02</v>
      </c>
      <c r="U74" s="22">
        <f>IF(COUNTIF(Inputs!$A$98:$A$100,U59)&gt;0,SUMIFS(Inputs!$B$98:$B$100,Inputs!$A$98:$A$100,U59),Inputs!$C$101)</f>
        <v>0.02</v>
      </c>
      <c r="V74" s="22">
        <f>IF(COUNTIF(Inputs!$A$98:$A$100,V59)&gt;0,SUMIFS(Inputs!$B$98:$B$100,Inputs!$A$98:$A$100,V59),Inputs!$C$101)</f>
        <v>0.02</v>
      </c>
      <c r="W74" s="22">
        <f>IF(COUNTIF(Inputs!$A$98:$A$100,W59)&gt;0,SUMIFS(Inputs!$B$98:$B$100,Inputs!$A$98:$A$100,W59),Inputs!$C$101)</f>
        <v>0.02</v>
      </c>
      <c r="X74" s="22">
        <f>IF(COUNTIF(Inputs!$A$98:$A$100,X59)&gt;0,SUMIFS(Inputs!$B$98:$B$100,Inputs!$A$98:$A$100,X59),Inputs!$C$101)</f>
        <v>0.02</v>
      </c>
      <c r="Y74" s="22">
        <f>IF(COUNTIF(Inputs!$A$98:$A$100,Y59)&gt;0,SUMIFS(Inputs!$B$98:$B$100,Inputs!$A$98:$A$100,Y59),Inputs!$C$101)</f>
        <v>0.02</v>
      </c>
      <c r="Z74" s="22">
        <f>IF(COUNTIF(Inputs!$A$98:$A$100,Z59)&gt;0,SUMIFS(Inputs!$B$98:$B$100,Inputs!$A$98:$A$100,Z59),Inputs!$C$101)</f>
        <v>0.02</v>
      </c>
      <c r="AA74" s="22">
        <f>IF(COUNTIF(Inputs!$A$98:$A$100,AA59)&gt;0,SUMIFS(Inputs!$B$98:$B$100,Inputs!$A$98:$A$100,AA59),Inputs!$C$101)</f>
        <v>0.02</v>
      </c>
      <c r="AB74" s="22">
        <f>IF(COUNTIF(Inputs!$A$98:$A$100,AB59)&gt;0,SUMIFS(Inputs!$B$98:$B$100,Inputs!$A$98:$A$100,AB59),Inputs!$C$101)</f>
        <v>0.02</v>
      </c>
      <c r="AC74" s="22">
        <f>IF(COUNTIF(Inputs!$A$98:$A$100,AC59)&gt;0,SUMIFS(Inputs!$B$98:$B$100,Inputs!$A$98:$A$100,AC59),Inputs!$C$101)</f>
        <v>0.02</v>
      </c>
      <c r="AD74" s="22">
        <f>IF(COUNTIF(Inputs!$A$98:$A$100,AD59)&gt;0,SUMIFS(Inputs!$B$98:$B$100,Inputs!$A$98:$A$100,AD59),Inputs!$C$101)</f>
        <v>0.02</v>
      </c>
      <c r="AE74" s="22">
        <f>IF(COUNTIF(Inputs!$A$98:$A$100,AE59)&gt;0,SUMIFS(Inputs!$B$98:$B$100,Inputs!$A$98:$A$100,AE59),Inputs!$C$101)</f>
        <v>0.02</v>
      </c>
    </row>
    <row r="75">
      <c r="A75" s="6" t="inlineStr">
        <is>
          <t xml:space="preserve">Price index (2025 = 1)</t>
        </is>
      </c>
      <c r="E75" s="37">
        <f>INDEX($B$40:$B$55,MATCH($C$15-1,$A$40:$A$55,0))</f>
        <v>1.0567829999999998</v>
      </c>
      <c r="F75" s="37">
        <f>E75*(1+F74)</f>
        <v>1.0768618769999998</v>
      </c>
      <c r="G75" s="37">
        <f>F75*(1+G74)</f>
        <v>1.0983991145399998</v>
      </c>
      <c r="H75" s="37">
        <f>G75*(1+H74)</f>
        <v>1.1203670968308</v>
      </c>
      <c r="I75" s="37">
        <f>H75*(1+I74)</f>
        <v>1.142774438767416</v>
      </c>
      <c r="J75" s="37">
        <f>I75*(1+J74)</f>
        <v>1.1656299275427642</v>
      </c>
      <c r="K75" s="37">
        <f>J75*(1+K74)</f>
        <v>1.1889425260936195</v>
      </c>
      <c r="L75" s="37">
        <f>K75*(1+L74)</f>
        <v>1.2127213766154918</v>
      </c>
      <c r="M75" s="37">
        <f>L75*(1+M74)</f>
        <v>1.2369758041478016</v>
      </c>
      <c r="N75" s="37">
        <f>M75*(1+N74)</f>
        <v>1.2617153202307576</v>
      </c>
      <c r="O75" s="37">
        <f>N75*(1+O74)</f>
        <v>1.2869496266353728</v>
      </c>
      <c r="P75" s="37">
        <f>O75*(1+P74)</f>
        <v>1.3126886191680802</v>
      </c>
      <c r="Q75" s="37">
        <f>P75*(1+Q74)</f>
        <v>1.3389423915514418</v>
      </c>
      <c r="R75" s="37">
        <f>Q75*(1+R74)</f>
        <v>1.3657212393824707</v>
      </c>
      <c r="S75" s="37">
        <f>R75*(1+S74)</f>
        <v>1.39303566417012</v>
      </c>
      <c r="T75" s="37">
        <f>S75*(1+T74)</f>
        <v>1.4208963774535224</v>
      </c>
      <c r="U75" s="37">
        <f>T75*(1+U74)</f>
        <v>1.449314305002593</v>
      </c>
      <c r="V75" s="37">
        <f>U75*(1+V74)</f>
        <v>1.4783005911026448</v>
      </c>
      <c r="W75" s="37">
        <f>V75*(1+W74)</f>
        <v>1.5078666029246977</v>
      </c>
      <c r="X75" s="37">
        <f>W75*(1+X74)</f>
        <v>1.5380239349831917</v>
      </c>
      <c r="Y75" s="37">
        <f>X75*(1+Y74)</f>
        <v>1.5687844136828555</v>
      </c>
      <c r="Z75" s="37">
        <f>Y75*(1+Z74)</f>
        <v>1.6001601019565126</v>
      </c>
      <c r="AA75" s="37">
        <f>Z75*(1+AA74)</f>
        <v>1.632163303995643</v>
      </c>
      <c r="AB75" s="37">
        <f>AA75*(1+AB74)</f>
        <v>1.6648065700755559</v>
      </c>
      <c r="AC75" s="37">
        <f>AB75*(1+AC74)</f>
        <v>1.698102701477067</v>
      </c>
      <c r="AD75" s="37">
        <f>AC75*(1+AD74)</f>
        <v>1.7320647555066084</v>
      </c>
      <c r="AE75" s="37">
        <f>AD75*(1+AE74)</f>
        <v>1.7667060506167407</v>
      </c>
    </row>
    <row r="76">
      <c r="A76" s="6" t="inlineStr">
        <is>
          <t xml:space="preserve">Price index (2026 = 1)</t>
        </is>
      </c>
      <c r="E76" s="37">
        <f>E75/$C$30</f>
        <v>1.027</v>
      </c>
      <c r="F76" s="37">
        <f>F75/$C$30</f>
        <v>1.0465129999999998</v>
      </c>
      <c r="G76" s="37">
        <f>G75/$C$30</f>
        <v>1.06744326</v>
      </c>
      <c r="H76" s="37">
        <f>H75/$C$30</f>
        <v>1.0887921252000001</v>
      </c>
      <c r="I76" s="37">
        <f>I75/$C$30</f>
        <v>1.110567967704</v>
      </c>
      <c r="J76" s="37">
        <f>J75/$C$30</f>
        <v>1.13277932705808</v>
      </c>
      <c r="K76" s="37">
        <f>K75/$C$30</f>
        <v>1.1554349135992417</v>
      </c>
      <c r="L76" s="37">
        <f>L75/$C$30</f>
        <v>1.1785436118712265</v>
      </c>
      <c r="M76" s="37">
        <f>M75/$C$30</f>
        <v>1.2021144841086508</v>
      </c>
      <c r="N76" s="37">
        <f>N75/$C$30</f>
        <v>1.2261567737908239</v>
      </c>
      <c r="O76" s="37">
        <f>O75/$C$30</f>
        <v>1.2506799092666403</v>
      </c>
      <c r="P76" s="37">
        <f>P75/$C$30</f>
        <v>1.275693507451973</v>
      </c>
      <c r="Q76" s="37">
        <f>Q75/$C$30</f>
        <v>1.3012073776010125</v>
      </c>
      <c r="R76" s="37">
        <f>R75/$C$30</f>
        <v>1.3272315251530329</v>
      </c>
      <c r="S76" s="37">
        <f>S75/$C$30</f>
        <v>1.3537761556560934</v>
      </c>
      <c r="T76" s="37">
        <f>T75/$C$30</f>
        <v>1.3808516787692153</v>
      </c>
      <c r="U76" s="37">
        <f>U75/$C$30</f>
        <v>1.4084687123445996</v>
      </c>
      <c r="V76" s="37">
        <f>V75/$C$30</f>
        <v>1.4366380865914916</v>
      </c>
      <c r="W76" s="37">
        <f>W75/$C$30</f>
        <v>1.4653708483233214</v>
      </c>
      <c r="X76" s="37">
        <f>X75/$C$30</f>
        <v>1.4946782652897879</v>
      </c>
      <c r="Y76" s="37">
        <f>Y75/$C$30</f>
        <v>1.5245718305955838</v>
      </c>
      <c r="Z76" s="37">
        <f>Z75/$C$30</f>
        <v>1.5550632672074953</v>
      </c>
      <c r="AA76" s="37">
        <f>AA75/$C$30</f>
        <v>1.5861645325516454</v>
      </c>
      <c r="AB76" s="37">
        <f>AB75/$C$30</f>
        <v>1.6178878232026783</v>
      </c>
      <c r="AC76" s="37">
        <f>AC75/$C$30</f>
        <v>1.650245579666732</v>
      </c>
      <c r="AD76" s="37">
        <f>AD75/$C$30</f>
        <v>1.6832504912600665</v>
      </c>
      <c r="AE76" s="37">
        <f>AE75/$C$30</f>
        <v>1.7169155010852681</v>
      </c>
    </row>
    <row r="77">
      <c r="A77" s="6" t="inlineStr">
        <is>
          <t xml:space="preserve">Share of support days in AW period 1</t>
        </is>
      </c>
      <c r="F77" s="37">
        <f>IF(F68&gt;0,MAX(0,MIN(F63,$C$12)-MAX(F62,$C$7))/F68,0)</f>
        <v>1</v>
      </c>
      <c r="G77" s="37">
        <f>IF(G68&gt;0,MAX(0,MIN(G63,$C$12)-MAX(G62,$C$7))/G68,0)</f>
        <v>1</v>
      </c>
      <c r="H77" s="37">
        <f>IF(H68&gt;0,MAX(0,MIN(H63,$C$12)-MAX(H62,$C$7))/H68,0)</f>
        <v>1</v>
      </c>
      <c r="I77" s="37">
        <f>IF(I68&gt;0,MAX(0,MIN(I63,$C$12)-MAX(I62,$C$7))/I68,0)</f>
        <v>1</v>
      </c>
      <c r="J77" s="37">
        <f>IF(J68&gt;0,MAX(0,MIN(J63,$C$12)-MAX(J62,$C$7))/J68,0)</f>
        <v>1</v>
      </c>
      <c r="K77" s="37">
        <f>IF(K68&gt;0,MAX(0,MIN(K63,$C$12)-MAX(K62,$C$7))/K68,0)</f>
        <v>0.4958904109589041</v>
      </c>
      <c r="L77" s="37">
        <f>IF(L68&gt;0,MAX(0,MIN(L63,$C$12)-MAX(L62,$C$7))/L68,0)</f>
        <v>0</v>
      </c>
      <c r="M77" s="37">
        <f>IF(M68&gt;0,MAX(0,MIN(M63,$C$12)-MAX(M62,$C$7))/M68,0)</f>
        <v>0</v>
      </c>
      <c r="N77" s="37">
        <f>IF(N68&gt;0,MAX(0,MIN(N63,$C$12)-MAX(N62,$C$7))/N68,0)</f>
        <v>0</v>
      </c>
      <c r="O77" s="37">
        <f>IF(O68&gt;0,MAX(0,MIN(O63,$C$12)-MAX(O62,$C$7))/O68,0)</f>
        <v>0</v>
      </c>
      <c r="P77" s="37">
        <f>IF(P68&gt;0,MAX(0,MIN(P63,$C$12)-MAX(P62,$C$7))/P68,0)</f>
        <v>0</v>
      </c>
      <c r="Q77" s="37">
        <f>IF(Q68&gt;0,MAX(0,MIN(Q63,$C$12)-MAX(Q62,$C$7))/Q68,0)</f>
        <v>0</v>
      </c>
      <c r="R77" s="37">
        <f>IF(R68&gt;0,MAX(0,MIN(R63,$C$12)-MAX(R62,$C$7))/R68,0)</f>
        <v>0</v>
      </c>
      <c r="S77" s="37">
        <f>IF(S68&gt;0,MAX(0,MIN(S63,$C$12)-MAX(S62,$C$7))/S68,0)</f>
        <v>0</v>
      </c>
      <c r="T77" s="37">
        <f>IF(T68&gt;0,MAX(0,MIN(T63,$C$12)-MAX(T62,$C$7))/T68,0)</f>
        <v>0</v>
      </c>
      <c r="U77" s="37">
        <f>IF(U68&gt;0,MAX(0,MIN(U63,$C$12)-MAX(U62,$C$7))/U68,0)</f>
        <v>0</v>
      </c>
      <c r="V77" s="37">
        <f>IF(V68&gt;0,MAX(0,MIN(V63,$C$12)-MAX(V62,$C$7))/V68,0)</f>
        <v>0</v>
      </c>
      <c r="W77" s="37">
        <f>IF(W68&gt;0,MAX(0,MIN(W63,$C$12)-MAX(W62,$C$7))/W68,0)</f>
        <v>0</v>
      </c>
      <c r="X77" s="37">
        <f>IF(X68&gt;0,MAX(0,MIN(X63,$C$12)-MAX(X62,$C$7))/X68,0)</f>
        <v>0</v>
      </c>
      <c r="Y77" s="37">
        <f>IF(Y68&gt;0,MAX(0,MIN(Y63,$C$12)-MAX(Y62,$C$7))/Y68,0)</f>
        <v>0</v>
      </c>
      <c r="Z77" s="37">
        <f>IF(Z68&gt;0,MAX(0,MIN(Z63,$C$12)-MAX(Z62,$C$7))/Z68,0)</f>
        <v>0</v>
      </c>
      <c r="AA77" s="37">
        <f>IF(AA68&gt;0,MAX(0,MIN(AA63,$C$12)-MAX(AA62,$C$7))/AA68,0)</f>
        <v>0</v>
      </c>
      <c r="AB77" s="37">
        <f>IF(AB68&gt;0,MAX(0,MIN(AB63,$C$12)-MAX(AB62,$C$7))/AB68,0)</f>
        <v>0</v>
      </c>
      <c r="AC77" s="37">
        <f>IF(AC68&gt;0,MAX(0,MIN(AC63,$C$12)-MAX(AC62,$C$7))/AC68,0)</f>
        <v>0</v>
      </c>
      <c r="AD77" s="37">
        <f>IF(AD68&gt;0,MAX(0,MIN(AD63,$C$12)-MAX(AD62,$C$7))/AD68,0)</f>
        <v>0</v>
      </c>
      <c r="AE77" s="37">
        <f>IF(AE68&gt;0,MAX(0,MIN(AE63,$C$12)-MAX(AE62,$C$7))/AE68,0)</f>
        <v>0</v>
      </c>
    </row>
    <row r="78">
      <c r="A78" s="6" t="inlineStr">
        <is>
          <t xml:space="preserve">Share of support days in AW period 2</t>
        </is>
      </c>
      <c r="F78" s="37">
        <f>IF(F68&gt;0,MAX(0,MIN(F63,$C$13)-MAX(F62,$C$12))/F68,0)</f>
        <v>0</v>
      </c>
      <c r="G78" s="37">
        <f>IF(G68&gt;0,MAX(0,MIN(G63,$C$13)-MAX(G62,$C$12))/G68,0)</f>
        <v>0</v>
      </c>
      <c r="H78" s="37">
        <f>IF(H68&gt;0,MAX(0,MIN(H63,$C$13)-MAX(H62,$C$12))/H68,0)</f>
        <v>0</v>
      </c>
      <c r="I78" s="37">
        <f>IF(I68&gt;0,MAX(0,MIN(I63,$C$13)-MAX(I62,$C$12))/I68,0)</f>
        <v>0</v>
      </c>
      <c r="J78" s="37">
        <f>IF(J68&gt;0,MAX(0,MIN(J63,$C$13)-MAX(J62,$C$12))/J68,0)</f>
        <v>0</v>
      </c>
      <c r="K78" s="37">
        <f>IF(K68&gt;0,MAX(0,MIN(K63,$C$13)-MAX(K62,$C$12))/K68,0)</f>
        <v>0.5041095890410959</v>
      </c>
      <c r="L78" s="37">
        <f>IF(L68&gt;0,MAX(0,MIN(L63,$C$13)-MAX(L62,$C$12))/L68,0)</f>
        <v>1</v>
      </c>
      <c r="M78" s="37">
        <f>IF(M68&gt;0,MAX(0,MIN(M63,$C$13)-MAX(M62,$C$12))/M68,0)</f>
        <v>1</v>
      </c>
      <c r="N78" s="37">
        <f>IF(N68&gt;0,MAX(0,MIN(N63,$C$13)-MAX(N62,$C$12))/N68,0)</f>
        <v>1</v>
      </c>
      <c r="O78" s="37">
        <f>IF(O68&gt;0,MAX(0,MIN(O63,$C$13)-MAX(O62,$C$12))/O68,0)</f>
        <v>1</v>
      </c>
      <c r="P78" s="37">
        <f>IF(P68&gt;0,MAX(0,MIN(P63,$C$13)-MAX(P62,$C$12))/P68,0)</f>
        <v>0.4958904109589041</v>
      </c>
      <c r="Q78" s="37">
        <f>IF(Q68&gt;0,MAX(0,MIN(Q63,$C$13)-MAX(Q62,$C$12))/Q68,0)</f>
        <v>0</v>
      </c>
      <c r="R78" s="37">
        <f>IF(R68&gt;0,MAX(0,MIN(R63,$C$13)-MAX(R62,$C$12))/R68,0)</f>
        <v>0</v>
      </c>
      <c r="S78" s="37">
        <f>IF(S68&gt;0,MAX(0,MIN(S63,$C$13)-MAX(S62,$C$12))/S68,0)</f>
        <v>0</v>
      </c>
      <c r="T78" s="37">
        <f>IF(T68&gt;0,MAX(0,MIN(T63,$C$13)-MAX(T62,$C$12))/T68,0)</f>
        <v>0</v>
      </c>
      <c r="U78" s="37">
        <f>IF(U68&gt;0,MAX(0,MIN(U63,$C$13)-MAX(U62,$C$12))/U68,0)</f>
        <v>0</v>
      </c>
      <c r="V78" s="37">
        <f>IF(V68&gt;0,MAX(0,MIN(V63,$C$13)-MAX(V62,$C$12))/V68,0)</f>
        <v>0</v>
      </c>
      <c r="W78" s="37">
        <f>IF(W68&gt;0,MAX(0,MIN(W63,$C$13)-MAX(W62,$C$12))/W68,0)</f>
        <v>0</v>
      </c>
      <c r="X78" s="37">
        <f>IF(X68&gt;0,MAX(0,MIN(X63,$C$13)-MAX(X62,$C$12))/X68,0)</f>
        <v>0</v>
      </c>
      <c r="Y78" s="37">
        <f>IF(Y68&gt;0,MAX(0,MIN(Y63,$C$13)-MAX(Y62,$C$12))/Y68,0)</f>
        <v>0</v>
      </c>
      <c r="Z78" s="37">
        <f>IF(Z68&gt;0,MAX(0,MIN(Z63,$C$13)-MAX(Z62,$C$12))/Z68,0)</f>
        <v>0</v>
      </c>
      <c r="AA78" s="37">
        <f>IF(AA68&gt;0,MAX(0,MIN(AA63,$C$13)-MAX(AA62,$C$12))/AA68,0)</f>
        <v>0</v>
      </c>
      <c r="AB78" s="37">
        <f>IF(AB68&gt;0,MAX(0,MIN(AB63,$C$13)-MAX(AB62,$C$12))/AB68,0)</f>
        <v>0</v>
      </c>
      <c r="AC78" s="37">
        <f>IF(AC68&gt;0,MAX(0,MIN(AC63,$C$13)-MAX(AC62,$C$12))/AC68,0)</f>
        <v>0</v>
      </c>
      <c r="AD78" s="37">
        <f>IF(AD68&gt;0,MAX(0,MIN(AD63,$C$13)-MAX(AD62,$C$12))/AD68,0)</f>
        <v>0</v>
      </c>
      <c r="AE78" s="37">
        <f>IF(AE68&gt;0,MAX(0,MIN(AE63,$C$13)-MAX(AE62,$C$12))/AE68,0)</f>
        <v>0</v>
      </c>
    </row>
    <row r="79">
      <c r="A79" s="6" t="inlineStr">
        <is>
          <t xml:space="preserve">Share of support days in AW period 3</t>
        </is>
      </c>
      <c r="F79" s="37">
        <f>IF(F68&gt;0,MAX(0,MIN(F63,$C$14)-MAX(F62,$C$13))/F68,0)</f>
        <v>0</v>
      </c>
      <c r="G79" s="37">
        <f>IF(G68&gt;0,MAX(0,MIN(G63,$C$14)-MAX(G62,$C$13))/G68,0)</f>
        <v>0</v>
      </c>
      <c r="H79" s="37">
        <f>IF(H68&gt;0,MAX(0,MIN(H63,$C$14)-MAX(H62,$C$13))/H68,0)</f>
        <v>0</v>
      </c>
      <c r="I79" s="37">
        <f>IF(I68&gt;0,MAX(0,MIN(I63,$C$14)-MAX(I62,$C$13))/I68,0)</f>
        <v>0</v>
      </c>
      <c r="J79" s="37">
        <f>IF(J68&gt;0,MAX(0,MIN(J63,$C$14)-MAX(J62,$C$13))/J68,0)</f>
        <v>0</v>
      </c>
      <c r="K79" s="37">
        <f>IF(K68&gt;0,MAX(0,MIN(K63,$C$14)-MAX(K62,$C$13))/K68,0)</f>
        <v>0</v>
      </c>
      <c r="L79" s="37">
        <f>IF(L68&gt;0,MAX(0,MIN(L63,$C$14)-MAX(L62,$C$13))/L68,0)</f>
        <v>0</v>
      </c>
      <c r="M79" s="37">
        <f>IF(M68&gt;0,MAX(0,MIN(M63,$C$14)-MAX(M62,$C$13))/M68,0)</f>
        <v>0</v>
      </c>
      <c r="N79" s="37">
        <f>IF(N68&gt;0,MAX(0,MIN(N63,$C$14)-MAX(N62,$C$13))/N68,0)</f>
        <v>0</v>
      </c>
      <c r="O79" s="37">
        <f>IF(O68&gt;0,MAX(0,MIN(O63,$C$14)-MAX(O62,$C$13))/O68,0)</f>
        <v>0</v>
      </c>
      <c r="P79" s="37">
        <f>IF(P68&gt;0,MAX(0,MIN(P63,$C$14)-MAX(P62,$C$13))/P68,0)</f>
        <v>0.5041095890410959</v>
      </c>
      <c r="Q79" s="37">
        <f>IF(Q68&gt;0,MAX(0,MIN(Q63,$C$14)-MAX(Q62,$C$13))/Q68,0)</f>
        <v>1</v>
      </c>
      <c r="R79" s="37">
        <f>IF(R68&gt;0,MAX(0,MIN(R63,$C$14)-MAX(R62,$C$13))/R68,0)</f>
        <v>1</v>
      </c>
      <c r="S79" s="37">
        <f>IF(S68&gt;0,MAX(0,MIN(S63,$C$14)-MAX(S62,$C$13))/S68,0)</f>
        <v>1</v>
      </c>
      <c r="T79" s="37">
        <f>IF(T68&gt;0,MAX(0,MIN(T63,$C$14)-MAX(T62,$C$13))/T68,0)</f>
        <v>1</v>
      </c>
      <c r="U79" s="37">
        <f>IF(U68&gt;0,MAX(0,MIN(U63,$C$14)-MAX(U62,$C$13))/U68,0)</f>
        <v>0.4958904109589041</v>
      </c>
      <c r="V79" s="37">
        <f>IF(V68&gt;0,MAX(0,MIN(V63,$C$14)-MAX(V62,$C$13))/V68,0)</f>
        <v>0</v>
      </c>
      <c r="W79" s="37">
        <f>IF(W68&gt;0,MAX(0,MIN(W63,$C$14)-MAX(W62,$C$13))/W68,0)</f>
        <v>0</v>
      </c>
      <c r="X79" s="37">
        <f>IF(X68&gt;0,MAX(0,MIN(X63,$C$14)-MAX(X62,$C$13))/X68,0)</f>
        <v>0</v>
      </c>
      <c r="Y79" s="37">
        <f>IF(Y68&gt;0,MAX(0,MIN(Y63,$C$14)-MAX(Y62,$C$13))/Y68,0)</f>
        <v>0</v>
      </c>
      <c r="Z79" s="37">
        <f>IF(Z68&gt;0,MAX(0,MIN(Z63,$C$14)-MAX(Z62,$C$13))/Z68,0)</f>
        <v>0</v>
      </c>
      <c r="AA79" s="37">
        <f>IF(AA68&gt;0,MAX(0,MIN(AA63,$C$14)-MAX(AA62,$C$13))/AA68,0)</f>
        <v>0</v>
      </c>
      <c r="AB79" s="37">
        <f>IF(AB68&gt;0,MAX(0,MIN(AB63,$C$14)-MAX(AB62,$C$13))/AB68,0)</f>
        <v>0</v>
      </c>
      <c r="AC79" s="37">
        <f>IF(AC68&gt;0,MAX(0,MIN(AC63,$C$14)-MAX(AC62,$C$13))/AC68,0)</f>
        <v>0</v>
      </c>
      <c r="AD79" s="37">
        <f>IF(AD68&gt;0,MAX(0,MIN(AD63,$C$14)-MAX(AD62,$C$13))/AD68,0)</f>
        <v>0</v>
      </c>
      <c r="AE79" s="37">
        <f>IF(AE68&gt;0,MAX(0,MIN(AE63,$C$14)-MAX(AE62,$C$13))/AE68,0)</f>
        <v>0</v>
      </c>
    </row>
    <row r="80">
      <c r="A80" s="6" t="inlineStr">
        <is>
          <t xml:space="preserve">Share of support days in AW period 4</t>
        </is>
      </c>
      <c r="F80" s="37">
        <f>IF(F68&gt;0,MAX(0,MIN(F63,$C$11)-MAX(F62,$C$14))/F68,0)</f>
        <v>0</v>
      </c>
      <c r="G80" s="37">
        <f>IF(G68&gt;0,MAX(0,MIN(G63,$C$11)-MAX(G62,$C$14))/G68,0)</f>
        <v>0</v>
      </c>
      <c r="H80" s="37">
        <f>IF(H68&gt;0,MAX(0,MIN(H63,$C$11)-MAX(H62,$C$14))/H68,0)</f>
        <v>0</v>
      </c>
      <c r="I80" s="37">
        <f>IF(I68&gt;0,MAX(0,MIN(I63,$C$11)-MAX(I62,$C$14))/I68,0)</f>
        <v>0</v>
      </c>
      <c r="J80" s="37">
        <f>IF(J68&gt;0,MAX(0,MIN(J63,$C$11)-MAX(J62,$C$14))/J68,0)</f>
        <v>0</v>
      </c>
      <c r="K80" s="37">
        <f>IF(K68&gt;0,MAX(0,MIN(K63,$C$11)-MAX(K62,$C$14))/K68,0)</f>
        <v>0</v>
      </c>
      <c r="L80" s="37">
        <f>IF(L68&gt;0,MAX(0,MIN(L63,$C$11)-MAX(L62,$C$14))/L68,0)</f>
        <v>0</v>
      </c>
      <c r="M80" s="37">
        <f>IF(M68&gt;0,MAX(0,MIN(M63,$C$11)-MAX(M62,$C$14))/M68,0)</f>
        <v>0</v>
      </c>
      <c r="N80" s="37">
        <f>IF(N68&gt;0,MAX(0,MIN(N63,$C$11)-MAX(N62,$C$14))/N68,0)</f>
        <v>0</v>
      </c>
      <c r="O80" s="37">
        <f>IF(O68&gt;0,MAX(0,MIN(O63,$C$11)-MAX(O62,$C$14))/O68,0)</f>
        <v>0</v>
      </c>
      <c r="P80" s="37">
        <f>IF(P68&gt;0,MAX(0,MIN(P63,$C$11)-MAX(P62,$C$14))/P68,0)</f>
        <v>0</v>
      </c>
      <c r="Q80" s="37">
        <f>IF(Q68&gt;0,MAX(0,MIN(Q63,$C$11)-MAX(Q62,$C$14))/Q68,0)</f>
        <v>0</v>
      </c>
      <c r="R80" s="37">
        <f>IF(R68&gt;0,MAX(0,MIN(R63,$C$11)-MAX(R62,$C$14))/R68,0)</f>
        <v>0</v>
      </c>
      <c r="S80" s="37">
        <f>IF(S68&gt;0,MAX(0,MIN(S63,$C$11)-MAX(S62,$C$14))/S68,0)</f>
        <v>0</v>
      </c>
      <c r="T80" s="37">
        <f>IF(T68&gt;0,MAX(0,MIN(T63,$C$11)-MAX(T62,$C$14))/T68,0)</f>
        <v>0</v>
      </c>
      <c r="U80" s="37">
        <f>IF(U68&gt;0,MAX(0,MIN(U63,$C$11)-MAX(U62,$C$14))/U68,0)</f>
        <v>0.5041095890410959</v>
      </c>
      <c r="V80" s="37">
        <f>IF(V68&gt;0,MAX(0,MIN(V63,$C$11)-MAX(V62,$C$14))/V68,0)</f>
        <v>1</v>
      </c>
      <c r="W80" s="37">
        <f>IF(W68&gt;0,MAX(0,MIN(W63,$C$11)-MAX(W62,$C$14))/W68,0)</f>
        <v>1</v>
      </c>
      <c r="X80" s="37">
        <f>IF(X68&gt;0,MAX(0,MIN(X63,$C$11)-MAX(X62,$C$14))/X68,0)</f>
        <v>1</v>
      </c>
      <c r="Y80" s="37">
        <f>IF(Y68&gt;0,MAX(0,MIN(Y63,$C$11)-MAX(Y62,$C$14))/Y68,0)</f>
        <v>1</v>
      </c>
      <c r="Z80" s="37">
        <f>IF(Z68&gt;0,MAX(0,MIN(Z63,$C$11)-MAX(Z62,$C$14))/Z68,0)</f>
        <v>1</v>
      </c>
      <c r="AA80" s="37">
        <f>IF(AA68&gt;0,MAX(0,MIN(AA63,$C$11)-MAX(AA62,$C$14))/AA68,0)</f>
        <v>1</v>
      </c>
      <c r="AB80" s="37">
        <f>IF(AB68&gt;0,MAX(0,MIN(AB63,$C$11)-MAX(AB62,$C$14))/AB68,0)</f>
        <v>0</v>
      </c>
      <c r="AC80" s="37">
        <f>IF(AC68&gt;0,MAX(0,MIN(AC63,$C$11)-MAX(AC62,$C$14))/AC68,0)</f>
        <v>0</v>
      </c>
      <c r="AD80" s="37">
        <f>IF(AD68&gt;0,MAX(0,MIN(AD63,$C$11)-MAX(AD62,$C$14))/AD68,0)</f>
        <v>0</v>
      </c>
      <c r="AE80" s="37">
        <f>IF(AE68&gt;0,MAX(0,MIN(AE63,$C$11)-MAX(AE62,$C$14))/AE68,0)</f>
        <v>0</v>
      </c>
    </row>
    <row r="81">
      <c r="A81" s="6" t="inlineStr">
        <is>
          <t xml:space="preserve">Decommissioning reserve window (1 = yes)</t>
        </is>
      </c>
      <c r="F81" s="23">
        <f>IF($C$8-F63&lt;Inputs!$C$70*Inputs!$C$147,1,0)</f>
        <v>0</v>
      </c>
      <c r="G81" s="23">
        <f>IF($C$8-G63&lt;Inputs!$C$70*Inputs!$C$147,1,0)</f>
        <v>0</v>
      </c>
      <c r="H81" s="23">
        <f>IF($C$8-H63&lt;Inputs!$C$70*Inputs!$C$147,1,0)</f>
        <v>0</v>
      </c>
      <c r="I81" s="23">
        <f>IF($C$8-I63&lt;Inputs!$C$70*Inputs!$C$147,1,0)</f>
        <v>0</v>
      </c>
      <c r="J81" s="23">
        <f>IF($C$8-J63&lt;Inputs!$C$70*Inputs!$C$147,1,0)</f>
        <v>0</v>
      </c>
      <c r="K81" s="23">
        <f>IF($C$8-K63&lt;Inputs!$C$70*Inputs!$C$147,1,0)</f>
        <v>0</v>
      </c>
      <c r="L81" s="23">
        <f>IF($C$8-L63&lt;Inputs!$C$70*Inputs!$C$147,1,0)</f>
        <v>0</v>
      </c>
      <c r="M81" s="23">
        <f>IF($C$8-M63&lt;Inputs!$C$70*Inputs!$C$147,1,0)</f>
        <v>0</v>
      </c>
      <c r="N81" s="23">
        <f>IF($C$8-N63&lt;Inputs!$C$70*Inputs!$C$147,1,0)</f>
        <v>0</v>
      </c>
      <c r="O81" s="23">
        <f>IF($C$8-O63&lt;Inputs!$C$70*Inputs!$C$147,1,0)</f>
        <v>0</v>
      </c>
      <c r="P81" s="23">
        <f>IF($C$8-P63&lt;Inputs!$C$70*Inputs!$C$147,1,0)</f>
        <v>0</v>
      </c>
      <c r="Q81" s="23">
        <f>IF($C$8-Q63&lt;Inputs!$C$70*Inputs!$C$147,1,0)</f>
        <v>0</v>
      </c>
      <c r="R81" s="23">
        <f>IF($C$8-R63&lt;Inputs!$C$70*Inputs!$C$147,1,0)</f>
        <v>0</v>
      </c>
      <c r="S81" s="23">
        <f>IF($C$8-S63&lt;Inputs!$C$70*Inputs!$C$147,1,0)</f>
        <v>0</v>
      </c>
      <c r="T81" s="23">
        <f>IF($C$8-T63&lt;Inputs!$C$70*Inputs!$C$147,1,0)</f>
        <v>0</v>
      </c>
      <c r="U81" s="23">
        <f>IF($C$8-U63&lt;Inputs!$C$70*Inputs!$C$147,1,0)</f>
        <v>0</v>
      </c>
      <c r="V81" s="23">
        <f>IF($C$8-V63&lt;Inputs!$C$70*Inputs!$C$147,1,0)</f>
        <v>0</v>
      </c>
      <c r="W81" s="23">
        <f>IF($C$8-W63&lt;Inputs!$C$70*Inputs!$C$147,1,0)</f>
        <v>0</v>
      </c>
      <c r="X81" s="23">
        <f>IF($C$8-X63&lt;Inputs!$C$70*Inputs!$C$147,1,0)</f>
        <v>0</v>
      </c>
      <c r="Y81" s="23">
        <f>IF($C$8-Y63&lt;Inputs!$C$70*Inputs!$C$147,1,0)</f>
        <v>0</v>
      </c>
      <c r="Z81" s="23">
        <f>IF($C$8-Z63&lt;Inputs!$C$70*Inputs!$C$147,1,0)</f>
        <v>1</v>
      </c>
      <c r="AA81" s="23">
        <f>IF($C$8-AA63&lt;Inputs!$C$70*Inputs!$C$147,1,0)</f>
        <v>1</v>
      </c>
      <c r="AB81" s="23">
        <f>IF($C$8-AB63&lt;Inputs!$C$70*Inputs!$C$147,1,0)</f>
        <v>1</v>
      </c>
      <c r="AC81" s="23">
        <f>IF($C$8-AC63&lt;Inputs!$C$70*Inputs!$C$147,1,0)</f>
        <v>1</v>
      </c>
      <c r="AD81" s="23">
        <f>IF($C$8-AD63&lt;Inputs!$C$70*Inputs!$C$147,1,0)</f>
        <v>1</v>
      </c>
      <c r="AE81" s="23">
        <f>IF($C$8-AE63&lt;Inputs!$C$70*Inputs!$C$147,1,0)</f>
        <v>1</v>
      </c>
    </row>
    <row r="82">
      <c r="A82" s="6" t="inlineStr">
        <is>
          <t xml:space="preserve">Cash-flow date</t>
        </is>
      </c>
      <c r="F82" s="27">
        <f>F63-1</f>
        <v>47118</v>
      </c>
      <c r="G82" s="27">
        <f>G63-1</f>
        <v>47483</v>
      </c>
      <c r="H82" s="27">
        <f>H63-1</f>
        <v>47848</v>
      </c>
      <c r="I82" s="27">
        <f>I63-1</f>
        <v>48213</v>
      </c>
      <c r="J82" s="27">
        <f>J63-1</f>
        <v>48579</v>
      </c>
      <c r="K82" s="27">
        <f>K63-1</f>
        <v>48944</v>
      </c>
      <c r="L82" s="27">
        <f>L63-1</f>
        <v>49309</v>
      </c>
      <c r="M82" s="27">
        <f>M63-1</f>
        <v>49674</v>
      </c>
      <c r="N82" s="27">
        <f>N63-1</f>
        <v>50040</v>
      </c>
      <c r="O82" s="27">
        <f>O63-1</f>
        <v>50405</v>
      </c>
      <c r="P82" s="27">
        <f>P63-1</f>
        <v>50770</v>
      </c>
      <c r="Q82" s="27">
        <f>Q63-1</f>
        <v>51135</v>
      </c>
      <c r="R82" s="27">
        <f>R63-1</f>
        <v>51501</v>
      </c>
      <c r="S82" s="27">
        <f>S63-1</f>
        <v>51866</v>
      </c>
      <c r="T82" s="27">
        <f>T63-1</f>
        <v>52231</v>
      </c>
      <c r="U82" s="27">
        <f>U63-1</f>
        <v>52596</v>
      </c>
      <c r="V82" s="27">
        <f>V63-1</f>
        <v>52962</v>
      </c>
      <c r="W82" s="27">
        <f>W63-1</f>
        <v>53327</v>
      </c>
      <c r="X82" s="27">
        <f>X63-1</f>
        <v>53692</v>
      </c>
      <c r="Y82" s="27">
        <f>Y63-1</f>
        <v>54057</v>
      </c>
      <c r="Z82" s="27">
        <f>Z63-1</f>
        <v>54423</v>
      </c>
      <c r="AA82" s="27">
        <f>AA63-1</f>
        <v>54788</v>
      </c>
      <c r="AB82" s="27">
        <f>AB63-1</f>
        <v>55153</v>
      </c>
      <c r="AC82" s="27">
        <f>AC63-1</f>
        <v>55518</v>
      </c>
      <c r="AD82" s="27">
        <f>AD63-1</f>
        <v>55884</v>
      </c>
      <c r="AE82" s="27">
        <f>AE63-1</f>
        <v>56065</v>
      </c>
    </row>
    <row r="83">
      <c r="A83" s="6" t="inlineStr">
        <is>
          <t xml:space="preserve">Share of the year's cash flow within the loan term (for the LLCR)</t>
        </is>
      </c>
      <c r="F83" s="37">
        <f>IF(F59&lt;$C$23,1,IF(F59&gt;$C$23,0,MIN(1,MAX(0,($C$22+1-F62)/MAX(1,F63-F62)))))</f>
        <v>1</v>
      </c>
      <c r="G83" s="37">
        <f>IF(G59&lt;$C$23,1,IF(G59&gt;$C$23,0,MIN(1,MAX(0,($C$22+1-G62)/MAX(1,G63-G62)))))</f>
        <v>1</v>
      </c>
      <c r="H83" s="37">
        <f>IF(H59&lt;$C$23,1,IF(H59&gt;$C$23,0,MIN(1,MAX(0,($C$22+1-H62)/MAX(1,H63-H62)))))</f>
        <v>1</v>
      </c>
      <c r="I83" s="37">
        <f>IF(I59&lt;$C$23,1,IF(I59&gt;$C$23,0,MIN(1,MAX(0,($C$22+1-I62)/MAX(1,I63-I62)))))</f>
        <v>1</v>
      </c>
      <c r="J83" s="37">
        <f>IF(J59&lt;$C$23,1,IF(J59&gt;$C$23,0,MIN(1,MAX(0,($C$22+1-J62)/MAX(1,J63-J62)))))</f>
        <v>1</v>
      </c>
      <c r="K83" s="37">
        <f>IF(K59&lt;$C$23,1,IF(K59&gt;$C$23,0,MIN(1,MAX(0,($C$22+1-K62)/MAX(1,K63-K62)))))</f>
        <v>1</v>
      </c>
      <c r="L83" s="37">
        <f>IF(L59&lt;$C$23,1,IF(L59&gt;$C$23,0,MIN(1,MAX(0,($C$22+1-L62)/MAX(1,L63-L62)))))</f>
        <v>1</v>
      </c>
      <c r="M83" s="37">
        <f>IF(M59&lt;$C$23,1,IF(M59&gt;$C$23,0,MIN(1,MAX(0,($C$22+1-M62)/MAX(1,M63-M62)))))</f>
        <v>1</v>
      </c>
      <c r="N83" s="37">
        <f>IF(N59&lt;$C$23,1,IF(N59&gt;$C$23,0,MIN(1,MAX(0,($C$22+1-N62)/MAX(1,N63-N62)))))</f>
        <v>1</v>
      </c>
      <c r="O83" s="37">
        <f>IF(O59&lt;$C$23,1,IF(O59&gt;$C$23,0,MIN(1,MAX(0,($C$22+1-O62)/MAX(1,O63-O62)))))</f>
        <v>1</v>
      </c>
      <c r="P83" s="37">
        <f>IF(P59&lt;$C$23,1,IF(P59&gt;$C$23,0,MIN(1,MAX(0,($C$22+1-P62)/MAX(1,P63-P62)))))</f>
        <v>1</v>
      </c>
      <c r="Q83" s="37">
        <f>IF(Q59&lt;$C$23,1,IF(Q59&gt;$C$23,0,MIN(1,MAX(0,($C$22+1-Q62)/MAX(1,Q63-Q62)))))</f>
        <v>1</v>
      </c>
      <c r="R83" s="37">
        <f>IF(R59&lt;$C$23,1,IF(R59&gt;$C$23,0,MIN(1,MAX(0,($C$22+1-R62)/MAX(1,R63-R62)))))</f>
        <v>1</v>
      </c>
      <c r="S83" s="37">
        <f>IF(S59&lt;$C$23,1,IF(S59&gt;$C$23,0,MIN(1,MAX(0,($C$22+1-S62)/MAX(1,S63-S62)))))</f>
        <v>1</v>
      </c>
      <c r="T83" s="37">
        <f>IF(T59&lt;$C$23,1,IF(T59&gt;$C$23,0,MIN(1,MAX(0,($C$22+1-T62)/MAX(1,T63-T62)))))</f>
        <v>1</v>
      </c>
      <c r="U83" s="37">
        <f>IF(U59&lt;$C$23,1,IF(U59&gt;$C$23,0,MIN(1,MAX(0,($C$22+1-U62)/MAX(1,U63-U62)))))</f>
        <v>1</v>
      </c>
      <c r="V83" s="37">
        <f>IF(V59&lt;$C$23,1,IF(V59&gt;$C$23,0,MIN(1,MAX(0,($C$22+1-V62)/MAX(1,V63-V62)))))</f>
        <v>1</v>
      </c>
      <c r="W83" s="37">
        <f>IF(W59&lt;$C$23,1,IF(W59&gt;$C$23,0,MIN(1,MAX(0,($C$22+1-W62)/MAX(1,W63-W62)))))</f>
        <v>1</v>
      </c>
      <c r="X83" s="37">
        <f>IF(X59&lt;$C$23,1,IF(X59&gt;$C$23,0,MIN(1,MAX(0,($C$22+1-X62)/MAX(1,X63-X62)))))</f>
        <v>1</v>
      </c>
      <c r="Y83" s="37">
        <f>IF(Y59&lt;$C$23,1,IF(Y59&gt;$C$23,0,MIN(1,MAX(0,($C$22+1-Y62)/MAX(1,Y63-Y62)))))</f>
        <v>0</v>
      </c>
      <c r="Z83" s="37">
        <f>IF(Z59&lt;$C$23,1,IF(Z59&gt;$C$23,0,MIN(1,MAX(0,($C$22+1-Z62)/MAX(1,Z63-Z62)))))</f>
        <v>0</v>
      </c>
      <c r="AA83" s="37">
        <f>IF(AA59&lt;$C$23,1,IF(AA59&gt;$C$23,0,MIN(1,MAX(0,($C$22+1-AA62)/MAX(1,AA63-AA62)))))</f>
        <v>0</v>
      </c>
      <c r="AB83" s="37">
        <f>IF(AB59&lt;$C$23,1,IF(AB59&gt;$C$23,0,MIN(1,MAX(0,($C$22+1-AB62)/MAX(1,AB63-AB62)))))</f>
        <v>0</v>
      </c>
      <c r="AC83" s="37">
        <f>IF(AC59&lt;$C$23,1,IF(AC59&gt;$C$23,0,MIN(1,MAX(0,($C$22+1-AC62)/MAX(1,AC63-AC62)))))</f>
        <v>0</v>
      </c>
      <c r="AD83" s="37">
        <f>IF(AD59&lt;$C$23,1,IF(AD59&gt;$C$23,0,MIN(1,MAX(0,($C$22+1-AD62)/MAX(1,AD63-AD62)))))</f>
        <v>0</v>
      </c>
      <c r="AE83" s="37">
        <f>IF(AE59&lt;$C$23,1,IF(AE59&gt;$C$23,0,MIN(1,MAX(0,($C$22+1-AE62)/MAX(1,AE63-AE62)))))</f>
        <v>0</v>
      </c>
    </row>
    <row r="84">
      <c r="A84" s="6" t="inlineStr">
        <is>
          <t xml:space="preserve">LLCR discount date: the cash-flow date, at the latest the loan maturity</t>
        </is>
      </c>
      <c r="F84" s="27">
        <f>MIN(F82,$C$22)</f>
        <v>47118</v>
      </c>
      <c r="G84" s="27">
        <f>MIN(G82,$C$22)</f>
        <v>47483</v>
      </c>
      <c r="H84" s="27">
        <f>MIN(H82,$C$22)</f>
        <v>47848</v>
      </c>
      <c r="I84" s="27">
        <f>MIN(I82,$C$22)</f>
        <v>48213</v>
      </c>
      <c r="J84" s="27">
        <f>MIN(J82,$C$22)</f>
        <v>48579</v>
      </c>
      <c r="K84" s="27">
        <f>MIN(K82,$C$22)</f>
        <v>48944</v>
      </c>
      <c r="L84" s="27">
        <f>MIN(L82,$C$22)</f>
        <v>49309</v>
      </c>
      <c r="M84" s="27">
        <f>MIN(M82,$C$22)</f>
        <v>49674</v>
      </c>
      <c r="N84" s="27">
        <f>MIN(N82,$C$22)</f>
        <v>50040</v>
      </c>
      <c r="O84" s="27">
        <f>MIN(O82,$C$22)</f>
        <v>50405</v>
      </c>
      <c r="P84" s="27">
        <f>MIN(P82,$C$22)</f>
        <v>50770</v>
      </c>
      <c r="Q84" s="27">
        <f>MIN(Q82,$C$22)</f>
        <v>51135</v>
      </c>
      <c r="R84" s="27">
        <f>MIN(R82,$C$22)</f>
        <v>51501</v>
      </c>
      <c r="S84" s="27">
        <f>MIN(S82,$C$22)</f>
        <v>51866</v>
      </c>
      <c r="T84" s="27">
        <f>MIN(T82,$C$22)</f>
        <v>52231</v>
      </c>
      <c r="U84" s="27">
        <f>MIN(U82,$C$22)</f>
        <v>52596</v>
      </c>
      <c r="V84" s="27">
        <f>MIN(V82,$C$22)</f>
        <v>52962</v>
      </c>
      <c r="W84" s="27">
        <f>MIN(W82,$C$22)</f>
        <v>53327</v>
      </c>
      <c r="X84" s="27">
        <f>MIN(X82,$C$22)</f>
        <v>53692</v>
      </c>
      <c r="Y84" s="27">
        <f>MIN(Y82,$C$22)</f>
        <v>53692</v>
      </c>
      <c r="Z84" s="27">
        <f>MIN(Z82,$C$22)</f>
        <v>53692</v>
      </c>
      <c r="AA84" s="27">
        <f>MIN(AA82,$C$22)</f>
        <v>53692</v>
      </c>
      <c r="AB84" s="27">
        <f>MIN(AB82,$C$22)</f>
        <v>53692</v>
      </c>
      <c r="AC84" s="27">
        <f>MIN(AC82,$C$22)</f>
        <v>53692</v>
      </c>
      <c r="AD84" s="27">
        <f>MIN(AD82,$C$22)</f>
        <v>53692</v>
      </c>
      <c r="AE84" s="27">
        <f>MIN(AE82,$C$22)</f>
        <v>53692</v>
      </c>
    </row>
    <row r="85">
      <c r="A85" s="6" t="inlineStr">
        <is>
          <t xml:space="preserve">Loan months in the year</t>
        </is>
      </c>
      <c r="F85" s="23">
        <f>COUNTIFS(Debt!$C$30:$C$251,F59)</f>
        <v>6</v>
      </c>
      <c r="G85" s="23">
        <f>COUNTIFS(Debt!$C$30:$C$251,G59)</f>
        <v>12</v>
      </c>
      <c r="H85" s="23">
        <f>COUNTIFS(Debt!$C$30:$C$251,H59)</f>
        <v>12</v>
      </c>
      <c r="I85" s="23">
        <f>COUNTIFS(Debt!$C$30:$C$251,I59)</f>
        <v>12</v>
      </c>
      <c r="J85" s="23">
        <f>COUNTIFS(Debt!$C$30:$C$251,J59)</f>
        <v>12</v>
      </c>
      <c r="K85" s="23">
        <f>COUNTIFS(Debt!$C$30:$C$251,K59)</f>
        <v>12</v>
      </c>
      <c r="L85" s="23">
        <f>COUNTIFS(Debt!$C$30:$C$251,L59)</f>
        <v>12</v>
      </c>
      <c r="M85" s="23">
        <f>COUNTIFS(Debt!$C$30:$C$251,M59)</f>
        <v>12</v>
      </c>
      <c r="N85" s="23">
        <f>COUNTIFS(Debt!$C$30:$C$251,N59)</f>
        <v>12</v>
      </c>
      <c r="O85" s="23">
        <f>COUNTIFS(Debt!$C$30:$C$251,O59)</f>
        <v>12</v>
      </c>
      <c r="P85" s="23">
        <f>COUNTIFS(Debt!$C$30:$C$251,P59)</f>
        <v>12</v>
      </c>
      <c r="Q85" s="23">
        <f>COUNTIFS(Debt!$C$30:$C$251,Q59)</f>
        <v>12</v>
      </c>
      <c r="R85" s="23">
        <f>COUNTIFS(Debt!$C$30:$C$251,R59)</f>
        <v>12</v>
      </c>
      <c r="S85" s="23">
        <f>COUNTIFS(Debt!$C$30:$C$251,S59)</f>
        <v>12</v>
      </c>
      <c r="T85" s="23">
        <f>COUNTIFS(Debt!$C$30:$C$251,T59)</f>
        <v>12</v>
      </c>
      <c r="U85" s="23">
        <f>COUNTIFS(Debt!$C$30:$C$251,U59)</f>
        <v>12</v>
      </c>
      <c r="V85" s="23">
        <f>COUNTIFS(Debt!$C$30:$C$251,V59)</f>
        <v>12</v>
      </c>
      <c r="W85" s="23">
        <f>COUNTIFS(Debt!$C$30:$C$251,W59)</f>
        <v>12</v>
      </c>
      <c r="X85" s="23">
        <f>COUNTIFS(Debt!$C$30:$C$251,X59)</f>
        <v>12</v>
      </c>
      <c r="Y85" s="23">
        <f>COUNTIFS(Debt!$C$30:$C$251,Y59)</f>
        <v>0</v>
      </c>
      <c r="Z85" s="23">
        <f>COUNTIFS(Debt!$C$30:$C$251,Z59)</f>
        <v>0</v>
      </c>
      <c r="AA85" s="23">
        <f>COUNTIFS(Debt!$C$30:$C$251,AA59)</f>
        <v>0</v>
      </c>
      <c r="AB85" s="23">
        <f>COUNTIFS(Debt!$C$30:$C$251,AB59)</f>
        <v>0</v>
      </c>
      <c r="AC85" s="23">
        <f>COUNTIFS(Debt!$C$30:$C$251,AC59)</f>
        <v>0</v>
      </c>
      <c r="AD85" s="23">
        <f>COUNTIFS(Debt!$C$30:$C$251,AD59)</f>
        <v>0</v>
      </c>
      <c r="AE85" s="23">
        <f>COUNTIFS(Debt!$C$30:$C$251,AE59)</f>
        <v>0</v>
      </c>
    </row>
    <row r="86">
      <c r="A86" s="6" t="inlineStr">
        <is>
          <t xml:space="preserve">Instalments in the year</t>
        </is>
      </c>
      <c r="F86" s="23">
        <f>COUNTIFS(Debt!$C$30:$C$251,F59,Debt!$D$30:$D$251,"&gt;=0")</f>
        <v>0</v>
      </c>
      <c r="G86" s="23">
        <f>COUNTIFS(Debt!$C$30:$C$251,G59,Debt!$D$30:$D$251,"&gt;=0")</f>
        <v>0</v>
      </c>
      <c r="H86" s="23">
        <f>COUNTIFS(Debt!$C$30:$C$251,H59,Debt!$D$30:$D$251,"&gt;=0")</f>
        <v>4</v>
      </c>
      <c r="I86" s="23">
        <f>COUNTIFS(Debt!$C$30:$C$251,I59,Debt!$D$30:$D$251,"&gt;=0")</f>
        <v>4</v>
      </c>
      <c r="J86" s="23">
        <f>COUNTIFS(Debt!$C$30:$C$251,J59,Debt!$D$30:$D$251,"&gt;=0")</f>
        <v>4</v>
      </c>
      <c r="K86" s="23">
        <f>COUNTIFS(Debt!$C$30:$C$251,K59,Debt!$D$30:$D$251,"&gt;=0")</f>
        <v>4</v>
      </c>
      <c r="L86" s="23">
        <f>COUNTIFS(Debt!$C$30:$C$251,L59,Debt!$D$30:$D$251,"&gt;=0")</f>
        <v>4</v>
      </c>
      <c r="M86" s="23">
        <f>COUNTIFS(Debt!$C$30:$C$251,M59,Debt!$D$30:$D$251,"&gt;=0")</f>
        <v>4</v>
      </c>
      <c r="N86" s="23">
        <f>COUNTIFS(Debt!$C$30:$C$251,N59,Debt!$D$30:$D$251,"&gt;=0")</f>
        <v>4</v>
      </c>
      <c r="O86" s="23">
        <f>COUNTIFS(Debt!$C$30:$C$251,O59,Debt!$D$30:$D$251,"&gt;=0")</f>
        <v>4</v>
      </c>
      <c r="P86" s="23">
        <f>COUNTIFS(Debt!$C$30:$C$251,P59,Debt!$D$30:$D$251,"&gt;=0")</f>
        <v>4</v>
      </c>
      <c r="Q86" s="23">
        <f>COUNTIFS(Debt!$C$30:$C$251,Q59,Debt!$D$30:$D$251,"&gt;=0")</f>
        <v>4</v>
      </c>
      <c r="R86" s="23">
        <f>COUNTIFS(Debt!$C$30:$C$251,R59,Debt!$D$30:$D$251,"&gt;=0")</f>
        <v>4</v>
      </c>
      <c r="S86" s="23">
        <f>COUNTIFS(Debt!$C$30:$C$251,S59,Debt!$D$30:$D$251,"&gt;=0")</f>
        <v>4</v>
      </c>
      <c r="T86" s="23">
        <f>COUNTIFS(Debt!$C$30:$C$251,T59,Debt!$D$30:$D$251,"&gt;=0")</f>
        <v>4</v>
      </c>
      <c r="U86" s="23">
        <f>COUNTIFS(Debt!$C$30:$C$251,U59,Debt!$D$30:$D$251,"&gt;=0")</f>
        <v>4</v>
      </c>
      <c r="V86" s="23">
        <f>COUNTIFS(Debt!$C$30:$C$251,V59,Debt!$D$30:$D$251,"&gt;=0")</f>
        <v>4</v>
      </c>
      <c r="W86" s="23">
        <f>COUNTIFS(Debt!$C$30:$C$251,W59,Debt!$D$30:$D$251,"&gt;=0")</f>
        <v>4</v>
      </c>
      <c r="X86" s="23">
        <f>COUNTIFS(Debt!$C$30:$C$251,X59,Debt!$D$30:$D$251,"&gt;=0")</f>
        <v>4</v>
      </c>
      <c r="Y86" s="23">
        <f>COUNTIFS(Debt!$C$30:$C$251,Y59,Debt!$D$30:$D$251,"&gt;=0")</f>
        <v>0</v>
      </c>
      <c r="Z86" s="23">
        <f>COUNTIFS(Debt!$C$30:$C$251,Z59,Debt!$D$30:$D$251,"&gt;=0")</f>
        <v>0</v>
      </c>
      <c r="AA86" s="23">
        <f>COUNTIFS(Debt!$C$30:$C$251,AA59,Debt!$D$30:$D$251,"&gt;=0")</f>
        <v>0</v>
      </c>
      <c r="AB86" s="23">
        <f>COUNTIFS(Debt!$C$30:$C$251,AB59,Debt!$D$30:$D$251,"&gt;=0")</f>
        <v>0</v>
      </c>
      <c r="AC86" s="23">
        <f>COUNTIFS(Debt!$C$30:$C$251,AC59,Debt!$D$30:$D$251,"&gt;=0")</f>
        <v>0</v>
      </c>
      <c r="AD86" s="23">
        <f>COUNTIFS(Debt!$C$30:$C$251,AD59,Debt!$D$30:$D$251,"&gt;=0")</f>
        <v>0</v>
      </c>
      <c r="AE86" s="23">
        <f>COUNTIFS(Debt!$C$30:$C$251,AE59,Debt!$D$30:$D$251,"&gt;=0")</f>
        <v>0</v>
      </c>
    </row>
    <row r="87">
      <c r="A87" s="6" t="inlineStr">
        <is>
          <t xml:space="preserve">Depreciation months (first year: 12 less the months before COD)</t>
        </is>
      </c>
      <c r="F87" s="23">
        <f>IF(F58=1,12-(MONTH($C$7)-1),12)</f>
        <v>6</v>
      </c>
      <c r="G87" s="23">
        <f>IF(G58=1,12-(MONTH($C$7)-1),12)</f>
        <v>12</v>
      </c>
      <c r="H87" s="23">
        <f>IF(H58=1,12-(MONTH($C$7)-1),12)</f>
        <v>12</v>
      </c>
      <c r="I87" s="23">
        <f>IF(I58=1,12-(MONTH($C$7)-1),12)</f>
        <v>12</v>
      </c>
      <c r="J87" s="23">
        <f>IF(J58=1,12-(MONTH($C$7)-1),12)</f>
        <v>12</v>
      </c>
      <c r="K87" s="23">
        <f>IF(K58=1,12-(MONTH($C$7)-1),12)</f>
        <v>12</v>
      </c>
      <c r="L87" s="23">
        <f>IF(L58=1,12-(MONTH($C$7)-1),12)</f>
        <v>12</v>
      </c>
      <c r="M87" s="23">
        <f>IF(M58=1,12-(MONTH($C$7)-1),12)</f>
        <v>12</v>
      </c>
      <c r="N87" s="23">
        <f>IF(N58=1,12-(MONTH($C$7)-1),12)</f>
        <v>12</v>
      </c>
      <c r="O87" s="23">
        <f>IF(O58=1,12-(MONTH($C$7)-1),12)</f>
        <v>12</v>
      </c>
      <c r="P87" s="23">
        <f>IF(P58=1,12-(MONTH($C$7)-1),12)</f>
        <v>12</v>
      </c>
      <c r="Q87" s="23">
        <f>IF(Q58=1,12-(MONTH($C$7)-1),12)</f>
        <v>12</v>
      </c>
      <c r="R87" s="23">
        <f>IF(R58=1,12-(MONTH($C$7)-1),12)</f>
        <v>12</v>
      </c>
      <c r="S87" s="23">
        <f>IF(S58=1,12-(MONTH($C$7)-1),12)</f>
        <v>12</v>
      </c>
      <c r="T87" s="23">
        <f>IF(T58=1,12-(MONTH($C$7)-1),12)</f>
        <v>12</v>
      </c>
      <c r="U87" s="23">
        <f>IF(U58=1,12-(MONTH($C$7)-1),12)</f>
        <v>12</v>
      </c>
      <c r="V87" s="23">
        <f>IF(V58=1,12-(MONTH($C$7)-1),12)</f>
        <v>12</v>
      </c>
      <c r="W87" s="23">
        <f>IF(W58=1,12-(MONTH($C$7)-1),12)</f>
        <v>12</v>
      </c>
      <c r="X87" s="23">
        <f>IF(X58=1,12-(MONTH($C$7)-1),12)</f>
        <v>12</v>
      </c>
      <c r="Y87" s="23">
        <f>IF(Y58=1,12-(MONTH($C$7)-1),12)</f>
        <v>12</v>
      </c>
      <c r="Z87" s="23">
        <f>IF(Z58=1,12-(MONTH($C$7)-1),12)</f>
        <v>12</v>
      </c>
      <c r="AA87" s="23">
        <f>IF(AA58=1,12-(MONTH($C$7)-1),12)</f>
        <v>12</v>
      </c>
      <c r="AB87" s="23">
        <f>IF(AB58=1,12-(MONTH($C$7)-1),12)</f>
        <v>12</v>
      </c>
      <c r="AC87" s="23">
        <f>IF(AC58=1,12-(MONTH($C$7)-1),12)</f>
        <v>12</v>
      </c>
      <c r="AD87" s="23">
        <f>IF(AD58=1,12-(MONTH($C$7)-1),12)</f>
        <v>12</v>
      </c>
      <c r="AE87" s="23">
        <f>IF(AE58=1,12-(MONTH($C$7)-1),12)</f>
        <v>12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>
      <c r="A1" s="1" t="inlineStr">
        <is>
          <t xml:space="preserve">Construction</t>
        </is>
      </c>
    </row>
    <row r="2">
      <c r="A2" s="2" t="inlineStr">
        <is>
          <t xml:space="preserve">By month: capex, VAT bridge, fees, interest during construction and funding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40">
        <v>1</v>
      </c>
      <c r="G4" s="40">
        <v>2</v>
      </c>
      <c r="H4" s="40">
        <v>3</v>
      </c>
      <c r="I4" s="40">
        <v>4</v>
      </c>
      <c r="J4" s="40">
        <v>5</v>
      </c>
      <c r="K4" s="40">
        <v>6</v>
      </c>
      <c r="L4" s="40">
        <v>7</v>
      </c>
      <c r="M4" s="40">
        <v>8</v>
      </c>
      <c r="N4" s="40">
        <v>9</v>
      </c>
      <c r="O4" s="40">
        <v>10</v>
      </c>
      <c r="P4" s="40">
        <v>11</v>
      </c>
      <c r="Q4" s="40">
        <v>12</v>
      </c>
      <c r="R4" s="40">
        <v>13</v>
      </c>
      <c r="S4" s="40">
        <v>14</v>
      </c>
      <c r="T4" s="40">
        <v>15</v>
      </c>
      <c r="U4" s="40">
        <v>16</v>
      </c>
      <c r="V4" s="40">
        <v>17</v>
      </c>
      <c r="W4" s="40">
        <v>18</v>
      </c>
    </row>
    <row r="5">
      <c r="A5" s="3" t="inlineStr">
        <is>
          <t xml:space="preserve">Timeline</t>
        </is>
      </c>
    </row>
    <row r="6">
      <c r="A6" s="6" t="inlineStr">
        <is>
          <t xml:space="preserve">Construction month</t>
        </is>
      </c>
      <c r="F6" s="23">
        <v>1</v>
      </c>
      <c r="G6" s="23">
        <v>2</v>
      </c>
      <c r="H6" s="23">
        <v>3</v>
      </c>
      <c r="I6" s="23">
        <v>4</v>
      </c>
      <c r="J6" s="23">
        <v>5</v>
      </c>
      <c r="K6" s="23">
        <v>6</v>
      </c>
      <c r="L6" s="23">
        <v>7</v>
      </c>
      <c r="M6" s="23">
        <v>8</v>
      </c>
      <c r="N6" s="23">
        <v>9</v>
      </c>
      <c r="O6" s="23">
        <v>10</v>
      </c>
      <c r="P6" s="23">
        <v>11</v>
      </c>
      <c r="Q6" s="23">
        <v>12</v>
      </c>
      <c r="R6" s="23">
        <v>13</v>
      </c>
      <c r="S6" s="23">
        <v>14</v>
      </c>
      <c r="T6" s="23">
        <v>15</v>
      </c>
      <c r="U6" s="23">
        <v>16</v>
      </c>
      <c r="V6" s="23">
        <v>17</v>
      </c>
      <c r="W6" s="23">
        <v>18</v>
      </c>
    </row>
    <row r="7">
      <c r="A7" s="6" t="inlineStr">
        <is>
          <t xml:space="preserve">Month end</t>
        </is>
      </c>
      <c r="F7" s="27">
        <f>EDATE(Timing!$C$6,F6)-1</f>
        <v>46418</v>
      </c>
      <c r="G7" s="27">
        <f>EDATE(Timing!$C$6,G6)-1</f>
        <v>46446</v>
      </c>
      <c r="H7" s="27">
        <f>EDATE(Timing!$C$6,H6)-1</f>
        <v>46477</v>
      </c>
      <c r="I7" s="27">
        <f>EDATE(Timing!$C$6,I6)-1</f>
        <v>46507</v>
      </c>
      <c r="J7" s="27">
        <f>EDATE(Timing!$C$6,J6)-1</f>
        <v>46538</v>
      </c>
      <c r="K7" s="27">
        <f>EDATE(Timing!$C$6,K6)-1</f>
        <v>46568</v>
      </c>
      <c r="L7" s="27">
        <f>EDATE(Timing!$C$6,L6)-1</f>
        <v>46599</v>
      </c>
      <c r="M7" s="27">
        <f>EDATE(Timing!$C$6,M6)-1</f>
        <v>46630</v>
      </c>
      <c r="N7" s="27">
        <f>EDATE(Timing!$C$6,N6)-1</f>
        <v>46660</v>
      </c>
      <c r="O7" s="27">
        <f>EDATE(Timing!$C$6,O6)-1</f>
        <v>46691</v>
      </c>
      <c r="P7" s="27">
        <f>EDATE(Timing!$C$6,P6)-1</f>
        <v>46721</v>
      </c>
      <c r="Q7" s="27">
        <f>EDATE(Timing!$C$6,Q6)-1</f>
        <v>46752</v>
      </c>
      <c r="R7" s="27">
        <f>EDATE(Timing!$C$6,R6)-1</f>
        <v>46783</v>
      </c>
      <c r="S7" s="27">
        <f>EDATE(Timing!$C$6,S6)-1</f>
        <v>46812</v>
      </c>
      <c r="T7" s="27">
        <f>EDATE(Timing!$C$6,T6)-1</f>
        <v>46843</v>
      </c>
      <c r="U7" s="27">
        <f>EDATE(Timing!$C$6,U6)-1</f>
        <v>46873</v>
      </c>
      <c r="V7" s="27">
        <f>EDATE(Timing!$C$6,V6)-1</f>
        <v>46904</v>
      </c>
      <c r="W7" s="27">
        <f>EDATE(Timing!$C$6,W6)-1</f>
        <v>46934</v>
      </c>
    </row>
    <row r="8">
      <c r="A8" s="3" t="inlineStr">
        <is>
          <t xml:space="preserve">Payment profiles (share of an item paid in the month)</t>
        </is>
      </c>
    </row>
    <row r="9">
      <c r="A9" s="6" t="inlineStr">
        <is>
          <t xml:space="preserve">Months in a third of construction</t>
        </is>
      </c>
      <c r="C9" s="23">
        <f>MAX(1,INT(Inputs!$C$11/3))</f>
        <v>6</v>
      </c>
    </row>
    <row r="10">
      <c r="A10" s="6" t="inlineStr">
        <is>
          <t xml:space="preserve">At financial close</t>
        </is>
      </c>
      <c r="F10" s="37">
        <f>IF(F6=1,1,0)</f>
        <v>1</v>
      </c>
      <c r="G10" s="37">
        <f>IF(G6=1,1,0)</f>
        <v>0</v>
      </c>
      <c r="H10" s="37">
        <f>IF(H6=1,1,0)</f>
        <v>0</v>
      </c>
      <c r="I10" s="37">
        <f>IF(I6=1,1,0)</f>
        <v>0</v>
      </c>
      <c r="J10" s="37">
        <f>IF(J6=1,1,0)</f>
        <v>0</v>
      </c>
      <c r="K10" s="37">
        <f>IF(K6=1,1,0)</f>
        <v>0</v>
      </c>
      <c r="L10" s="37">
        <f>IF(L6=1,1,0)</f>
        <v>0</v>
      </c>
      <c r="M10" s="37">
        <f>IF(M6=1,1,0)</f>
        <v>0</v>
      </c>
      <c r="N10" s="37">
        <f>IF(N6=1,1,0)</f>
        <v>0</v>
      </c>
      <c r="O10" s="37">
        <f>IF(O6=1,1,0)</f>
        <v>0</v>
      </c>
      <c r="P10" s="37">
        <f>IF(P6=1,1,0)</f>
        <v>0</v>
      </c>
      <c r="Q10" s="37">
        <f>IF(Q6=1,1,0)</f>
        <v>0</v>
      </c>
      <c r="R10" s="37">
        <f>IF(R6=1,1,0)</f>
        <v>0</v>
      </c>
      <c r="S10" s="37">
        <f>IF(S6=1,1,0)</f>
        <v>0</v>
      </c>
      <c r="T10" s="37">
        <f>IF(T6=1,1,0)</f>
        <v>0</v>
      </c>
      <c r="U10" s="37">
        <f>IF(U6=1,1,0)</f>
        <v>0</v>
      </c>
      <c r="V10" s="37">
        <f>IF(V6=1,1,0)</f>
        <v>0</v>
      </c>
      <c r="W10" s="37">
        <f>IF(W6=1,1,0)</f>
        <v>0</v>
      </c>
    </row>
    <row r="11">
      <c r="A11" s="6" t="inlineStr">
        <is>
          <t xml:space="preserve">Evenly over construction</t>
        </is>
      </c>
      <c r="F11" s="37">
        <f>1/Inputs!$C$11</f>
        <v>0.05555555555555555</v>
      </c>
      <c r="G11" s="37">
        <f>1/Inputs!$C$11</f>
        <v>0.05555555555555555</v>
      </c>
      <c r="H11" s="37">
        <f>1/Inputs!$C$11</f>
        <v>0.05555555555555555</v>
      </c>
      <c r="I11" s="37">
        <f>1/Inputs!$C$11</f>
        <v>0.05555555555555555</v>
      </c>
      <c r="J11" s="37">
        <f>1/Inputs!$C$11</f>
        <v>0.05555555555555555</v>
      </c>
      <c r="K11" s="37">
        <f>1/Inputs!$C$11</f>
        <v>0.05555555555555555</v>
      </c>
      <c r="L11" s="37">
        <f>1/Inputs!$C$11</f>
        <v>0.05555555555555555</v>
      </c>
      <c r="M11" s="37">
        <f>1/Inputs!$C$11</f>
        <v>0.05555555555555555</v>
      </c>
      <c r="N11" s="37">
        <f>1/Inputs!$C$11</f>
        <v>0.05555555555555555</v>
      </c>
      <c r="O11" s="37">
        <f>1/Inputs!$C$11</f>
        <v>0.05555555555555555</v>
      </c>
      <c r="P11" s="37">
        <f>1/Inputs!$C$11</f>
        <v>0.05555555555555555</v>
      </c>
      <c r="Q11" s="37">
        <f>1/Inputs!$C$11</f>
        <v>0.05555555555555555</v>
      </c>
      <c r="R11" s="37">
        <f>1/Inputs!$C$11</f>
        <v>0.05555555555555555</v>
      </c>
      <c r="S11" s="37">
        <f>1/Inputs!$C$11</f>
        <v>0.05555555555555555</v>
      </c>
      <c r="T11" s="37">
        <f>1/Inputs!$C$11</f>
        <v>0.05555555555555555</v>
      </c>
      <c r="U11" s="37">
        <f>1/Inputs!$C$11</f>
        <v>0.05555555555555555</v>
      </c>
      <c r="V11" s="37">
        <f>1/Inputs!$C$11</f>
        <v>0.05555555555555555</v>
      </c>
      <c r="W11" s="37">
        <f>1/Inputs!$C$11</f>
        <v>0.05555555555555555</v>
      </c>
    </row>
    <row r="12">
      <c r="A12" s="6" t="inlineStr">
        <is>
          <t xml:space="preserve">40 / 40 / 20 % over the thirds</t>
        </is>
      </c>
      <c r="F12" s="37">
        <f>IF(F6&lt;=2*$C$9,Inputs!$C$155/$C$9,Inputs!$C$156/(Inputs!$C$11-2*$C$9))</f>
        <v>0.06666666666666667</v>
      </c>
      <c r="G12" s="37">
        <f>IF(G6&lt;=2*$C$9,Inputs!$C$155/$C$9,Inputs!$C$156/(Inputs!$C$11-2*$C$9))</f>
        <v>0.06666666666666667</v>
      </c>
      <c r="H12" s="37">
        <f>IF(H6&lt;=2*$C$9,Inputs!$C$155/$C$9,Inputs!$C$156/(Inputs!$C$11-2*$C$9))</f>
        <v>0.06666666666666667</v>
      </c>
      <c r="I12" s="37">
        <f>IF(I6&lt;=2*$C$9,Inputs!$C$155/$C$9,Inputs!$C$156/(Inputs!$C$11-2*$C$9))</f>
        <v>0.06666666666666667</v>
      </c>
      <c r="J12" s="37">
        <f>IF(J6&lt;=2*$C$9,Inputs!$C$155/$C$9,Inputs!$C$156/(Inputs!$C$11-2*$C$9))</f>
        <v>0.06666666666666667</v>
      </c>
      <c r="K12" s="37">
        <f>IF(K6&lt;=2*$C$9,Inputs!$C$155/$C$9,Inputs!$C$156/(Inputs!$C$11-2*$C$9))</f>
        <v>0.06666666666666667</v>
      </c>
      <c r="L12" s="37">
        <f>IF(L6&lt;=2*$C$9,Inputs!$C$155/$C$9,Inputs!$C$156/(Inputs!$C$11-2*$C$9))</f>
        <v>0.06666666666666667</v>
      </c>
      <c r="M12" s="37">
        <f>IF(M6&lt;=2*$C$9,Inputs!$C$155/$C$9,Inputs!$C$156/(Inputs!$C$11-2*$C$9))</f>
        <v>0.06666666666666667</v>
      </c>
      <c r="N12" s="37">
        <f>IF(N6&lt;=2*$C$9,Inputs!$C$155/$C$9,Inputs!$C$156/(Inputs!$C$11-2*$C$9))</f>
        <v>0.06666666666666667</v>
      </c>
      <c r="O12" s="37">
        <f>IF(O6&lt;=2*$C$9,Inputs!$C$155/$C$9,Inputs!$C$156/(Inputs!$C$11-2*$C$9))</f>
        <v>0.06666666666666667</v>
      </c>
      <c r="P12" s="37">
        <f>IF(P6&lt;=2*$C$9,Inputs!$C$155/$C$9,Inputs!$C$156/(Inputs!$C$11-2*$C$9))</f>
        <v>0.06666666666666667</v>
      </c>
      <c r="Q12" s="37">
        <f>IF(Q6&lt;=2*$C$9,Inputs!$C$155/$C$9,Inputs!$C$156/(Inputs!$C$11-2*$C$9))</f>
        <v>0.06666666666666667</v>
      </c>
      <c r="R12" s="37">
        <f>IF(R6&lt;=2*$C$9,Inputs!$C$155/$C$9,Inputs!$C$156/(Inputs!$C$11-2*$C$9))</f>
        <v>0.03333333333333333</v>
      </c>
      <c r="S12" s="37">
        <f>IF(S6&lt;=2*$C$9,Inputs!$C$155/$C$9,Inputs!$C$156/(Inputs!$C$11-2*$C$9))</f>
        <v>0.03333333333333333</v>
      </c>
      <c r="T12" s="37">
        <f>IF(T6&lt;=2*$C$9,Inputs!$C$155/$C$9,Inputs!$C$156/(Inputs!$C$11-2*$C$9))</f>
        <v>0.03333333333333333</v>
      </c>
      <c r="U12" s="37">
        <f>IF(U6&lt;=2*$C$9,Inputs!$C$155/$C$9,Inputs!$C$156/(Inputs!$C$11-2*$C$9))</f>
        <v>0.03333333333333333</v>
      </c>
      <c r="V12" s="37">
        <f>IF(V6&lt;=2*$C$9,Inputs!$C$155/$C$9,Inputs!$C$156/(Inputs!$C$11-2*$C$9))</f>
        <v>0.03333333333333333</v>
      </c>
      <c r="W12" s="37">
        <f>IF(W6&lt;=2*$C$9,Inputs!$C$155/$C$9,Inputs!$C$156/(Inputs!$C$11-2*$C$9))</f>
        <v>0.03333333333333333</v>
      </c>
    </row>
    <row r="13">
      <c r="A13" s="6" t="inlineStr">
        <is>
          <t xml:space="preserve">Turbine: 10 % at close, 70 % on delivery, 20 % at COD</t>
        </is>
      </c>
      <c r="F13" s="37">
        <f>IF(F6=1,Inputs!$C$151,0)+Inputs!$C$152/Inputs!$C$154*(IF(F6-1=MAX(0,Inputs!$C$11-4),1,0)+IF(F6-1=MAX(0,Inputs!$C$11-3),1,0)+IF(F6-1=MAX(0,Inputs!$C$11-2),1,0))+IF(F6=Inputs!$C$11,Inputs!$C$153,0)</f>
        <v>0.1</v>
      </c>
      <c r="G13" s="37">
        <f>IF(G6=1,Inputs!$C$151,0)+Inputs!$C$152/Inputs!$C$154*(IF(G6-1=MAX(0,Inputs!$C$11-4),1,0)+IF(G6-1=MAX(0,Inputs!$C$11-3),1,0)+IF(G6-1=MAX(0,Inputs!$C$11-2),1,0))+IF(G6=Inputs!$C$11,Inputs!$C$153,0)</f>
        <v>0</v>
      </c>
      <c r="H13" s="37">
        <f>IF(H6=1,Inputs!$C$151,0)+Inputs!$C$152/Inputs!$C$154*(IF(H6-1=MAX(0,Inputs!$C$11-4),1,0)+IF(H6-1=MAX(0,Inputs!$C$11-3),1,0)+IF(H6-1=MAX(0,Inputs!$C$11-2),1,0))+IF(H6=Inputs!$C$11,Inputs!$C$153,0)</f>
        <v>0</v>
      </c>
      <c r="I13" s="37">
        <f>IF(I6=1,Inputs!$C$151,0)+Inputs!$C$152/Inputs!$C$154*(IF(I6-1=MAX(0,Inputs!$C$11-4),1,0)+IF(I6-1=MAX(0,Inputs!$C$11-3),1,0)+IF(I6-1=MAX(0,Inputs!$C$11-2),1,0))+IF(I6=Inputs!$C$11,Inputs!$C$153,0)</f>
        <v>0</v>
      </c>
      <c r="J13" s="37">
        <f>IF(J6=1,Inputs!$C$151,0)+Inputs!$C$152/Inputs!$C$154*(IF(J6-1=MAX(0,Inputs!$C$11-4),1,0)+IF(J6-1=MAX(0,Inputs!$C$11-3),1,0)+IF(J6-1=MAX(0,Inputs!$C$11-2),1,0))+IF(J6=Inputs!$C$11,Inputs!$C$153,0)</f>
        <v>0</v>
      </c>
      <c r="K13" s="37">
        <f>IF(K6=1,Inputs!$C$151,0)+Inputs!$C$152/Inputs!$C$154*(IF(K6-1=MAX(0,Inputs!$C$11-4),1,0)+IF(K6-1=MAX(0,Inputs!$C$11-3),1,0)+IF(K6-1=MAX(0,Inputs!$C$11-2),1,0))+IF(K6=Inputs!$C$11,Inputs!$C$153,0)</f>
        <v>0</v>
      </c>
      <c r="L13" s="37">
        <f>IF(L6=1,Inputs!$C$151,0)+Inputs!$C$152/Inputs!$C$154*(IF(L6-1=MAX(0,Inputs!$C$11-4),1,0)+IF(L6-1=MAX(0,Inputs!$C$11-3),1,0)+IF(L6-1=MAX(0,Inputs!$C$11-2),1,0))+IF(L6=Inputs!$C$11,Inputs!$C$153,0)</f>
        <v>0</v>
      </c>
      <c r="M13" s="37">
        <f>IF(M6=1,Inputs!$C$151,0)+Inputs!$C$152/Inputs!$C$154*(IF(M6-1=MAX(0,Inputs!$C$11-4),1,0)+IF(M6-1=MAX(0,Inputs!$C$11-3),1,0)+IF(M6-1=MAX(0,Inputs!$C$11-2),1,0))+IF(M6=Inputs!$C$11,Inputs!$C$153,0)</f>
        <v>0</v>
      </c>
      <c r="N13" s="37">
        <f>IF(N6=1,Inputs!$C$151,0)+Inputs!$C$152/Inputs!$C$154*(IF(N6-1=MAX(0,Inputs!$C$11-4),1,0)+IF(N6-1=MAX(0,Inputs!$C$11-3),1,0)+IF(N6-1=MAX(0,Inputs!$C$11-2),1,0))+IF(N6=Inputs!$C$11,Inputs!$C$153,0)</f>
        <v>0</v>
      </c>
      <c r="O13" s="37">
        <f>IF(O6=1,Inputs!$C$151,0)+Inputs!$C$152/Inputs!$C$154*(IF(O6-1=MAX(0,Inputs!$C$11-4),1,0)+IF(O6-1=MAX(0,Inputs!$C$11-3),1,0)+IF(O6-1=MAX(0,Inputs!$C$11-2),1,0))+IF(O6=Inputs!$C$11,Inputs!$C$153,0)</f>
        <v>0</v>
      </c>
      <c r="P13" s="37">
        <f>IF(P6=1,Inputs!$C$151,0)+Inputs!$C$152/Inputs!$C$154*(IF(P6-1=MAX(0,Inputs!$C$11-4),1,0)+IF(P6-1=MAX(0,Inputs!$C$11-3),1,0)+IF(P6-1=MAX(0,Inputs!$C$11-2),1,0))+IF(P6=Inputs!$C$11,Inputs!$C$153,0)</f>
        <v>0</v>
      </c>
      <c r="Q13" s="37">
        <f>IF(Q6=1,Inputs!$C$151,0)+Inputs!$C$152/Inputs!$C$154*(IF(Q6-1=MAX(0,Inputs!$C$11-4),1,0)+IF(Q6-1=MAX(0,Inputs!$C$11-3),1,0)+IF(Q6-1=MAX(0,Inputs!$C$11-2),1,0))+IF(Q6=Inputs!$C$11,Inputs!$C$153,0)</f>
        <v>0</v>
      </c>
      <c r="R13" s="37">
        <f>IF(R6=1,Inputs!$C$151,0)+Inputs!$C$152/Inputs!$C$154*(IF(R6-1=MAX(0,Inputs!$C$11-4),1,0)+IF(R6-1=MAX(0,Inputs!$C$11-3),1,0)+IF(R6-1=MAX(0,Inputs!$C$11-2),1,0))+IF(R6=Inputs!$C$11,Inputs!$C$153,0)</f>
        <v>0</v>
      </c>
      <c r="S13" s="37">
        <f>IF(S6=1,Inputs!$C$151,0)+Inputs!$C$152/Inputs!$C$154*(IF(S6-1=MAX(0,Inputs!$C$11-4),1,0)+IF(S6-1=MAX(0,Inputs!$C$11-3),1,0)+IF(S6-1=MAX(0,Inputs!$C$11-2),1,0))+IF(S6=Inputs!$C$11,Inputs!$C$153,0)</f>
        <v>0</v>
      </c>
      <c r="T13" s="37">
        <f>IF(T6=1,Inputs!$C$151,0)+Inputs!$C$152/Inputs!$C$154*(IF(T6-1=MAX(0,Inputs!$C$11-4),1,0)+IF(T6-1=MAX(0,Inputs!$C$11-3),1,0)+IF(T6-1=MAX(0,Inputs!$C$11-2),1,0))+IF(T6=Inputs!$C$11,Inputs!$C$153,0)</f>
        <v>0.2333333333333333</v>
      </c>
      <c r="U13" s="37">
        <f>IF(U6=1,Inputs!$C$151,0)+Inputs!$C$152/Inputs!$C$154*(IF(U6-1=MAX(0,Inputs!$C$11-4),1,0)+IF(U6-1=MAX(0,Inputs!$C$11-3),1,0)+IF(U6-1=MAX(0,Inputs!$C$11-2),1,0))+IF(U6=Inputs!$C$11,Inputs!$C$153,0)</f>
        <v>0.2333333333333333</v>
      </c>
      <c r="V13" s="37">
        <f>IF(V6=1,Inputs!$C$151,0)+Inputs!$C$152/Inputs!$C$154*(IF(V6-1=MAX(0,Inputs!$C$11-4),1,0)+IF(V6-1=MAX(0,Inputs!$C$11-3),1,0)+IF(V6-1=MAX(0,Inputs!$C$11-2),1,0))+IF(V6=Inputs!$C$11,Inputs!$C$153,0)</f>
        <v>0.2333333333333333</v>
      </c>
      <c r="W13" s="37">
        <f>IF(W6=1,Inputs!$C$151,0)+Inputs!$C$152/Inputs!$C$154*(IF(W6-1=MAX(0,Inputs!$C$11-4),1,0)+IF(W6-1=MAX(0,Inputs!$C$11-3),1,0)+IF(W6-1=MAX(0,Inputs!$C$11-2),1,0))+IF(W6=Inputs!$C$11,Inputs!$C$153,0)</f>
        <v>0.2</v>
      </c>
    </row>
    <row r="15">
      <c r="A15" s="5" t="inlineStr">
        <is>
          <t xml:space="preserve">Base, P90 1-yr and P90 10-yr (same capex)</t>
        </is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>
      <c r="A16" s="6" t="inlineStr">
        <is>
          <t xml:space="preserve">Loan share of each month's need (pasted loan ÷ pasted uses)</t>
        </is>
      </c>
      <c r="C16" s="37">
        <f>Inputs!$C$192/Inputs!$C$193</f>
        <v>0.3479104025713334</v>
      </c>
    </row>
    <row r="17">
      <c r="A17" s="6" t="inlineStr">
        <is>
          <t xml:space="preserve">Equity to be paid in (pasted uses − loan)</t>
        </is>
      </c>
      <c r="B17" s="10" t="inlineStr">
        <is>
          <t xml:space="preserve">€</t>
        </is>
      </c>
      <c r="C17" s="23">
        <f>Inputs!$C$193-Inputs!$C$192</f>
        <v>38671265.02302256</v>
      </c>
    </row>
    <row r="18">
      <c r="A18" s="6" t="inlineStr">
        <is>
          <t xml:space="preserve">Capex: turbine</t>
        </is>
      </c>
      <c r="B18" s="10" t="inlineStr">
        <is>
          <t xml:space="preserve">€</t>
        </is>
      </c>
      <c r="F18" s="23">
        <f>IF(Inputs!$B$48="turbine",F13,IF(Inputs!$B$48="thirds",F12,IF(Inputs!$B$48="atStart",F10,F11)))*Inputs!$C$48*Timing!$C$28*1</f>
        <v>3663450.0000000005</v>
      </c>
      <c r="G18" s="23">
        <f>IF(Inputs!$B$48="turbine",G13,IF(Inputs!$B$48="thirds",G12,IF(Inputs!$B$48="atStart",G10,G11)))*Inputs!$C$48*Timing!$C$28*1</f>
        <v>0</v>
      </c>
      <c r="H18" s="23">
        <f>IF(Inputs!$B$48="turbine",H13,IF(Inputs!$B$48="thirds",H12,IF(Inputs!$B$48="atStart",H10,H11)))*Inputs!$C$48*Timing!$C$28*1</f>
        <v>0</v>
      </c>
      <c r="I18" s="23">
        <f>IF(Inputs!$B$48="turbine",I13,IF(Inputs!$B$48="thirds",I12,IF(Inputs!$B$48="atStart",I10,I11)))*Inputs!$C$48*Timing!$C$28*1</f>
        <v>0</v>
      </c>
      <c r="J18" s="23">
        <f>IF(Inputs!$B$48="turbine",J13,IF(Inputs!$B$48="thirds",J12,IF(Inputs!$B$48="atStart",J10,J11)))*Inputs!$C$48*Timing!$C$28*1</f>
        <v>0</v>
      </c>
      <c r="K18" s="23">
        <f>IF(Inputs!$B$48="turbine",K13,IF(Inputs!$B$48="thirds",K12,IF(Inputs!$B$48="atStart",K10,K11)))*Inputs!$C$48*Timing!$C$28*1</f>
        <v>0</v>
      </c>
      <c r="L18" s="23">
        <f>IF(Inputs!$B$48="turbine",L13,IF(Inputs!$B$48="thirds",L12,IF(Inputs!$B$48="atStart",L10,L11)))*Inputs!$C$48*Timing!$C$28*1</f>
        <v>0</v>
      </c>
      <c r="M18" s="23">
        <f>IF(Inputs!$B$48="turbine",M13,IF(Inputs!$B$48="thirds",M12,IF(Inputs!$B$48="atStart",M10,M11)))*Inputs!$C$48*Timing!$C$28*1</f>
        <v>0</v>
      </c>
      <c r="N18" s="23">
        <f>IF(Inputs!$B$48="turbine",N13,IF(Inputs!$B$48="thirds",N12,IF(Inputs!$B$48="atStart",N10,N11)))*Inputs!$C$48*Timing!$C$28*1</f>
        <v>0</v>
      </c>
      <c r="O18" s="23">
        <f>IF(Inputs!$B$48="turbine",O13,IF(Inputs!$B$48="thirds",O12,IF(Inputs!$B$48="atStart",O10,O11)))*Inputs!$C$48*Timing!$C$28*1</f>
        <v>0</v>
      </c>
      <c r="P18" s="23">
        <f>IF(Inputs!$B$48="turbine",P13,IF(Inputs!$B$48="thirds",P12,IF(Inputs!$B$48="atStart",P10,P11)))*Inputs!$C$48*Timing!$C$28*1</f>
        <v>0</v>
      </c>
      <c r="Q18" s="23">
        <f>IF(Inputs!$B$48="turbine",Q13,IF(Inputs!$B$48="thirds",Q12,IF(Inputs!$B$48="atStart",Q10,Q11)))*Inputs!$C$48*Timing!$C$28*1</f>
        <v>0</v>
      </c>
      <c r="R18" s="23">
        <f>IF(Inputs!$B$48="turbine",R13,IF(Inputs!$B$48="thirds",R12,IF(Inputs!$B$48="atStart",R10,R11)))*Inputs!$C$48*Timing!$C$28*1</f>
        <v>0</v>
      </c>
      <c r="S18" s="23">
        <f>IF(Inputs!$B$48="turbine",S13,IF(Inputs!$B$48="thirds",S12,IF(Inputs!$B$48="atStart",S10,S11)))*Inputs!$C$48*Timing!$C$28*1</f>
        <v>0</v>
      </c>
      <c r="T18" s="23">
        <f>IF(Inputs!$B$48="turbine",T13,IF(Inputs!$B$48="thirds",T12,IF(Inputs!$B$48="atStart",T10,T11)))*Inputs!$C$48*Timing!$C$28*1</f>
        <v>8548049.999999998</v>
      </c>
      <c r="U18" s="23">
        <f>IF(Inputs!$B$48="turbine",U13,IF(Inputs!$B$48="thirds",U12,IF(Inputs!$B$48="atStart",U10,U11)))*Inputs!$C$48*Timing!$C$28*1</f>
        <v>8548049.999999998</v>
      </c>
      <c r="V18" s="23">
        <f>IF(Inputs!$B$48="turbine",V13,IF(Inputs!$B$48="thirds",V12,IF(Inputs!$B$48="atStart",V10,V11)))*Inputs!$C$48*Timing!$C$28*1</f>
        <v>8548049.999999998</v>
      </c>
      <c r="W18" s="23">
        <f>IF(Inputs!$B$48="turbine",W13,IF(Inputs!$B$48="thirds",W12,IF(Inputs!$B$48="atStart",W10,W11)))*Inputs!$C$48*Timing!$C$28*1</f>
        <v>7326900.000000001</v>
      </c>
    </row>
    <row r="19">
      <c r="A19" s="6" t="inlineStr">
        <is>
          <t xml:space="preserve">Capex: foundation</t>
        </is>
      </c>
      <c r="B19" s="10" t="inlineStr">
        <is>
          <t xml:space="preserve">€</t>
        </is>
      </c>
      <c r="F19" s="23">
        <f>IF(Inputs!$B$49="turbine",F13,IF(Inputs!$B$49="thirds",F12,IF(Inputs!$B$49="atStart",F10,F11)))*Inputs!$C$49*Timing!$C$28*1</f>
        <v>184800</v>
      </c>
      <c r="G19" s="23">
        <f>IF(Inputs!$B$49="turbine",G13,IF(Inputs!$B$49="thirds",G12,IF(Inputs!$B$49="atStart",G10,G11)))*Inputs!$C$49*Timing!$C$28*1</f>
        <v>184800</v>
      </c>
      <c r="H19" s="23">
        <f>IF(Inputs!$B$49="turbine",H13,IF(Inputs!$B$49="thirds",H12,IF(Inputs!$B$49="atStart",H10,H11)))*Inputs!$C$49*Timing!$C$28*1</f>
        <v>184800</v>
      </c>
      <c r="I19" s="23">
        <f>IF(Inputs!$B$49="turbine",I13,IF(Inputs!$B$49="thirds",I12,IF(Inputs!$B$49="atStart",I10,I11)))*Inputs!$C$49*Timing!$C$28*1</f>
        <v>184800</v>
      </c>
      <c r="J19" s="23">
        <f>IF(Inputs!$B$49="turbine",J13,IF(Inputs!$B$49="thirds",J12,IF(Inputs!$B$49="atStart",J10,J11)))*Inputs!$C$49*Timing!$C$28*1</f>
        <v>184800</v>
      </c>
      <c r="K19" s="23">
        <f>IF(Inputs!$B$49="turbine",K13,IF(Inputs!$B$49="thirds",K12,IF(Inputs!$B$49="atStart",K10,K11)))*Inputs!$C$49*Timing!$C$28*1</f>
        <v>184800</v>
      </c>
      <c r="L19" s="23">
        <f>IF(Inputs!$B$49="turbine",L13,IF(Inputs!$B$49="thirds",L12,IF(Inputs!$B$49="atStart",L10,L11)))*Inputs!$C$49*Timing!$C$28*1</f>
        <v>184800</v>
      </c>
      <c r="M19" s="23">
        <f>IF(Inputs!$B$49="turbine",M13,IF(Inputs!$B$49="thirds",M12,IF(Inputs!$B$49="atStart",M10,M11)))*Inputs!$C$49*Timing!$C$28*1</f>
        <v>184800</v>
      </c>
      <c r="N19" s="23">
        <f>IF(Inputs!$B$49="turbine",N13,IF(Inputs!$B$49="thirds",N12,IF(Inputs!$B$49="atStart",N10,N11)))*Inputs!$C$49*Timing!$C$28*1</f>
        <v>184800</v>
      </c>
      <c r="O19" s="23">
        <f>IF(Inputs!$B$49="turbine",O13,IF(Inputs!$B$49="thirds",O12,IF(Inputs!$B$49="atStart",O10,O11)))*Inputs!$C$49*Timing!$C$28*1</f>
        <v>184800</v>
      </c>
      <c r="P19" s="23">
        <f>IF(Inputs!$B$49="turbine",P13,IF(Inputs!$B$49="thirds",P12,IF(Inputs!$B$49="atStart",P10,P11)))*Inputs!$C$49*Timing!$C$28*1</f>
        <v>184800</v>
      </c>
      <c r="Q19" s="23">
        <f>IF(Inputs!$B$49="turbine",Q13,IF(Inputs!$B$49="thirds",Q12,IF(Inputs!$B$49="atStart",Q10,Q11)))*Inputs!$C$49*Timing!$C$28*1</f>
        <v>184800</v>
      </c>
      <c r="R19" s="23">
        <f>IF(Inputs!$B$49="turbine",R13,IF(Inputs!$B$49="thirds",R12,IF(Inputs!$B$49="atStart",R10,R11)))*Inputs!$C$49*Timing!$C$28*1</f>
        <v>92400</v>
      </c>
      <c r="S19" s="23">
        <f>IF(Inputs!$B$49="turbine",S13,IF(Inputs!$B$49="thirds",S12,IF(Inputs!$B$49="atStart",S10,S11)))*Inputs!$C$49*Timing!$C$28*1</f>
        <v>92400</v>
      </c>
      <c r="T19" s="23">
        <f>IF(Inputs!$B$49="turbine",T13,IF(Inputs!$B$49="thirds",T12,IF(Inputs!$B$49="atStart",T10,T11)))*Inputs!$C$49*Timing!$C$28*1</f>
        <v>92400</v>
      </c>
      <c r="U19" s="23">
        <f>IF(Inputs!$B$49="turbine",U13,IF(Inputs!$B$49="thirds",U12,IF(Inputs!$B$49="atStart",U10,U11)))*Inputs!$C$49*Timing!$C$28*1</f>
        <v>92400</v>
      </c>
      <c r="V19" s="23">
        <f>IF(Inputs!$B$49="turbine",V13,IF(Inputs!$B$49="thirds",V12,IF(Inputs!$B$49="atStart",V10,V11)))*Inputs!$C$49*Timing!$C$28*1</f>
        <v>92400</v>
      </c>
      <c r="W19" s="23">
        <f>IF(Inputs!$B$49="turbine",W13,IF(Inputs!$B$49="thirds",W12,IF(Inputs!$B$49="atStart",W10,W11)))*Inputs!$C$49*Timing!$C$28*1</f>
        <v>92400</v>
      </c>
    </row>
    <row r="20">
      <c r="A20" s="6" t="inlineStr">
        <is>
          <t xml:space="preserve">Capex: infrastructure</t>
        </is>
      </c>
      <c r="B20" s="10" t="inlineStr">
        <is>
          <t xml:space="preserve">€</t>
        </is>
      </c>
      <c r="F20" s="23">
        <f>IF(Inputs!$B$50="turbine",F13,IF(Inputs!$B$50="thirds",F12,IF(Inputs!$B$50="atStart",F10,F11)))*Inputs!$C$50*Timing!$C$28*1</f>
        <v>249900</v>
      </c>
      <c r="G20" s="23">
        <f>IF(Inputs!$B$50="turbine",G13,IF(Inputs!$B$50="thirds",G12,IF(Inputs!$B$50="atStart",G10,G11)))*Inputs!$C$50*Timing!$C$28*1</f>
        <v>249900</v>
      </c>
      <c r="H20" s="23">
        <f>IF(Inputs!$B$50="turbine",H13,IF(Inputs!$B$50="thirds",H12,IF(Inputs!$B$50="atStart",H10,H11)))*Inputs!$C$50*Timing!$C$28*1</f>
        <v>249900</v>
      </c>
      <c r="I20" s="23">
        <f>IF(Inputs!$B$50="turbine",I13,IF(Inputs!$B$50="thirds",I12,IF(Inputs!$B$50="atStart",I10,I11)))*Inputs!$C$50*Timing!$C$28*1</f>
        <v>249900</v>
      </c>
      <c r="J20" s="23">
        <f>IF(Inputs!$B$50="turbine",J13,IF(Inputs!$B$50="thirds",J12,IF(Inputs!$B$50="atStart",J10,J11)))*Inputs!$C$50*Timing!$C$28*1</f>
        <v>249900</v>
      </c>
      <c r="K20" s="23">
        <f>IF(Inputs!$B$50="turbine",K13,IF(Inputs!$B$50="thirds",K12,IF(Inputs!$B$50="atStart",K10,K11)))*Inputs!$C$50*Timing!$C$28*1</f>
        <v>249900</v>
      </c>
      <c r="L20" s="23">
        <f>IF(Inputs!$B$50="turbine",L13,IF(Inputs!$B$50="thirds",L12,IF(Inputs!$B$50="atStart",L10,L11)))*Inputs!$C$50*Timing!$C$28*1</f>
        <v>249900</v>
      </c>
      <c r="M20" s="23">
        <f>IF(Inputs!$B$50="turbine",M13,IF(Inputs!$B$50="thirds",M12,IF(Inputs!$B$50="atStart",M10,M11)))*Inputs!$C$50*Timing!$C$28*1</f>
        <v>249900</v>
      </c>
      <c r="N20" s="23">
        <f>IF(Inputs!$B$50="turbine",N13,IF(Inputs!$B$50="thirds",N12,IF(Inputs!$B$50="atStart",N10,N11)))*Inputs!$C$50*Timing!$C$28*1</f>
        <v>249900</v>
      </c>
      <c r="O20" s="23">
        <f>IF(Inputs!$B$50="turbine",O13,IF(Inputs!$B$50="thirds",O12,IF(Inputs!$B$50="atStart",O10,O11)))*Inputs!$C$50*Timing!$C$28*1</f>
        <v>249900</v>
      </c>
      <c r="P20" s="23">
        <f>IF(Inputs!$B$50="turbine",P13,IF(Inputs!$B$50="thirds",P12,IF(Inputs!$B$50="atStart",P10,P11)))*Inputs!$C$50*Timing!$C$28*1</f>
        <v>249900</v>
      </c>
      <c r="Q20" s="23">
        <f>IF(Inputs!$B$50="turbine",Q13,IF(Inputs!$B$50="thirds",Q12,IF(Inputs!$B$50="atStart",Q10,Q11)))*Inputs!$C$50*Timing!$C$28*1</f>
        <v>249900</v>
      </c>
      <c r="R20" s="23">
        <f>IF(Inputs!$B$50="turbine",R13,IF(Inputs!$B$50="thirds",R12,IF(Inputs!$B$50="atStart",R10,R11)))*Inputs!$C$50*Timing!$C$28*1</f>
        <v>124950</v>
      </c>
      <c r="S20" s="23">
        <f>IF(Inputs!$B$50="turbine",S13,IF(Inputs!$B$50="thirds",S12,IF(Inputs!$B$50="atStart",S10,S11)))*Inputs!$C$50*Timing!$C$28*1</f>
        <v>124950</v>
      </c>
      <c r="T20" s="23">
        <f>IF(Inputs!$B$50="turbine",T13,IF(Inputs!$B$50="thirds",T12,IF(Inputs!$B$50="atStart",T10,T11)))*Inputs!$C$50*Timing!$C$28*1</f>
        <v>124950</v>
      </c>
      <c r="U20" s="23">
        <f>IF(Inputs!$B$50="turbine",U13,IF(Inputs!$B$50="thirds",U12,IF(Inputs!$B$50="atStart",U10,U11)))*Inputs!$C$50*Timing!$C$28*1</f>
        <v>124950</v>
      </c>
      <c r="V20" s="23">
        <f>IF(Inputs!$B$50="turbine",V13,IF(Inputs!$B$50="thirds",V12,IF(Inputs!$B$50="atStart",V10,V11)))*Inputs!$C$50*Timing!$C$28*1</f>
        <v>124950</v>
      </c>
      <c r="W20" s="23">
        <f>IF(Inputs!$B$50="turbine",W13,IF(Inputs!$B$50="thirds",W12,IF(Inputs!$B$50="atStart",W10,W11)))*Inputs!$C$50*Timing!$C$28*1</f>
        <v>124950</v>
      </c>
    </row>
    <row r="21">
      <c r="A21" s="6" t="inlineStr">
        <is>
          <t xml:space="preserve">Capex: gridConnection</t>
        </is>
      </c>
      <c r="B21" s="10" t="inlineStr">
        <is>
          <t xml:space="preserve">€</t>
        </is>
      </c>
      <c r="F21" s="23">
        <f>IF(Inputs!$B$51="turbine",F13,IF(Inputs!$B$51="thirds",F12,IF(Inputs!$B$51="atStart",F10,F11)))*Inputs!$C$51*Timing!$C$28*1</f>
        <v>279300</v>
      </c>
      <c r="G21" s="23">
        <f>IF(Inputs!$B$51="turbine",G13,IF(Inputs!$B$51="thirds",G12,IF(Inputs!$B$51="atStart",G10,G11)))*Inputs!$C$51*Timing!$C$28*1</f>
        <v>279300</v>
      </c>
      <c r="H21" s="23">
        <f>IF(Inputs!$B$51="turbine",H13,IF(Inputs!$B$51="thirds",H12,IF(Inputs!$B$51="atStart",H10,H11)))*Inputs!$C$51*Timing!$C$28*1</f>
        <v>279300</v>
      </c>
      <c r="I21" s="23">
        <f>IF(Inputs!$B$51="turbine",I13,IF(Inputs!$B$51="thirds",I12,IF(Inputs!$B$51="atStart",I10,I11)))*Inputs!$C$51*Timing!$C$28*1</f>
        <v>279300</v>
      </c>
      <c r="J21" s="23">
        <f>IF(Inputs!$B$51="turbine",J13,IF(Inputs!$B$51="thirds",J12,IF(Inputs!$B$51="atStart",J10,J11)))*Inputs!$C$51*Timing!$C$28*1</f>
        <v>279300</v>
      </c>
      <c r="K21" s="23">
        <f>IF(Inputs!$B$51="turbine",K13,IF(Inputs!$B$51="thirds",K12,IF(Inputs!$B$51="atStart",K10,K11)))*Inputs!$C$51*Timing!$C$28*1</f>
        <v>279300</v>
      </c>
      <c r="L21" s="23">
        <f>IF(Inputs!$B$51="turbine",L13,IF(Inputs!$B$51="thirds",L12,IF(Inputs!$B$51="atStart",L10,L11)))*Inputs!$C$51*Timing!$C$28*1</f>
        <v>279300</v>
      </c>
      <c r="M21" s="23">
        <f>IF(Inputs!$B$51="turbine",M13,IF(Inputs!$B$51="thirds",M12,IF(Inputs!$B$51="atStart",M10,M11)))*Inputs!$C$51*Timing!$C$28*1</f>
        <v>279300</v>
      </c>
      <c r="N21" s="23">
        <f>IF(Inputs!$B$51="turbine",N13,IF(Inputs!$B$51="thirds",N12,IF(Inputs!$B$51="atStart",N10,N11)))*Inputs!$C$51*Timing!$C$28*1</f>
        <v>279300</v>
      </c>
      <c r="O21" s="23">
        <f>IF(Inputs!$B$51="turbine",O13,IF(Inputs!$B$51="thirds",O12,IF(Inputs!$B$51="atStart",O10,O11)))*Inputs!$C$51*Timing!$C$28*1</f>
        <v>279300</v>
      </c>
      <c r="P21" s="23">
        <f>IF(Inputs!$B$51="turbine",P13,IF(Inputs!$B$51="thirds",P12,IF(Inputs!$B$51="atStart",P10,P11)))*Inputs!$C$51*Timing!$C$28*1</f>
        <v>279300</v>
      </c>
      <c r="Q21" s="23">
        <f>IF(Inputs!$B$51="turbine",Q13,IF(Inputs!$B$51="thirds",Q12,IF(Inputs!$B$51="atStart",Q10,Q11)))*Inputs!$C$51*Timing!$C$28*1</f>
        <v>279300</v>
      </c>
      <c r="R21" s="23">
        <f>IF(Inputs!$B$51="turbine",R13,IF(Inputs!$B$51="thirds",R12,IF(Inputs!$B$51="atStart",R10,R11)))*Inputs!$C$51*Timing!$C$28*1</f>
        <v>139650</v>
      </c>
      <c r="S21" s="23">
        <f>IF(Inputs!$B$51="turbine",S13,IF(Inputs!$B$51="thirds",S12,IF(Inputs!$B$51="atStart",S10,S11)))*Inputs!$C$51*Timing!$C$28*1</f>
        <v>139650</v>
      </c>
      <c r="T21" s="23">
        <f>IF(Inputs!$B$51="turbine",T13,IF(Inputs!$B$51="thirds",T12,IF(Inputs!$B$51="atStart",T10,T11)))*Inputs!$C$51*Timing!$C$28*1</f>
        <v>139650</v>
      </c>
      <c r="U21" s="23">
        <f>IF(Inputs!$B$51="turbine",U13,IF(Inputs!$B$51="thirds",U12,IF(Inputs!$B$51="atStart",U10,U11)))*Inputs!$C$51*Timing!$C$28*1</f>
        <v>139650</v>
      </c>
      <c r="V21" s="23">
        <f>IF(Inputs!$B$51="turbine",V13,IF(Inputs!$B$51="thirds",V12,IF(Inputs!$B$51="atStart",V10,V11)))*Inputs!$C$51*Timing!$C$28*1</f>
        <v>139650</v>
      </c>
      <c r="W21" s="23">
        <f>IF(Inputs!$B$51="turbine",W13,IF(Inputs!$B$51="thirds",W12,IF(Inputs!$B$51="atStart",W10,W11)))*Inputs!$C$51*Timing!$C$28*1</f>
        <v>139650</v>
      </c>
    </row>
    <row r="22">
      <c r="A22" s="6" t="inlineStr">
        <is>
          <t xml:space="preserve">Capex: development</t>
        </is>
      </c>
      <c r="B22" s="10" t="inlineStr">
        <is>
          <t xml:space="preserve">€</t>
        </is>
      </c>
      <c r="F22" s="23">
        <f>IF(Inputs!$B$52="turbine",F13,IF(Inputs!$B$52="thirds",F12,IF(Inputs!$B$52="atStart",F10,F11)))*Inputs!$C$52*Timing!$C$28*1</f>
        <v>5134500</v>
      </c>
      <c r="G22" s="23">
        <f>IF(Inputs!$B$52="turbine",G13,IF(Inputs!$B$52="thirds",G12,IF(Inputs!$B$52="atStart",G10,G11)))*Inputs!$C$52*Timing!$C$28*1</f>
        <v>0</v>
      </c>
      <c r="H22" s="23">
        <f>IF(Inputs!$B$52="turbine",H13,IF(Inputs!$B$52="thirds",H12,IF(Inputs!$B$52="atStart",H10,H11)))*Inputs!$C$52*Timing!$C$28*1</f>
        <v>0</v>
      </c>
      <c r="I22" s="23">
        <f>IF(Inputs!$B$52="turbine",I13,IF(Inputs!$B$52="thirds",I12,IF(Inputs!$B$52="atStart",I10,I11)))*Inputs!$C$52*Timing!$C$28*1</f>
        <v>0</v>
      </c>
      <c r="J22" s="23">
        <f>IF(Inputs!$B$52="turbine",J13,IF(Inputs!$B$52="thirds",J12,IF(Inputs!$B$52="atStart",J10,J11)))*Inputs!$C$52*Timing!$C$28*1</f>
        <v>0</v>
      </c>
      <c r="K22" s="23">
        <f>IF(Inputs!$B$52="turbine",K13,IF(Inputs!$B$52="thirds",K12,IF(Inputs!$B$52="atStart",K10,K11)))*Inputs!$C$52*Timing!$C$28*1</f>
        <v>0</v>
      </c>
      <c r="L22" s="23">
        <f>IF(Inputs!$B$52="turbine",L13,IF(Inputs!$B$52="thirds",L12,IF(Inputs!$B$52="atStart",L10,L11)))*Inputs!$C$52*Timing!$C$28*1</f>
        <v>0</v>
      </c>
      <c r="M22" s="23">
        <f>IF(Inputs!$B$52="turbine",M13,IF(Inputs!$B$52="thirds",M12,IF(Inputs!$B$52="atStart",M10,M11)))*Inputs!$C$52*Timing!$C$28*1</f>
        <v>0</v>
      </c>
      <c r="N22" s="23">
        <f>IF(Inputs!$B$52="turbine",N13,IF(Inputs!$B$52="thirds",N12,IF(Inputs!$B$52="atStart",N10,N11)))*Inputs!$C$52*Timing!$C$28*1</f>
        <v>0</v>
      </c>
      <c r="O22" s="23">
        <f>IF(Inputs!$B$52="turbine",O13,IF(Inputs!$B$52="thirds",O12,IF(Inputs!$B$52="atStart",O10,O11)))*Inputs!$C$52*Timing!$C$28*1</f>
        <v>0</v>
      </c>
      <c r="P22" s="23">
        <f>IF(Inputs!$B$52="turbine",P13,IF(Inputs!$B$52="thirds",P12,IF(Inputs!$B$52="atStart",P10,P11)))*Inputs!$C$52*Timing!$C$28*1</f>
        <v>0</v>
      </c>
      <c r="Q22" s="23">
        <f>IF(Inputs!$B$52="turbine",Q13,IF(Inputs!$B$52="thirds",Q12,IF(Inputs!$B$52="atStart",Q10,Q11)))*Inputs!$C$52*Timing!$C$28*1</f>
        <v>0</v>
      </c>
      <c r="R22" s="23">
        <f>IF(Inputs!$B$52="turbine",R13,IF(Inputs!$B$52="thirds",R12,IF(Inputs!$B$52="atStart",R10,R11)))*Inputs!$C$52*Timing!$C$28*1</f>
        <v>0</v>
      </c>
      <c r="S22" s="23">
        <f>IF(Inputs!$B$52="turbine",S13,IF(Inputs!$B$52="thirds",S12,IF(Inputs!$B$52="atStart",S10,S11)))*Inputs!$C$52*Timing!$C$28*1</f>
        <v>0</v>
      </c>
      <c r="T22" s="23">
        <f>IF(Inputs!$B$52="turbine",T13,IF(Inputs!$B$52="thirds",T12,IF(Inputs!$B$52="atStart",T10,T11)))*Inputs!$C$52*Timing!$C$28*1</f>
        <v>0</v>
      </c>
      <c r="U22" s="23">
        <f>IF(Inputs!$B$52="turbine",U13,IF(Inputs!$B$52="thirds",U12,IF(Inputs!$B$52="atStart",U10,U11)))*Inputs!$C$52*Timing!$C$28*1</f>
        <v>0</v>
      </c>
      <c r="V22" s="23">
        <f>IF(Inputs!$B$52="turbine",V13,IF(Inputs!$B$52="thirds",V12,IF(Inputs!$B$52="atStart",V10,V11)))*Inputs!$C$52*Timing!$C$28*1</f>
        <v>0</v>
      </c>
      <c r="W22" s="23">
        <f>IF(Inputs!$B$52="turbine",W13,IF(Inputs!$B$52="thirds",W12,IF(Inputs!$B$52="atStart",W10,W11)))*Inputs!$C$52*Timing!$C$28*1</f>
        <v>0</v>
      </c>
    </row>
    <row r="23">
      <c r="A23" s="6" t="inlineStr">
        <is>
          <t xml:space="preserve">Capex: compensation</t>
        </is>
      </c>
      <c r="B23" s="10" t="inlineStr">
        <is>
          <t xml:space="preserve">€</t>
        </is>
      </c>
      <c r="F23" s="23">
        <f>IF(Inputs!$B$53="turbine",F13,IF(Inputs!$B$53="thirds",F12,IF(Inputs!$B$53="atStart",F10,F11)))*Inputs!$C$53*Timing!$C$28*1</f>
        <v>1102500</v>
      </c>
      <c r="G23" s="23">
        <f>IF(Inputs!$B$53="turbine",G13,IF(Inputs!$B$53="thirds",G12,IF(Inputs!$B$53="atStart",G10,G11)))*Inputs!$C$53*Timing!$C$28*1</f>
        <v>0</v>
      </c>
      <c r="H23" s="23">
        <f>IF(Inputs!$B$53="turbine",H13,IF(Inputs!$B$53="thirds",H12,IF(Inputs!$B$53="atStart",H10,H11)))*Inputs!$C$53*Timing!$C$28*1</f>
        <v>0</v>
      </c>
      <c r="I23" s="23">
        <f>IF(Inputs!$B$53="turbine",I13,IF(Inputs!$B$53="thirds",I12,IF(Inputs!$B$53="atStart",I10,I11)))*Inputs!$C$53*Timing!$C$28*1</f>
        <v>0</v>
      </c>
      <c r="J23" s="23">
        <f>IF(Inputs!$B$53="turbine",J13,IF(Inputs!$B$53="thirds",J12,IF(Inputs!$B$53="atStart",J10,J11)))*Inputs!$C$53*Timing!$C$28*1</f>
        <v>0</v>
      </c>
      <c r="K23" s="23">
        <f>IF(Inputs!$B$53="turbine",K13,IF(Inputs!$B$53="thirds",K12,IF(Inputs!$B$53="atStart",K10,K11)))*Inputs!$C$53*Timing!$C$28*1</f>
        <v>0</v>
      </c>
      <c r="L23" s="23">
        <f>IF(Inputs!$B$53="turbine",L13,IF(Inputs!$B$53="thirds",L12,IF(Inputs!$B$53="atStart",L10,L11)))*Inputs!$C$53*Timing!$C$28*1</f>
        <v>0</v>
      </c>
      <c r="M23" s="23">
        <f>IF(Inputs!$B$53="turbine",M13,IF(Inputs!$B$53="thirds",M12,IF(Inputs!$B$53="atStart",M10,M11)))*Inputs!$C$53*Timing!$C$28*1</f>
        <v>0</v>
      </c>
      <c r="N23" s="23">
        <f>IF(Inputs!$B$53="turbine",N13,IF(Inputs!$B$53="thirds",N12,IF(Inputs!$B$53="atStart",N10,N11)))*Inputs!$C$53*Timing!$C$28*1</f>
        <v>0</v>
      </c>
      <c r="O23" s="23">
        <f>IF(Inputs!$B$53="turbine",O13,IF(Inputs!$B$53="thirds",O12,IF(Inputs!$B$53="atStart",O10,O11)))*Inputs!$C$53*Timing!$C$28*1</f>
        <v>0</v>
      </c>
      <c r="P23" s="23">
        <f>IF(Inputs!$B$53="turbine",P13,IF(Inputs!$B$53="thirds",P12,IF(Inputs!$B$53="atStart",P10,P11)))*Inputs!$C$53*Timing!$C$28*1</f>
        <v>0</v>
      </c>
      <c r="Q23" s="23">
        <f>IF(Inputs!$B$53="turbine",Q13,IF(Inputs!$B$53="thirds",Q12,IF(Inputs!$B$53="atStart",Q10,Q11)))*Inputs!$C$53*Timing!$C$28*1</f>
        <v>0</v>
      </c>
      <c r="R23" s="23">
        <f>IF(Inputs!$B$53="turbine",R13,IF(Inputs!$B$53="thirds",R12,IF(Inputs!$B$53="atStart",R10,R11)))*Inputs!$C$53*Timing!$C$28*1</f>
        <v>0</v>
      </c>
      <c r="S23" s="23">
        <f>IF(Inputs!$B$53="turbine",S13,IF(Inputs!$B$53="thirds",S12,IF(Inputs!$B$53="atStart",S10,S11)))*Inputs!$C$53*Timing!$C$28*1</f>
        <v>0</v>
      </c>
      <c r="T23" s="23">
        <f>IF(Inputs!$B$53="turbine",T13,IF(Inputs!$B$53="thirds",T12,IF(Inputs!$B$53="atStart",T10,T11)))*Inputs!$C$53*Timing!$C$28*1</f>
        <v>0</v>
      </c>
      <c r="U23" s="23">
        <f>IF(Inputs!$B$53="turbine",U13,IF(Inputs!$B$53="thirds",U12,IF(Inputs!$B$53="atStart",U10,U11)))*Inputs!$C$53*Timing!$C$28*1</f>
        <v>0</v>
      </c>
      <c r="V23" s="23">
        <f>IF(Inputs!$B$53="turbine",V13,IF(Inputs!$B$53="thirds",V12,IF(Inputs!$B$53="atStart",V10,V11)))*Inputs!$C$53*Timing!$C$28*1</f>
        <v>0</v>
      </c>
      <c r="W23" s="23">
        <f>IF(Inputs!$B$53="turbine",W13,IF(Inputs!$B$53="thirds",W12,IF(Inputs!$B$53="atStart",W10,W11)))*Inputs!$C$53*Timing!$C$28*1</f>
        <v>0</v>
      </c>
    </row>
    <row r="24">
      <c r="A24" s="6" t="inlineStr">
        <is>
          <t xml:space="preserve">Capex: other</t>
        </is>
      </c>
      <c r="B24" s="10" t="inlineStr">
        <is>
          <t xml:space="preserve">€</t>
        </is>
      </c>
      <c r="F24" s="23">
        <f>IF(Inputs!$B$54="turbine",F13,IF(Inputs!$B$54="thirds",F12,IF(Inputs!$B$54="atStart",F10,F11)))*Inputs!$C$54*Timing!$C$28*1</f>
        <v>104999.99999999999</v>
      </c>
      <c r="G24" s="23">
        <f>IF(Inputs!$B$54="turbine",G13,IF(Inputs!$B$54="thirds",G12,IF(Inputs!$B$54="atStart",G10,G11)))*Inputs!$C$54*Timing!$C$28*1</f>
        <v>104999.99999999999</v>
      </c>
      <c r="H24" s="23">
        <f>IF(Inputs!$B$54="turbine",H13,IF(Inputs!$B$54="thirds",H12,IF(Inputs!$B$54="atStart",H10,H11)))*Inputs!$C$54*Timing!$C$28*1</f>
        <v>104999.99999999999</v>
      </c>
      <c r="I24" s="23">
        <f>IF(Inputs!$B$54="turbine",I13,IF(Inputs!$B$54="thirds",I12,IF(Inputs!$B$54="atStart",I10,I11)))*Inputs!$C$54*Timing!$C$28*1</f>
        <v>104999.99999999999</v>
      </c>
      <c r="J24" s="23">
        <f>IF(Inputs!$B$54="turbine",J13,IF(Inputs!$B$54="thirds",J12,IF(Inputs!$B$54="atStart",J10,J11)))*Inputs!$C$54*Timing!$C$28*1</f>
        <v>104999.99999999999</v>
      </c>
      <c r="K24" s="23">
        <f>IF(Inputs!$B$54="turbine",K13,IF(Inputs!$B$54="thirds",K12,IF(Inputs!$B$54="atStart",K10,K11)))*Inputs!$C$54*Timing!$C$28*1</f>
        <v>104999.99999999999</v>
      </c>
      <c r="L24" s="23">
        <f>IF(Inputs!$B$54="turbine",L13,IF(Inputs!$B$54="thirds",L12,IF(Inputs!$B$54="atStart",L10,L11)))*Inputs!$C$54*Timing!$C$28*1</f>
        <v>104999.99999999999</v>
      </c>
      <c r="M24" s="23">
        <f>IF(Inputs!$B$54="turbine",M13,IF(Inputs!$B$54="thirds",M12,IF(Inputs!$B$54="atStart",M10,M11)))*Inputs!$C$54*Timing!$C$28*1</f>
        <v>104999.99999999999</v>
      </c>
      <c r="N24" s="23">
        <f>IF(Inputs!$B$54="turbine",N13,IF(Inputs!$B$54="thirds",N12,IF(Inputs!$B$54="atStart",N10,N11)))*Inputs!$C$54*Timing!$C$28*1</f>
        <v>104999.99999999999</v>
      </c>
      <c r="O24" s="23">
        <f>IF(Inputs!$B$54="turbine",O13,IF(Inputs!$B$54="thirds",O12,IF(Inputs!$B$54="atStart",O10,O11)))*Inputs!$C$54*Timing!$C$28*1</f>
        <v>104999.99999999999</v>
      </c>
      <c r="P24" s="23">
        <f>IF(Inputs!$B$54="turbine",P13,IF(Inputs!$B$54="thirds",P12,IF(Inputs!$B$54="atStart",P10,P11)))*Inputs!$C$54*Timing!$C$28*1</f>
        <v>104999.99999999999</v>
      </c>
      <c r="Q24" s="23">
        <f>IF(Inputs!$B$54="turbine",Q13,IF(Inputs!$B$54="thirds",Q12,IF(Inputs!$B$54="atStart",Q10,Q11)))*Inputs!$C$54*Timing!$C$28*1</f>
        <v>104999.99999999999</v>
      </c>
      <c r="R24" s="23">
        <f>IF(Inputs!$B$54="turbine",R13,IF(Inputs!$B$54="thirds",R12,IF(Inputs!$B$54="atStart",R10,R11)))*Inputs!$C$54*Timing!$C$28*1</f>
        <v>104999.99999999999</v>
      </c>
      <c r="S24" s="23">
        <f>IF(Inputs!$B$54="turbine",S13,IF(Inputs!$B$54="thirds",S12,IF(Inputs!$B$54="atStart",S10,S11)))*Inputs!$C$54*Timing!$C$28*1</f>
        <v>104999.99999999999</v>
      </c>
      <c r="T24" s="23">
        <f>IF(Inputs!$B$54="turbine",T13,IF(Inputs!$B$54="thirds",T12,IF(Inputs!$B$54="atStart",T10,T11)))*Inputs!$C$54*Timing!$C$28*1</f>
        <v>104999.99999999999</v>
      </c>
      <c r="U24" s="23">
        <f>IF(Inputs!$B$54="turbine",U13,IF(Inputs!$B$54="thirds",U12,IF(Inputs!$B$54="atStart",U10,U11)))*Inputs!$C$54*Timing!$C$28*1</f>
        <v>104999.99999999999</v>
      </c>
      <c r="V24" s="23">
        <f>IF(Inputs!$B$54="turbine",V13,IF(Inputs!$B$54="thirds",V12,IF(Inputs!$B$54="atStart",V10,V11)))*Inputs!$C$54*Timing!$C$28*1</f>
        <v>104999.99999999999</v>
      </c>
      <c r="W24" s="23">
        <f>IF(Inputs!$B$54="turbine",W13,IF(Inputs!$B$54="thirds",W12,IF(Inputs!$B$54="atStart",W10,W11)))*Inputs!$C$54*Timing!$C$28*1</f>
        <v>104999.99999999999</v>
      </c>
    </row>
    <row r="25">
      <c r="A25" s="6" t="inlineStr">
        <is>
          <t xml:space="preserve">Capex: contingency</t>
        </is>
      </c>
      <c r="B25" s="10" t="inlineStr">
        <is>
          <t xml:space="preserve">€</t>
        </is>
      </c>
      <c r="F25" s="23">
        <f>F11*SUM(Inputs!$C$48:$C$54)*Inputs!$C$55*Timing!$C$28*1</f>
        <v>92452.49999999999</v>
      </c>
      <c r="G25" s="23">
        <f>G11*SUM(Inputs!$C$48:$C$54)*Inputs!$C$55*Timing!$C$28*1</f>
        <v>92452.49999999999</v>
      </c>
      <c r="H25" s="23">
        <f>H11*SUM(Inputs!$C$48:$C$54)*Inputs!$C$55*Timing!$C$28*1</f>
        <v>92452.49999999999</v>
      </c>
      <c r="I25" s="23">
        <f>I11*SUM(Inputs!$C$48:$C$54)*Inputs!$C$55*Timing!$C$28*1</f>
        <v>92452.49999999999</v>
      </c>
      <c r="J25" s="23">
        <f>J11*SUM(Inputs!$C$48:$C$54)*Inputs!$C$55*Timing!$C$28*1</f>
        <v>92452.49999999999</v>
      </c>
      <c r="K25" s="23">
        <f>K11*SUM(Inputs!$C$48:$C$54)*Inputs!$C$55*Timing!$C$28*1</f>
        <v>92452.49999999999</v>
      </c>
      <c r="L25" s="23">
        <f>L11*SUM(Inputs!$C$48:$C$54)*Inputs!$C$55*Timing!$C$28*1</f>
        <v>92452.49999999999</v>
      </c>
      <c r="M25" s="23">
        <f>M11*SUM(Inputs!$C$48:$C$54)*Inputs!$C$55*Timing!$C$28*1</f>
        <v>92452.49999999999</v>
      </c>
      <c r="N25" s="23">
        <f>N11*SUM(Inputs!$C$48:$C$54)*Inputs!$C$55*Timing!$C$28*1</f>
        <v>92452.49999999999</v>
      </c>
      <c r="O25" s="23">
        <f>O11*SUM(Inputs!$C$48:$C$54)*Inputs!$C$55*Timing!$C$28*1</f>
        <v>92452.49999999999</v>
      </c>
      <c r="P25" s="23">
        <f>P11*SUM(Inputs!$C$48:$C$54)*Inputs!$C$55*Timing!$C$28*1</f>
        <v>92452.49999999999</v>
      </c>
      <c r="Q25" s="23">
        <f>Q11*SUM(Inputs!$C$48:$C$54)*Inputs!$C$55*Timing!$C$28*1</f>
        <v>92452.49999999999</v>
      </c>
      <c r="R25" s="23">
        <f>R11*SUM(Inputs!$C$48:$C$54)*Inputs!$C$55*Timing!$C$28*1</f>
        <v>92452.49999999999</v>
      </c>
      <c r="S25" s="23">
        <f>S11*SUM(Inputs!$C$48:$C$54)*Inputs!$C$55*Timing!$C$28*1</f>
        <v>92452.49999999999</v>
      </c>
      <c r="T25" s="23">
        <f>T11*SUM(Inputs!$C$48:$C$54)*Inputs!$C$55*Timing!$C$28*1</f>
        <v>92452.49999999999</v>
      </c>
      <c r="U25" s="23">
        <f>U11*SUM(Inputs!$C$48:$C$54)*Inputs!$C$55*Timing!$C$28*1</f>
        <v>92452.49999999999</v>
      </c>
      <c r="V25" s="23">
        <f>V11*SUM(Inputs!$C$48:$C$54)*Inputs!$C$55*Timing!$C$28*1</f>
        <v>92452.49999999999</v>
      </c>
      <c r="W25" s="23">
        <f>W11*SUM(Inputs!$C$48:$C$54)*Inputs!$C$55*Timing!$C$28*1</f>
        <v>92452.49999999999</v>
      </c>
    </row>
    <row r="26">
      <c r="A26" s="41" t="inlineStr">
        <is>
          <t xml:space="preserve">Capex</t>
        </is>
      </c>
      <c r="B26" s="10" t="inlineStr">
        <is>
          <t xml:space="preserve">€</t>
        </is>
      </c>
      <c r="F26" s="42">
        <f>SUM(F18,F19,F20,F21,F22,F23,F24,F25)</f>
        <v>10811902.5</v>
      </c>
      <c r="G26" s="42">
        <f>SUM(G18,G19,G20,G21,G22,G23,G24,G25)</f>
        <v>911452.5</v>
      </c>
      <c r="H26" s="42">
        <f>SUM(H18,H19,H20,H21,H22,H23,H24,H25)</f>
        <v>911452.5</v>
      </c>
      <c r="I26" s="42">
        <f>SUM(I18,I19,I20,I21,I22,I23,I24,I25)</f>
        <v>911452.5</v>
      </c>
      <c r="J26" s="42">
        <f>SUM(J18,J19,J20,J21,J22,J23,J24,J25)</f>
        <v>911452.5</v>
      </c>
      <c r="K26" s="42">
        <f>SUM(K18,K19,K20,K21,K22,K23,K24,K25)</f>
        <v>911452.5</v>
      </c>
      <c r="L26" s="42">
        <f>SUM(L18,L19,L20,L21,L22,L23,L24,L25)</f>
        <v>911452.5</v>
      </c>
      <c r="M26" s="42">
        <f>SUM(M18,M19,M20,M21,M22,M23,M24,M25)</f>
        <v>911452.5</v>
      </c>
      <c r="N26" s="42">
        <f>SUM(N18,N19,N20,N21,N22,N23,N24,N25)</f>
        <v>911452.5</v>
      </c>
      <c r="O26" s="42">
        <f>SUM(O18,O19,O20,O21,O22,O23,O24,O25)</f>
        <v>911452.5</v>
      </c>
      <c r="P26" s="42">
        <f>SUM(P18,P19,P20,P21,P22,P23,P24,P25)</f>
        <v>911452.5</v>
      </c>
      <c r="Q26" s="42">
        <f>SUM(Q18,Q19,Q20,Q21,Q22,Q23,Q24,Q25)</f>
        <v>911452.5</v>
      </c>
      <c r="R26" s="42">
        <f>SUM(R18,R19,R20,R21,R22,R23,R24,R25)</f>
        <v>554452.5</v>
      </c>
      <c r="S26" s="42">
        <f>SUM(S18,S19,S20,S21,S22,S23,S24,S25)</f>
        <v>554452.5</v>
      </c>
      <c r="T26" s="42">
        <f>SUM(T18,T19,T20,T21,T22,T23,T24,T25)</f>
        <v>9102502.499999998</v>
      </c>
      <c r="U26" s="42">
        <f>SUM(U18,U19,U20,U21,U22,U23,U24,U25)</f>
        <v>9102502.499999998</v>
      </c>
      <c r="V26" s="42">
        <f>SUM(V18,V19,V20,V21,V22,V23,V24,V25)</f>
        <v>9102502.499999998</v>
      </c>
      <c r="W26" s="42">
        <f>SUM(W18,W19,W20,W21,W22,W23,W24,W25)</f>
        <v>7881352.500000001</v>
      </c>
    </row>
    <row r="27">
      <c r="A27" s="6" t="inlineStr">
        <is>
          <t xml:space="preserve">VAT paid</t>
        </is>
      </c>
      <c r="B27" s="10" t="inlineStr">
        <is>
          <t xml:space="preserve">€</t>
        </is>
      </c>
      <c r="F27" s="23">
        <f>F26*Inputs!$C$56</f>
        <v>2054261.475</v>
      </c>
      <c r="G27" s="23">
        <f>G26*Inputs!$C$56</f>
        <v>173175.975</v>
      </c>
      <c r="H27" s="23">
        <f>H26*Inputs!$C$56</f>
        <v>173175.975</v>
      </c>
      <c r="I27" s="23">
        <f>I26*Inputs!$C$56</f>
        <v>173175.975</v>
      </c>
      <c r="J27" s="23">
        <f>J26*Inputs!$C$56</f>
        <v>173175.975</v>
      </c>
      <c r="K27" s="23">
        <f>K26*Inputs!$C$56</f>
        <v>173175.975</v>
      </c>
      <c r="L27" s="23">
        <f>L26*Inputs!$C$56</f>
        <v>173175.975</v>
      </c>
      <c r="M27" s="23">
        <f>M26*Inputs!$C$56</f>
        <v>173175.975</v>
      </c>
      <c r="N27" s="23">
        <f>N26*Inputs!$C$56</f>
        <v>173175.975</v>
      </c>
      <c r="O27" s="23">
        <f>O26*Inputs!$C$56</f>
        <v>173175.975</v>
      </c>
      <c r="P27" s="23">
        <f>P26*Inputs!$C$56</f>
        <v>173175.975</v>
      </c>
      <c r="Q27" s="23">
        <f>Q26*Inputs!$C$56</f>
        <v>173175.975</v>
      </c>
      <c r="R27" s="23">
        <f>R26*Inputs!$C$56</f>
        <v>105345.975</v>
      </c>
      <c r="S27" s="23">
        <f>S26*Inputs!$C$56</f>
        <v>105345.975</v>
      </c>
      <c r="T27" s="23">
        <f>T26*Inputs!$C$56</f>
        <v>1729475.4749999996</v>
      </c>
      <c r="U27" s="23">
        <f>U26*Inputs!$C$56</f>
        <v>1729475.4749999996</v>
      </c>
      <c r="V27" s="23">
        <f>V26*Inputs!$C$56</f>
        <v>1729475.4749999996</v>
      </c>
      <c r="W27" s="23">
        <f>W26*Inputs!$C$56</f>
        <v>1497456.975</v>
      </c>
    </row>
    <row r="28">
      <c r="A28" s="6" t="inlineStr">
        <is>
          <t xml:space="preserve">VAT refunded</t>
        </is>
      </c>
      <c r="B28" s="10" t="inlineStr">
        <is>
          <t xml:space="preserve">€</t>
        </is>
      </c>
      <c r="F28" s="23">
        <f>IF(F6-Inputs!$C$57&gt;=1,INDEX($F$27:$W$27,F6-Inputs!$C$57),0)</f>
        <v>0</v>
      </c>
      <c r="G28" s="23">
        <f>IF(G6-Inputs!$C$57&gt;=1,INDEX($F$27:$W$27,G6-Inputs!$C$57),0)</f>
        <v>0</v>
      </c>
      <c r="H28" s="23">
        <f>IF(H6-Inputs!$C$57&gt;=1,INDEX($F$27:$W$27,H6-Inputs!$C$57),0)</f>
        <v>2054261.475</v>
      </c>
      <c r="I28" s="23">
        <f>IF(I6-Inputs!$C$57&gt;=1,INDEX($F$27:$W$27,I6-Inputs!$C$57),0)</f>
        <v>173175.975</v>
      </c>
      <c r="J28" s="23">
        <f>IF(J6-Inputs!$C$57&gt;=1,INDEX($F$27:$W$27,J6-Inputs!$C$57),0)</f>
        <v>173175.975</v>
      </c>
      <c r="K28" s="23">
        <f>IF(K6-Inputs!$C$57&gt;=1,INDEX($F$27:$W$27,K6-Inputs!$C$57),0)</f>
        <v>173175.975</v>
      </c>
      <c r="L28" s="23">
        <f>IF(L6-Inputs!$C$57&gt;=1,INDEX($F$27:$W$27,L6-Inputs!$C$57),0)</f>
        <v>173175.975</v>
      </c>
      <c r="M28" s="23">
        <f>IF(M6-Inputs!$C$57&gt;=1,INDEX($F$27:$W$27,M6-Inputs!$C$57),0)</f>
        <v>173175.975</v>
      </c>
      <c r="N28" s="23">
        <f>IF(N6-Inputs!$C$57&gt;=1,INDEX($F$27:$W$27,N6-Inputs!$C$57),0)</f>
        <v>173175.975</v>
      </c>
      <c r="O28" s="23">
        <f>IF(O6-Inputs!$C$57&gt;=1,INDEX($F$27:$W$27,O6-Inputs!$C$57),0)</f>
        <v>173175.975</v>
      </c>
      <c r="P28" s="23">
        <f>IF(P6-Inputs!$C$57&gt;=1,INDEX($F$27:$W$27,P6-Inputs!$C$57),0)</f>
        <v>173175.975</v>
      </c>
      <c r="Q28" s="23">
        <f>IF(Q6-Inputs!$C$57&gt;=1,INDEX($F$27:$W$27,Q6-Inputs!$C$57),0)</f>
        <v>173175.975</v>
      </c>
      <c r="R28" s="23">
        <f>IF(R6-Inputs!$C$57&gt;=1,INDEX($F$27:$W$27,R6-Inputs!$C$57),0)</f>
        <v>173175.975</v>
      </c>
      <c r="S28" s="23">
        <f>IF(S6-Inputs!$C$57&gt;=1,INDEX($F$27:$W$27,S6-Inputs!$C$57),0)</f>
        <v>173175.975</v>
      </c>
      <c r="T28" s="23">
        <f>IF(T6-Inputs!$C$57&gt;=1,INDEX($F$27:$W$27,T6-Inputs!$C$57),0)</f>
        <v>105345.975</v>
      </c>
      <c r="U28" s="23">
        <f>IF(U6-Inputs!$C$57&gt;=1,INDEX($F$27:$W$27,U6-Inputs!$C$57),0)</f>
        <v>105345.975</v>
      </c>
      <c r="V28" s="23">
        <f>IF(V6-Inputs!$C$57&gt;=1,INDEX($F$27:$W$27,V6-Inputs!$C$57),0)</f>
        <v>1729475.4749999996</v>
      </c>
      <c r="W28" s="23">
        <f>IF(W6-Inputs!$C$57&gt;=1,INDEX($F$27:$W$27,W6-Inputs!$C$57),0)</f>
        <v>1729475.4749999996</v>
      </c>
    </row>
    <row r="29">
      <c r="A29" s="6" t="inlineStr">
        <is>
          <t xml:space="preserve">VAT bridge loan at month end</t>
        </is>
      </c>
      <c r="B29" s="10" t="inlineStr">
        <is>
          <t xml:space="preserve">€</t>
        </is>
      </c>
      <c r="E29" s="9">
        <v>0</v>
      </c>
      <c r="F29" s="23">
        <f>E29+F27-F28</f>
        <v>2054261.475</v>
      </c>
      <c r="G29" s="23">
        <f>F29+G27-G28</f>
        <v>2227437.45</v>
      </c>
      <c r="H29" s="23">
        <f>G29+H27-H28</f>
        <v>346351.9500000002</v>
      </c>
      <c r="I29" s="23">
        <f>H29+I27-I28</f>
        <v>346351.9500000002</v>
      </c>
      <c r="J29" s="23">
        <f>I29+J27-J28</f>
        <v>346351.9500000002</v>
      </c>
      <c r="K29" s="23">
        <f>J29+K27-K28</f>
        <v>346351.9500000002</v>
      </c>
      <c r="L29" s="23">
        <f>K29+L27-L28</f>
        <v>346351.9500000002</v>
      </c>
      <c r="M29" s="23">
        <f>L29+M27-M28</f>
        <v>346351.9500000002</v>
      </c>
      <c r="N29" s="23">
        <f>M29+N27-N28</f>
        <v>346351.9500000002</v>
      </c>
      <c r="O29" s="23">
        <f>N29+O27-O28</f>
        <v>346351.9500000002</v>
      </c>
      <c r="P29" s="23">
        <f>O29+P27-P28</f>
        <v>346351.9500000002</v>
      </c>
      <c r="Q29" s="23">
        <f>P29+Q27-Q28</f>
        <v>346351.9500000002</v>
      </c>
      <c r="R29" s="23">
        <f>Q29+R27-R28</f>
        <v>278521.9500000002</v>
      </c>
      <c r="S29" s="23">
        <f>R29+S27-S28</f>
        <v>210691.9500000002</v>
      </c>
      <c r="T29" s="23">
        <f>S29+T27-T28</f>
        <v>1834821.4499999997</v>
      </c>
      <c r="U29" s="23">
        <f>T29+U27-U28</f>
        <v>3458950.9499999993</v>
      </c>
      <c r="V29" s="23">
        <f>U29+V27-V28</f>
        <v>3458950.9499999993</v>
      </c>
      <c r="W29" s="23">
        <f>V29+W27-W28</f>
        <v>3226932.4499999997</v>
      </c>
    </row>
    <row r="30">
      <c r="A30" s="6" t="inlineStr">
        <is>
          <t xml:space="preserve">Months each VAT payment is still open after COD</t>
        </is>
      </c>
      <c r="F30" s="23">
        <f>MAX(0,F6-Inputs!$C$11+Inputs!$C$57)</f>
        <v>0</v>
      </c>
      <c r="G30" s="23">
        <f>MAX(0,G6-Inputs!$C$11+Inputs!$C$57)</f>
        <v>0</v>
      </c>
      <c r="H30" s="23">
        <f>MAX(0,H6-Inputs!$C$11+Inputs!$C$57)</f>
        <v>0</v>
      </c>
      <c r="I30" s="23">
        <f>MAX(0,I6-Inputs!$C$11+Inputs!$C$57)</f>
        <v>0</v>
      </c>
      <c r="J30" s="23">
        <f>MAX(0,J6-Inputs!$C$11+Inputs!$C$57)</f>
        <v>0</v>
      </c>
      <c r="K30" s="23">
        <f>MAX(0,K6-Inputs!$C$11+Inputs!$C$57)</f>
        <v>0</v>
      </c>
      <c r="L30" s="23">
        <f>MAX(0,L6-Inputs!$C$11+Inputs!$C$57)</f>
        <v>0</v>
      </c>
      <c r="M30" s="23">
        <f>MAX(0,M6-Inputs!$C$11+Inputs!$C$57)</f>
        <v>0</v>
      </c>
      <c r="N30" s="23">
        <f>MAX(0,N6-Inputs!$C$11+Inputs!$C$57)</f>
        <v>0</v>
      </c>
      <c r="O30" s="23">
        <f>MAX(0,O6-Inputs!$C$11+Inputs!$C$57)</f>
        <v>0</v>
      </c>
      <c r="P30" s="23">
        <f>MAX(0,P6-Inputs!$C$11+Inputs!$C$57)</f>
        <v>0</v>
      </c>
      <c r="Q30" s="23">
        <f>MAX(0,Q6-Inputs!$C$11+Inputs!$C$57)</f>
        <v>0</v>
      </c>
      <c r="R30" s="23">
        <f>MAX(0,R6-Inputs!$C$11+Inputs!$C$57)</f>
        <v>0</v>
      </c>
      <c r="S30" s="23">
        <f>MAX(0,S6-Inputs!$C$11+Inputs!$C$57)</f>
        <v>0</v>
      </c>
      <c r="T30" s="23">
        <f>MAX(0,T6-Inputs!$C$11+Inputs!$C$57)</f>
        <v>0</v>
      </c>
      <c r="U30" s="23">
        <f>MAX(0,U6-Inputs!$C$11+Inputs!$C$57)</f>
        <v>0</v>
      </c>
      <c r="V30" s="23">
        <f>MAX(0,V6-Inputs!$C$11+Inputs!$C$57)</f>
        <v>1</v>
      </c>
      <c r="W30" s="23">
        <f>MAX(0,W6-Inputs!$C$11+Inputs!$C$57)</f>
        <v>2</v>
      </c>
    </row>
    <row r="31">
      <c r="A31" s="6" t="inlineStr">
        <is>
          <t xml:space="preserve">VAT loan interest after COD, funded at COD</t>
        </is>
      </c>
      <c r="B31" s="10" t="inlineStr">
        <is>
          <t xml:space="preserve">€</t>
        </is>
      </c>
      <c r="C31" s="23">
        <f>(Inputs!$C$74+Inputs!$C$87)/12*SUMPRODUCT($F$27:$W$27,$F$30:$W$30)</f>
        <v>24409.345362499997</v>
      </c>
    </row>
    <row r="32">
      <c r="A32" s="6" t="inlineStr">
        <is>
          <t xml:space="preserve">VAT loan interest</t>
        </is>
      </c>
      <c r="B32" s="10" t="inlineStr">
        <is>
          <t xml:space="preserve">€</t>
        </is>
      </c>
      <c r="F32" s="23">
        <f>E29*(Inputs!$C$74+Inputs!$C$87)/12+IF(F6=Inputs!$C$11,$C$31,0)</f>
        <v>0</v>
      </c>
      <c r="G32" s="23">
        <f>F29*(Inputs!$C$74+Inputs!$C$87)/12+IF(G6=Inputs!$C$11,$C$31,0)</f>
        <v>10613.6842875</v>
      </c>
      <c r="H32" s="23">
        <f>G29*(Inputs!$C$74+Inputs!$C$87)/12+IF(H6=Inputs!$C$11,$C$31,0)</f>
        <v>11508.426825</v>
      </c>
      <c r="I32" s="23">
        <f>H29*(Inputs!$C$74+Inputs!$C$87)/12+IF(I6=Inputs!$C$11,$C$31,0)</f>
        <v>1789.4850750000007</v>
      </c>
      <c r="J32" s="23">
        <f>I29*(Inputs!$C$74+Inputs!$C$87)/12+IF(J6=Inputs!$C$11,$C$31,0)</f>
        <v>1789.4850750000007</v>
      </c>
      <c r="K32" s="23">
        <f>J29*(Inputs!$C$74+Inputs!$C$87)/12+IF(K6=Inputs!$C$11,$C$31,0)</f>
        <v>1789.4850750000007</v>
      </c>
      <c r="L32" s="23">
        <f>K29*(Inputs!$C$74+Inputs!$C$87)/12+IF(L6=Inputs!$C$11,$C$31,0)</f>
        <v>1789.4850750000007</v>
      </c>
      <c r="M32" s="23">
        <f>L29*(Inputs!$C$74+Inputs!$C$87)/12+IF(M6=Inputs!$C$11,$C$31,0)</f>
        <v>1789.4850750000007</v>
      </c>
      <c r="N32" s="23">
        <f>M29*(Inputs!$C$74+Inputs!$C$87)/12+IF(N6=Inputs!$C$11,$C$31,0)</f>
        <v>1789.4850750000007</v>
      </c>
      <c r="O32" s="23">
        <f>N29*(Inputs!$C$74+Inputs!$C$87)/12+IF(O6=Inputs!$C$11,$C$31,0)</f>
        <v>1789.4850750000007</v>
      </c>
      <c r="P32" s="23">
        <f>O29*(Inputs!$C$74+Inputs!$C$87)/12+IF(P6=Inputs!$C$11,$C$31,0)</f>
        <v>1789.4850750000007</v>
      </c>
      <c r="Q32" s="23">
        <f>P29*(Inputs!$C$74+Inputs!$C$87)/12+IF(Q6=Inputs!$C$11,$C$31,0)</f>
        <v>1789.4850750000007</v>
      </c>
      <c r="R32" s="23">
        <f>Q29*(Inputs!$C$74+Inputs!$C$87)/12+IF(R6=Inputs!$C$11,$C$31,0)</f>
        <v>1789.4850750000007</v>
      </c>
      <c r="S32" s="23">
        <f>R29*(Inputs!$C$74+Inputs!$C$87)/12+IF(S6=Inputs!$C$11,$C$31,0)</f>
        <v>1439.0300750000008</v>
      </c>
      <c r="T32" s="23">
        <f>S29*(Inputs!$C$74+Inputs!$C$87)/12+IF(T6=Inputs!$C$11,$C$31,0)</f>
        <v>1088.5750750000009</v>
      </c>
      <c r="U32" s="23">
        <f>T29*(Inputs!$C$74+Inputs!$C$87)/12+IF(U6=Inputs!$C$11,$C$31,0)</f>
        <v>9479.910824999999</v>
      </c>
      <c r="V32" s="23">
        <f>U29*(Inputs!$C$74+Inputs!$C$87)/12+IF(V6=Inputs!$C$11,$C$31,0)</f>
        <v>17871.246574999994</v>
      </c>
      <c r="W32" s="23">
        <f>V29*(Inputs!$C$74+Inputs!$C$87)/12+IF(W6=Inputs!$C$11,$C$31,0)</f>
        <v>42280.591937499994</v>
      </c>
    </row>
    <row r="33">
      <c r="A33" s="6" t="inlineStr">
        <is>
          <t xml:space="preserve">Upfront fee</t>
        </is>
      </c>
      <c r="B33" s="10" t="inlineStr">
        <is>
          <t xml:space="preserve">€</t>
        </is>
      </c>
      <c r="F33" s="23">
        <f>IF(F6=1,Inputs!$C$83*Inputs!$C$192,0)</f>
        <v>206323.4168303732</v>
      </c>
      <c r="G33" s="23">
        <f>IF(G6=1,Inputs!$C$83*Inputs!$C$192,0)</f>
        <v>0</v>
      </c>
      <c r="H33" s="23">
        <f>IF(H6=1,Inputs!$C$83*Inputs!$C$192,0)</f>
        <v>0</v>
      </c>
      <c r="I33" s="23">
        <f>IF(I6=1,Inputs!$C$83*Inputs!$C$192,0)</f>
        <v>0</v>
      </c>
      <c r="J33" s="23">
        <f>IF(J6=1,Inputs!$C$83*Inputs!$C$192,0)</f>
        <v>0</v>
      </c>
      <c r="K33" s="23">
        <f>IF(K6=1,Inputs!$C$83*Inputs!$C$192,0)</f>
        <v>0</v>
      </c>
      <c r="L33" s="23">
        <f>IF(L6=1,Inputs!$C$83*Inputs!$C$192,0)</f>
        <v>0</v>
      </c>
      <c r="M33" s="23">
        <f>IF(M6=1,Inputs!$C$83*Inputs!$C$192,0)</f>
        <v>0</v>
      </c>
      <c r="N33" s="23">
        <f>IF(N6=1,Inputs!$C$83*Inputs!$C$192,0)</f>
        <v>0</v>
      </c>
      <c r="O33" s="23">
        <f>IF(O6=1,Inputs!$C$83*Inputs!$C$192,0)</f>
        <v>0</v>
      </c>
      <c r="P33" s="23">
        <f>IF(P6=1,Inputs!$C$83*Inputs!$C$192,0)</f>
        <v>0</v>
      </c>
      <c r="Q33" s="23">
        <f>IF(Q6=1,Inputs!$C$83*Inputs!$C$192,0)</f>
        <v>0</v>
      </c>
      <c r="R33" s="23">
        <f>IF(R6=1,Inputs!$C$83*Inputs!$C$192,0)</f>
        <v>0</v>
      </c>
      <c r="S33" s="23">
        <f>IF(S6=1,Inputs!$C$83*Inputs!$C$192,0)</f>
        <v>0</v>
      </c>
      <c r="T33" s="23">
        <f>IF(T6=1,Inputs!$C$83*Inputs!$C$192,0)</f>
        <v>0</v>
      </c>
      <c r="U33" s="23">
        <f>IF(U6=1,Inputs!$C$83*Inputs!$C$192,0)</f>
        <v>0</v>
      </c>
      <c r="V33" s="23">
        <f>IF(V6=1,Inputs!$C$83*Inputs!$C$192,0)</f>
        <v>0</v>
      </c>
      <c r="W33" s="23">
        <f>IF(W6=1,Inputs!$C$83*Inputs!$C$192,0)</f>
        <v>0</v>
      </c>
    </row>
    <row r="34">
      <c r="A34" s="6" t="inlineStr">
        <is>
          <t xml:space="preserve">Commitment fee</t>
        </is>
      </c>
      <c r="B34" s="10" t="inlineStr">
        <is>
          <t xml:space="preserve">€</t>
        </is>
      </c>
      <c r="F34" s="23">
        <f>IF(F6&gt;=Inputs!$C$85,Inputs!$C$84*MAX(0,Inputs!$C$192-E41),0)</f>
        <v>0</v>
      </c>
      <c r="G34" s="23">
        <f>IF(G6&gt;=Inputs!$C$85,Inputs!$C$84*MAX(0,Inputs!$C$192-F41),0)</f>
        <v>0</v>
      </c>
      <c r="H34" s="23">
        <f>IF(H6&gt;=Inputs!$C$85,Inputs!$C$84*MAX(0,Inputs!$C$192-G41),0)</f>
        <v>0</v>
      </c>
      <c r="I34" s="23">
        <f>IF(I6&gt;=Inputs!$C$85,Inputs!$C$84*MAX(0,Inputs!$C$192-H41),0)</f>
        <v>0</v>
      </c>
      <c r="J34" s="23">
        <f>IF(J6&gt;=Inputs!$C$85,Inputs!$C$84*MAX(0,Inputs!$C$192-I41),0)</f>
        <v>0</v>
      </c>
      <c r="K34" s="23">
        <f>IF(K6&gt;=Inputs!$C$85,Inputs!$C$84*MAX(0,Inputs!$C$192-J41),0)</f>
        <v>0</v>
      </c>
      <c r="L34" s="23">
        <f>IF(L6&gt;=Inputs!$C$85,Inputs!$C$84*MAX(0,Inputs!$C$192-K41),0)</f>
        <v>22753.66538747779</v>
      </c>
      <c r="M34" s="23">
        <f>IF(M6&gt;=Inputs!$C$85,Inputs!$C$84*MAX(0,Inputs!$C$192-L41),0)</f>
        <v>22252.490420282815</v>
      </c>
      <c r="N34" s="23">
        <f>IF(N6&gt;=Inputs!$C$85,Inputs!$C$84*MAX(0,Inputs!$C$192-M41),0)</f>
        <v>21750.799626300075</v>
      </c>
      <c r="O34" s="23">
        <f>IF(O6&gt;=Inputs!$C$85,Inputs!$C$84*MAX(0,Inputs!$C$192-N41),0)</f>
        <v>21248.592474622623</v>
      </c>
      <c r="P34" s="23">
        <f>IF(P6&gt;=Inputs!$C$85,Inputs!$C$84*MAX(0,Inputs!$C$192-O41),0)</f>
        <v>20745.868433797074</v>
      </c>
      <c r="Q34" s="23">
        <f>IF(Q6&gt;=Inputs!$C$85,Inputs!$C$84*MAX(0,Inputs!$C$192-P41),0)</f>
        <v>20242.626971823054</v>
      </c>
      <c r="R34" s="23">
        <f>IF(R6&gt;=Inputs!$C$85,Inputs!$C$84*MAX(0,Inputs!$C$192-Q41),0)</f>
        <v>19738.867556152643</v>
      </c>
      <c r="S34" s="23">
        <f>IF(S6&gt;=Inputs!$C$85,Inputs!$C$84*MAX(0,Inputs!$C$192-R41),0)</f>
        <v>19420.895674266747</v>
      </c>
      <c r="T34" s="23">
        <f>IF(T6&gt;=Inputs!$C$85,Inputs!$C$84*MAX(0,Inputs!$C$192-S41),0)</f>
        <v>19102.779415019973</v>
      </c>
      <c r="U34" s="23">
        <f>IF(U6&gt;=Inputs!$C$85,Inputs!$C$84*MAX(0,Inputs!$C$192-T41),0)</f>
        <v>14323.58535476429</v>
      </c>
      <c r="V34" s="23">
        <f>IF(V6&gt;=Inputs!$C$85,Inputs!$C$84*MAX(0,Inputs!$C$192-U41),0)</f>
        <v>9535.093231493916</v>
      </c>
      <c r="W34" s="23">
        <f>IF(W6&gt;=Inputs!$C$85,Inputs!$C$84*MAX(0,Inputs!$C$192-V41),0)</f>
        <v>4737.293475317516</v>
      </c>
    </row>
    <row r="35">
      <c r="A35" s="6" t="inlineStr">
        <is>
          <t xml:space="preserve">Interest during construction</t>
        </is>
      </c>
      <c r="B35" s="10" t="inlineStr">
        <is>
          <t xml:space="preserve">€</t>
        </is>
      </c>
      <c r="F35" s="23">
        <f>E41*Inputs!$C$74/12</f>
        <v>0</v>
      </c>
      <c r="G35" s="23">
        <f>F41*Inputs!$C$74/12</f>
        <v>17090.376222294104</v>
      </c>
      <c r="H35" s="23">
        <f>G41*Inputs!$C$74/12</f>
        <v>18547.1024749507</v>
      </c>
      <c r="I35" s="23">
        <f>H41*Inputs!$C$74/12</f>
        <v>20007.47609212878</v>
      </c>
      <c r="J35" s="23">
        <f>I41*Inputs!$C$74/12</f>
        <v>21455.0398397768</v>
      </c>
      <c r="K35" s="23">
        <f>J41*Inputs!$C$74/12</f>
        <v>22904.848904342423</v>
      </c>
      <c r="L35" s="23">
        <f>K41*Inputs!$C$74/12</f>
        <v>24356.906768537945</v>
      </c>
      <c r="M35" s="23">
        <f>L41*Inputs!$C$74/12</f>
        <v>25846.51014325635</v>
      </c>
      <c r="N35" s="23">
        <f>M41*Inputs!$C$74/12</f>
        <v>27337.646669816153</v>
      </c>
      <c r="O35" s="23">
        <f>N41*Inputs!$C$74/12</f>
        <v>28830.317926190804</v>
      </c>
      <c r="P35" s="23">
        <f>O41*Inputs!$C$74/12</f>
        <v>30324.525491977853</v>
      </c>
      <c r="Q35" s="23">
        <f>P41*Inputs!$C$74/12</f>
        <v>31820.27094840063</v>
      </c>
      <c r="R35" s="23">
        <f>Q41*Inputs!$C$74/12</f>
        <v>33317.555878309904</v>
      </c>
      <c r="S35" s="23">
        <f>R41*Inputs!$C$74/12</f>
        <v>34262.63897169299</v>
      </c>
      <c r="T35" s="23">
        <f>S41*Inputs!$C$74/12</f>
        <v>35208.151186676456</v>
      </c>
      <c r="U35" s="23">
        <f>T41*Inputs!$C$74/12</f>
        <v>49412.97797688085</v>
      </c>
      <c r="V35" s="23">
        <f>U41*Inputs!$C$74/12</f>
        <v>63645.44067660113</v>
      </c>
      <c r="W35" s="23">
        <f>V41*Inputs!$C$74/12</f>
        <v>77905.56772968099</v>
      </c>
    </row>
    <row r="36">
      <c r="A36" s="6" t="inlineStr">
        <is>
          <t xml:space="preserve">Debt service reserve funded at COD</t>
        </is>
      </c>
      <c r="B36" s="10" t="inlineStr">
        <is>
          <t xml:space="preserve">€</t>
        </is>
      </c>
      <c r="F36" s="23">
        <f>IF(F6=Inputs!$C$11,Debt!$C$15,0)</f>
        <v>0</v>
      </c>
      <c r="G36" s="23">
        <f>IF(G6=Inputs!$C$11,Debt!$C$15,0)</f>
        <v>0</v>
      </c>
      <c r="H36" s="23">
        <f>IF(H6=Inputs!$C$11,Debt!$C$15,0)</f>
        <v>0</v>
      </c>
      <c r="I36" s="23">
        <f>IF(I6=Inputs!$C$11,Debt!$C$15,0)</f>
        <v>0</v>
      </c>
      <c r="J36" s="23">
        <f>IF(J6=Inputs!$C$11,Debt!$C$15,0)</f>
        <v>0</v>
      </c>
      <c r="K36" s="23">
        <f>IF(K6=Inputs!$C$11,Debt!$C$15,0)</f>
        <v>0</v>
      </c>
      <c r="L36" s="23">
        <f>IF(L6=Inputs!$C$11,Debt!$C$15,0)</f>
        <v>0</v>
      </c>
      <c r="M36" s="23">
        <f>IF(M6=Inputs!$C$11,Debt!$C$15,0)</f>
        <v>0</v>
      </c>
      <c r="N36" s="23">
        <f>IF(N6=Inputs!$C$11,Debt!$C$15,0)</f>
        <v>0</v>
      </c>
      <c r="O36" s="23">
        <f>IF(O6=Inputs!$C$11,Debt!$C$15,0)</f>
        <v>0</v>
      </c>
      <c r="P36" s="23">
        <f>IF(P6=Inputs!$C$11,Debt!$C$15,0)</f>
        <v>0</v>
      </c>
      <c r="Q36" s="23">
        <f>IF(Q6=Inputs!$C$11,Debt!$C$15,0)</f>
        <v>0</v>
      </c>
      <c r="R36" s="23">
        <f>IF(R6=Inputs!$C$11,Debt!$C$15,0)</f>
        <v>0</v>
      </c>
      <c r="S36" s="23">
        <f>IF(S6=Inputs!$C$11,Debt!$C$15,0)</f>
        <v>0</v>
      </c>
      <c r="T36" s="23">
        <f>IF(T6=Inputs!$C$11,Debt!$C$15,0)</f>
        <v>0</v>
      </c>
      <c r="U36" s="23">
        <f>IF(U6=Inputs!$C$11,Debt!$C$15,0)</f>
        <v>0</v>
      </c>
      <c r="V36" s="23">
        <f>IF(V6=Inputs!$C$11,Debt!$C$15,0)</f>
        <v>0</v>
      </c>
      <c r="W36" s="23">
        <f>IF(W6=Inputs!$C$11,Debt!$C$15,0)</f>
        <v>573287.0601285857</v>
      </c>
    </row>
    <row r="37">
      <c r="A37" s="6" t="inlineStr">
        <is>
          <t xml:space="preserve">Start-up liquidity funded at COD</t>
        </is>
      </c>
      <c r="B37" s="10" t="inlineStr">
        <is>
          <t xml:space="preserve">€</t>
        </is>
      </c>
      <c r="F37" s="23">
        <f>IF(F6=Inputs!$C$11,Operations!$C$60,0)</f>
        <v>0</v>
      </c>
      <c r="G37" s="23">
        <f>IF(G6=Inputs!$C$11,Operations!$C$60,0)</f>
        <v>0</v>
      </c>
      <c r="H37" s="23">
        <f>IF(H6=Inputs!$C$11,Operations!$C$60,0)</f>
        <v>0</v>
      </c>
      <c r="I37" s="23">
        <f>IF(I6=Inputs!$C$11,Operations!$C$60,0)</f>
        <v>0</v>
      </c>
      <c r="J37" s="23">
        <f>IF(J6=Inputs!$C$11,Operations!$C$60,0)</f>
        <v>0</v>
      </c>
      <c r="K37" s="23">
        <f>IF(K6=Inputs!$C$11,Operations!$C$60,0)</f>
        <v>0</v>
      </c>
      <c r="L37" s="23">
        <f>IF(L6=Inputs!$C$11,Operations!$C$60,0)</f>
        <v>0</v>
      </c>
      <c r="M37" s="23">
        <f>IF(M6=Inputs!$C$11,Operations!$C$60,0)</f>
        <v>0</v>
      </c>
      <c r="N37" s="23">
        <f>IF(N6=Inputs!$C$11,Operations!$C$60,0)</f>
        <v>0</v>
      </c>
      <c r="O37" s="23">
        <f>IF(O6=Inputs!$C$11,Operations!$C$60,0)</f>
        <v>0</v>
      </c>
      <c r="P37" s="23">
        <f>IF(P6=Inputs!$C$11,Operations!$C$60,0)</f>
        <v>0</v>
      </c>
      <c r="Q37" s="23">
        <f>IF(Q6=Inputs!$C$11,Operations!$C$60,0)</f>
        <v>0</v>
      </c>
      <c r="R37" s="23">
        <f>IF(R6=Inputs!$C$11,Operations!$C$60,0)</f>
        <v>0</v>
      </c>
      <c r="S37" s="23">
        <f>IF(S6=Inputs!$C$11,Operations!$C$60,0)</f>
        <v>0</v>
      </c>
      <c r="T37" s="23">
        <f>IF(T6=Inputs!$C$11,Operations!$C$60,0)</f>
        <v>0</v>
      </c>
      <c r="U37" s="23">
        <f>IF(U6=Inputs!$C$11,Operations!$C$60,0)</f>
        <v>0</v>
      </c>
      <c r="V37" s="23">
        <f>IF(V6=Inputs!$C$11,Operations!$C$60,0)</f>
        <v>0</v>
      </c>
      <c r="W37" s="23">
        <f>IF(W6=Inputs!$C$11,Operations!$C$60,0)</f>
        <v>498049.00082810305</v>
      </c>
    </row>
    <row r="38">
      <c r="A38" s="41" t="inlineStr">
        <is>
          <t xml:space="preserve">Funding need</t>
        </is>
      </c>
      <c r="B38" s="10" t="inlineStr">
        <is>
          <t xml:space="preserve">€</t>
        </is>
      </c>
      <c r="F38" s="42">
        <f>F26+F33+F34+F35+F32+F36+F37</f>
        <v>11018225.916830374</v>
      </c>
      <c r="G38" s="42">
        <f>G26+G33+G34+G35+G32+G36+G37</f>
        <v>939156.560509794</v>
      </c>
      <c r="H38" s="42">
        <f>H26+H33+H34+H35+H32+H36+H37</f>
        <v>941508.0292999507</v>
      </c>
      <c r="I38" s="42">
        <f>I26+I33+I34+I35+I32+I36+I37</f>
        <v>933249.4611671288</v>
      </c>
      <c r="J38" s="42">
        <f>J26+J33+J34+J35+J32+J36+J37</f>
        <v>934697.0249147768</v>
      </c>
      <c r="K38" s="42">
        <f>K26+K33+K34+K35+K32+K36+K37</f>
        <v>936146.8339793424</v>
      </c>
      <c r="L38" s="42">
        <f>L26+L33+L34+L35+L32+L36+L37</f>
        <v>960352.5572310158</v>
      </c>
      <c r="M38" s="42">
        <f>M26+M33+M34+M35+M32+M36+M37</f>
        <v>961340.9856385392</v>
      </c>
      <c r="N38" s="42">
        <f>N26+N33+N34+N35+N32+N36+N37</f>
        <v>962330.4313711162</v>
      </c>
      <c r="O38" s="42">
        <f>O26+O33+O34+O35+O32+O36+O37</f>
        <v>963320.8954758134</v>
      </c>
      <c r="P38" s="42">
        <f>P26+P33+P34+P35+P32+P36+P37</f>
        <v>964312.3790007748</v>
      </c>
      <c r="Q38" s="42">
        <f>Q26+Q33+Q34+Q35+Q32+Q36+Q37</f>
        <v>965304.8829952236</v>
      </c>
      <c r="R38" s="42">
        <f>R26+R33+R34+R35+R32+R36+R37</f>
        <v>609298.4085094625</v>
      </c>
      <c r="S38" s="42">
        <f>S26+S33+S34+S35+S32+S36+S37</f>
        <v>609575.0647209598</v>
      </c>
      <c r="T38" s="42">
        <f>T26+T33+T34+T35+T32+T36+T37</f>
        <v>9157902.005676696</v>
      </c>
      <c r="U38" s="42">
        <f>U26+U33+U34+U35+U32+U36+U37</f>
        <v>9175718.974156642</v>
      </c>
      <c r="V38" s="42">
        <f>V26+V33+V34+V35+V32+V36+V37</f>
        <v>9193554.280483093</v>
      </c>
      <c r="W38" s="42">
        <f>W26+W33+W34+W35+W32+W36+W37</f>
        <v>9077612.014099188</v>
      </c>
    </row>
    <row r="39">
      <c r="A39" s="6" t="inlineStr">
        <is>
          <t xml:space="preserve">Loan drawn</t>
        </is>
      </c>
      <c r="B39" s="10" t="inlineStr">
        <is>
          <t xml:space="preserve">€</t>
        </is>
      </c>
      <c r="F39" s="23">
        <f>IF(Inputs!$C$88,F38-MIN(F38,MAX(0,$C$17-E42)),$C$16*F38)</f>
        <v>3833355.4143463415</v>
      </c>
      <c r="G39" s="23">
        <f>IF(Inputs!$C$88,G38-MIN(G38,MAX(0,$C$17-F42)),$C$16*G38)</f>
        <v>326742.3370444702</v>
      </c>
      <c r="H39" s="23">
        <f>IF(Inputs!$C$88,H38-MIN(H38,MAX(0,$C$17-G42)),$C$16*H38)</f>
        <v>327560.43749788747</v>
      </c>
      <c r="I39" s="23">
        <f>IF(Inputs!$C$88,I38-MIN(I38,MAX(0,$C$17-H42)),$C$16*I38)</f>
        <v>324687.19573413464</v>
      </c>
      <c r="J39" s="23">
        <f>IF(Inputs!$C$88,J38-MIN(J38,MAX(0,$C$17-I42)),$C$16*J38)</f>
        <v>325190.8182203265</v>
      </c>
      <c r="K39" s="23">
        <f>IF(Inputs!$C$88,K38-MIN(K38,MAX(0,$C$17-J42)),$C$16*K38)</f>
        <v>325695.2218756311</v>
      </c>
      <c r="L39" s="23">
        <f>IF(Inputs!$C$88,L38-MIN(L38,MAX(0,$C$17-K42)),$C$16*L38)</f>
        <v>334116.64479665103</v>
      </c>
      <c r="M39" s="23">
        <f>IF(Inputs!$C$88,M38-MIN(M38,MAX(0,$C$17-L42)),$C$16*M38)</f>
        <v>334460.5293218255</v>
      </c>
      <c r="N39" s="23">
        <f>IF(Inputs!$C$88,N38-MIN(N38,MAX(0,$C$17-M42)),$C$16*N38)</f>
        <v>334804.76778496883</v>
      </c>
      <c r="O39" s="23">
        <f>IF(Inputs!$C$88,O38-MIN(O38,MAX(0,$C$17-N42)),$C$16*O38)</f>
        <v>335149.36055036646</v>
      </c>
      <c r="P39" s="23">
        <f>IF(Inputs!$C$88,P38-MIN(P38,MAX(0,$C$17-O42)),$C$16*P38)</f>
        <v>335494.30798267864</v>
      </c>
      <c r="Q39" s="23">
        <f>IF(Inputs!$C$88,Q38-MIN(Q38,MAX(0,$C$17-P42)),$C$16*Q38)</f>
        <v>335839.610446941</v>
      </c>
      <c r="R39" s="23">
        <f>IF(Inputs!$C$88,R38-MIN(R38,MAX(0,$C$17-Q42)),$C$16*R38)</f>
        <v>211981.25459059913</v>
      </c>
      <c r="S39" s="23">
        <f>IF(Inputs!$C$88,S38-MIN(S38,MAX(0,$C$17-R42)),$C$16*S38)</f>
        <v>212077.50616451498</v>
      </c>
      <c r="T39" s="23">
        <f>IF(Inputs!$C$88,T38-MIN(T38,MAX(0,$C$17-S42)),$C$16*T38)</f>
        <v>3186129.3735037902</v>
      </c>
      <c r="U39" s="23">
        <f>IF(Inputs!$C$88,U38-MIN(U38,MAX(0,$C$17-T42)),$C$16*U38)</f>
        <v>3192328.082180249</v>
      </c>
      <c r="V39" s="23">
        <f>IF(Inputs!$C$88,V38-MIN(V38,MAX(0,$C$17-U42)),$C$16*V38)</f>
        <v>3198533.1707842676</v>
      </c>
      <c r="W39" s="23">
        <f>IF(Inputs!$C$88,W38-MIN(W38,MAX(0,$C$17-V42)),$C$16*W38)</f>
        <v>3158195.6502116104</v>
      </c>
    </row>
    <row r="40">
      <c r="A40" s="6" t="inlineStr">
        <is>
          <t xml:space="preserve">Equity paid in</t>
        </is>
      </c>
      <c r="B40" s="10" t="inlineStr">
        <is>
          <t xml:space="preserve">€</t>
        </is>
      </c>
      <c r="F40" s="23">
        <f>F38-F39</f>
        <v>7184870.502484033</v>
      </c>
      <c r="G40" s="23">
        <f>G38-G39</f>
        <v>612414.2234653239</v>
      </c>
      <c r="H40" s="23">
        <f>H38-H39</f>
        <v>613947.5918020632</v>
      </c>
      <c r="I40" s="23">
        <f>I38-I39</f>
        <v>608562.2654329941</v>
      </c>
      <c r="J40" s="23">
        <f>J38-J39</f>
        <v>609506.2066944502</v>
      </c>
      <c r="K40" s="23">
        <f>K38-K39</f>
        <v>610451.6121037113</v>
      </c>
      <c r="L40" s="23">
        <f>L38-L39</f>
        <v>626235.9124343647</v>
      </c>
      <c r="M40" s="23">
        <f>M38-M39</f>
        <v>626880.4563167137</v>
      </c>
      <c r="N40" s="23">
        <f>N38-N39</f>
        <v>627525.6635861474</v>
      </c>
      <c r="O40" s="23">
        <f>O38-O39</f>
        <v>628171.534925447</v>
      </c>
      <c r="P40" s="23">
        <f>P38-P39</f>
        <v>628818.0710180962</v>
      </c>
      <c r="Q40" s="23">
        <f>Q38-Q39</f>
        <v>629465.2725482826</v>
      </c>
      <c r="R40" s="23">
        <f>R38-R39</f>
        <v>397317.1539188634</v>
      </c>
      <c r="S40" s="23">
        <f>S38-S39</f>
        <v>397497.55855644477</v>
      </c>
      <c r="T40" s="23">
        <f>T38-T39</f>
        <v>5971772.632172906</v>
      </c>
      <c r="U40" s="23">
        <f>U38-U39</f>
        <v>5983390.891976394</v>
      </c>
      <c r="V40" s="23">
        <f>V38-V39</f>
        <v>5995021.1096988255</v>
      </c>
      <c r="W40" s="23">
        <f>W38-W39</f>
        <v>5919416.363887578</v>
      </c>
    </row>
    <row r="41">
      <c r="A41" s="6" t="inlineStr">
        <is>
          <t xml:space="preserve">Loan drawn to date</t>
        </is>
      </c>
      <c r="B41" s="10" t="inlineStr">
        <is>
          <t xml:space="preserve">€</t>
        </is>
      </c>
      <c r="E41" s="9">
        <v>0</v>
      </c>
      <c r="F41" s="23">
        <f>E41+F39</f>
        <v>3833355.4143463415</v>
      </c>
      <c r="G41" s="23">
        <f>F41+G39</f>
        <v>4160097.7513908115</v>
      </c>
      <c r="H41" s="23">
        <f>G41+H39</f>
        <v>4487658.188888699</v>
      </c>
      <c r="I41" s="23">
        <f>H41+I39</f>
        <v>4812345.384622834</v>
      </c>
      <c r="J41" s="23">
        <f>I41+J39</f>
        <v>5137536.20284316</v>
      </c>
      <c r="K41" s="23">
        <f>J41+K39</f>
        <v>5463231.424718792</v>
      </c>
      <c r="L41" s="23">
        <f>K41+L39</f>
        <v>5797348.0695154425</v>
      </c>
      <c r="M41" s="23">
        <f>L41+M39</f>
        <v>6131808.598837268</v>
      </c>
      <c r="N41" s="23">
        <f>M41+N39</f>
        <v>6466613.366622237</v>
      </c>
      <c r="O41" s="23">
        <f>N41+O39</f>
        <v>6801762.727172603</v>
      </c>
      <c r="P41" s="23">
        <f>O41+P39</f>
        <v>7137257.035155281</v>
      </c>
      <c r="Q41" s="23">
        <f>P41+Q39</f>
        <v>7473096.6456022225</v>
      </c>
      <c r="R41" s="23">
        <f>Q41+R39</f>
        <v>7685077.900192821</v>
      </c>
      <c r="S41" s="23">
        <f>R41+S39</f>
        <v>7897155.406357337</v>
      </c>
      <c r="T41" s="23">
        <f>S41+T39</f>
        <v>11083284.779861126</v>
      </c>
      <c r="U41" s="23">
        <f>T41+U39</f>
        <v>14275612.862041375</v>
      </c>
      <c r="V41" s="23">
        <f>U41+V39</f>
        <v>17474146.03282564</v>
      </c>
      <c r="W41" s="23">
        <f>V41+W39</f>
        <v>20632341.68303725</v>
      </c>
    </row>
    <row r="42">
      <c r="A42" s="6" t="inlineStr">
        <is>
          <t xml:space="preserve">Equity paid in to date</t>
        </is>
      </c>
      <c r="B42" s="10" t="inlineStr">
        <is>
          <t xml:space="preserve">€</t>
        </is>
      </c>
      <c r="E42" s="9">
        <v>0</v>
      </c>
      <c r="F42" s="23">
        <f>E42+F40</f>
        <v>7184870.502484033</v>
      </c>
      <c r="G42" s="23">
        <f>F42+G40</f>
        <v>7797284.725949356</v>
      </c>
      <c r="H42" s="23">
        <f>G42+H40</f>
        <v>8411232.317751419</v>
      </c>
      <c r="I42" s="23">
        <f>H42+I40</f>
        <v>9019794.583184414</v>
      </c>
      <c r="J42" s="23">
        <f>I42+J40</f>
        <v>9629300.789878864</v>
      </c>
      <c r="K42" s="23">
        <f>J42+K40</f>
        <v>10239752.401982576</v>
      </c>
      <c r="L42" s="23">
        <f>K42+L40</f>
        <v>10865988.314416941</v>
      </c>
      <c r="M42" s="23">
        <f>L42+M40</f>
        <v>11492868.770733654</v>
      </c>
      <c r="N42" s="23">
        <f>M42+N40</f>
        <v>12120394.434319802</v>
      </c>
      <c r="O42" s="23">
        <f>N42+O40</f>
        <v>12748565.96924525</v>
      </c>
      <c r="P42" s="23">
        <f>O42+P40</f>
        <v>13377384.040263345</v>
      </c>
      <c r="Q42" s="23">
        <f>P42+Q40</f>
        <v>14006849.312811628</v>
      </c>
      <c r="R42" s="23">
        <f>Q42+R40</f>
        <v>14404166.466730492</v>
      </c>
      <c r="S42" s="23">
        <f>R42+S40</f>
        <v>14801664.025286937</v>
      </c>
      <c r="T42" s="23">
        <f>S42+T40</f>
        <v>20773436.657459844</v>
      </c>
      <c r="U42" s="23">
        <f>T42+U40</f>
        <v>26756827.549436238</v>
      </c>
      <c r="V42" s="23">
        <f>U42+V40</f>
        <v>32751848.659135062</v>
      </c>
      <c r="W42" s="23">
        <f>V42+W40</f>
        <v>38671265.02302264</v>
      </c>
    </row>
    <row r="43">
      <c r="A43" s="41" t="inlineStr">
        <is>
          <t xml:space="preserve">Total uses (sum of the funding need)</t>
        </is>
      </c>
      <c r="B43" s="10" t="inlineStr">
        <is>
          <t xml:space="preserve">€</t>
        </is>
      </c>
      <c r="C43" s="42">
        <f>SUM($F$38:$W$38)</f>
        <v>59303606.70605988</v>
      </c>
    </row>
    <row r="44">
      <c r="A44" s="6" t="inlineStr">
        <is>
          <t xml:space="preserve">Capex</t>
        </is>
      </c>
      <c r="B44" s="10" t="inlineStr">
        <is>
          <t xml:space="preserve">€</t>
        </is>
      </c>
      <c r="C44" s="23">
        <f>SUM($F$26:$W$26)</f>
        <v>57135645</v>
      </c>
    </row>
    <row r="45">
      <c r="A45" s="6" t="inlineStr">
        <is>
          <t xml:space="preserve">Equity paid in</t>
        </is>
      </c>
      <c r="B45" s="10" t="inlineStr">
        <is>
          <t xml:space="preserve">€</t>
        </is>
      </c>
      <c r="C45" s="23">
        <f>SUM($F$40:$W$40)</f>
        <v>38671265.02302264</v>
      </c>
    </row>
    <row r="46">
      <c r="A46" s="6" t="inlineStr">
        <is>
          <t xml:space="preserve">Loan drawn</t>
        </is>
      </c>
      <c r="B46" s="10" t="inlineStr">
        <is>
          <t xml:space="preserve">€</t>
        </is>
      </c>
      <c r="C46" s="23">
        <f>SUM($F$39:$W$39)</f>
        <v>20632341.68303725</v>
      </c>
    </row>
    <row r="47">
      <c r="A47" s="6" t="inlineStr">
        <is>
          <t xml:space="preserve">Financing costs (fees, interest, VAT loan interest)</t>
        </is>
      </c>
      <c r="B47" s="10" t="inlineStr">
        <is>
          <t xml:space="preserve">€</t>
        </is>
      </c>
      <c r="C47" s="23">
        <f>SUM($F$33:$W$33,$F$34:$W$34,$F$35:$W$35,$F$32:$W$32)</f>
        <v>1096625.6451032066</v>
      </c>
    </row>
    <row r="48">
      <c r="A48" s="6" t="inlineStr">
        <is>
          <t xml:space="preserve">Depreciable base (uses − DSRA − start-up liquidity)</t>
        </is>
      </c>
      <c r="B48" s="10" t="inlineStr">
        <is>
          <t xml:space="preserve">€</t>
        </is>
      </c>
      <c r="C48" s="23">
        <f>$C$43-Debt!$C$15-Operations!$C$60</f>
        <v>58232270.645103194</v>
      </c>
    </row>
    <row r="50">
      <c r="A50" s="5" t="inlineStr">
        <is>
          <t xml:space="preserve">Downside (capex overrun paid by the owners)</t>
        </is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>
      <c r="A51" s="6" t="inlineStr">
        <is>
          <t xml:space="preserve">Loan share of each month's need (pasted loan ÷ pasted uses)</t>
        </is>
      </c>
      <c r="C51" s="37">
        <f>Inputs!$C$192/Inputs!$C$194</f>
        <v>0.3318898368970234</v>
      </c>
    </row>
    <row r="52">
      <c r="A52" s="6" t="inlineStr">
        <is>
          <t xml:space="preserve">Equity to be paid in (pasted uses − loan)</t>
        </is>
      </c>
      <c r="B52" s="10" t="inlineStr">
        <is>
          <t xml:space="preserve">€</t>
        </is>
      </c>
      <c r="C52" s="23">
        <f>Inputs!$C$194-Inputs!$C$192</f>
        <v>41533893.58327181</v>
      </c>
    </row>
    <row r="53">
      <c r="A53" s="6" t="inlineStr">
        <is>
          <t xml:space="preserve">Capex: turbine</t>
        </is>
      </c>
      <c r="B53" s="10" t="inlineStr">
        <is>
          <t xml:space="preserve">€</t>
        </is>
      </c>
      <c r="F53" s="23">
        <f>IF(Inputs!$B$48="turbine",F13,IF(Inputs!$B$48="thirds",F12,IF(Inputs!$B$48="atStart",F10,F11)))*Inputs!$C$48*Timing!$C$28*Inputs!$C$111</f>
        <v>3846622.5000000005</v>
      </c>
      <c r="G53" s="23">
        <f>IF(Inputs!$B$48="turbine",G13,IF(Inputs!$B$48="thirds",G12,IF(Inputs!$B$48="atStart",G10,G11)))*Inputs!$C$48*Timing!$C$28*Inputs!$C$111</f>
        <v>0</v>
      </c>
      <c r="H53" s="23">
        <f>IF(Inputs!$B$48="turbine",H13,IF(Inputs!$B$48="thirds",H12,IF(Inputs!$B$48="atStart",H10,H11)))*Inputs!$C$48*Timing!$C$28*Inputs!$C$111</f>
        <v>0</v>
      </c>
      <c r="I53" s="23">
        <f>IF(Inputs!$B$48="turbine",I13,IF(Inputs!$B$48="thirds",I12,IF(Inputs!$B$48="atStart",I10,I11)))*Inputs!$C$48*Timing!$C$28*Inputs!$C$111</f>
        <v>0</v>
      </c>
      <c r="J53" s="23">
        <f>IF(Inputs!$B$48="turbine",J13,IF(Inputs!$B$48="thirds",J12,IF(Inputs!$B$48="atStart",J10,J11)))*Inputs!$C$48*Timing!$C$28*Inputs!$C$111</f>
        <v>0</v>
      </c>
      <c r="K53" s="23">
        <f>IF(Inputs!$B$48="turbine",K13,IF(Inputs!$B$48="thirds",K12,IF(Inputs!$B$48="atStart",K10,K11)))*Inputs!$C$48*Timing!$C$28*Inputs!$C$111</f>
        <v>0</v>
      </c>
      <c r="L53" s="23">
        <f>IF(Inputs!$B$48="turbine",L13,IF(Inputs!$B$48="thirds",L12,IF(Inputs!$B$48="atStart",L10,L11)))*Inputs!$C$48*Timing!$C$28*Inputs!$C$111</f>
        <v>0</v>
      </c>
      <c r="M53" s="23">
        <f>IF(Inputs!$B$48="turbine",M13,IF(Inputs!$B$48="thirds",M12,IF(Inputs!$B$48="atStart",M10,M11)))*Inputs!$C$48*Timing!$C$28*Inputs!$C$111</f>
        <v>0</v>
      </c>
      <c r="N53" s="23">
        <f>IF(Inputs!$B$48="turbine",N13,IF(Inputs!$B$48="thirds",N12,IF(Inputs!$B$48="atStart",N10,N11)))*Inputs!$C$48*Timing!$C$28*Inputs!$C$111</f>
        <v>0</v>
      </c>
      <c r="O53" s="23">
        <f>IF(Inputs!$B$48="turbine",O13,IF(Inputs!$B$48="thirds",O12,IF(Inputs!$B$48="atStart",O10,O11)))*Inputs!$C$48*Timing!$C$28*Inputs!$C$111</f>
        <v>0</v>
      </c>
      <c r="P53" s="23">
        <f>IF(Inputs!$B$48="turbine",P13,IF(Inputs!$B$48="thirds",P12,IF(Inputs!$B$48="atStart",P10,P11)))*Inputs!$C$48*Timing!$C$28*Inputs!$C$111</f>
        <v>0</v>
      </c>
      <c r="Q53" s="23">
        <f>IF(Inputs!$B$48="turbine",Q13,IF(Inputs!$B$48="thirds",Q12,IF(Inputs!$B$48="atStart",Q10,Q11)))*Inputs!$C$48*Timing!$C$28*Inputs!$C$111</f>
        <v>0</v>
      </c>
      <c r="R53" s="23">
        <f>IF(Inputs!$B$48="turbine",R13,IF(Inputs!$B$48="thirds",R12,IF(Inputs!$B$48="atStart",R10,R11)))*Inputs!$C$48*Timing!$C$28*Inputs!$C$111</f>
        <v>0</v>
      </c>
      <c r="S53" s="23">
        <f>IF(Inputs!$B$48="turbine",S13,IF(Inputs!$B$48="thirds",S12,IF(Inputs!$B$48="atStart",S10,S11)))*Inputs!$C$48*Timing!$C$28*Inputs!$C$111</f>
        <v>0</v>
      </c>
      <c r="T53" s="23">
        <f>IF(Inputs!$B$48="turbine",T13,IF(Inputs!$B$48="thirds",T12,IF(Inputs!$B$48="atStart",T10,T11)))*Inputs!$C$48*Timing!$C$28*Inputs!$C$111</f>
        <v>8975452.499999998</v>
      </c>
      <c r="U53" s="23">
        <f>IF(Inputs!$B$48="turbine",U13,IF(Inputs!$B$48="thirds",U12,IF(Inputs!$B$48="atStart",U10,U11)))*Inputs!$C$48*Timing!$C$28*Inputs!$C$111</f>
        <v>8975452.499999998</v>
      </c>
      <c r="V53" s="23">
        <f>IF(Inputs!$B$48="turbine",V13,IF(Inputs!$B$48="thirds",V12,IF(Inputs!$B$48="atStart",V10,V11)))*Inputs!$C$48*Timing!$C$28*Inputs!$C$111</f>
        <v>8975452.499999998</v>
      </c>
      <c r="W53" s="23">
        <f>IF(Inputs!$B$48="turbine",W13,IF(Inputs!$B$48="thirds",W12,IF(Inputs!$B$48="atStart",W10,W11)))*Inputs!$C$48*Timing!$C$28*Inputs!$C$111</f>
        <v>7693245.000000001</v>
      </c>
    </row>
    <row r="54">
      <c r="A54" s="6" t="inlineStr">
        <is>
          <t xml:space="preserve">Capex: foundation</t>
        </is>
      </c>
      <c r="B54" s="10" t="inlineStr">
        <is>
          <t xml:space="preserve">€</t>
        </is>
      </c>
      <c r="F54" s="23">
        <f>IF(Inputs!$B$49="turbine",F13,IF(Inputs!$B$49="thirds",F12,IF(Inputs!$B$49="atStart",F10,F11)))*Inputs!$C$49*Timing!$C$28*Inputs!$C$111</f>
        <v>194040</v>
      </c>
      <c r="G54" s="23">
        <f>IF(Inputs!$B$49="turbine",G13,IF(Inputs!$B$49="thirds",G12,IF(Inputs!$B$49="atStart",G10,G11)))*Inputs!$C$49*Timing!$C$28*Inputs!$C$111</f>
        <v>194040</v>
      </c>
      <c r="H54" s="23">
        <f>IF(Inputs!$B$49="turbine",H13,IF(Inputs!$B$49="thirds",H12,IF(Inputs!$B$49="atStart",H10,H11)))*Inputs!$C$49*Timing!$C$28*Inputs!$C$111</f>
        <v>194040</v>
      </c>
      <c r="I54" s="23">
        <f>IF(Inputs!$B$49="turbine",I13,IF(Inputs!$B$49="thirds",I12,IF(Inputs!$B$49="atStart",I10,I11)))*Inputs!$C$49*Timing!$C$28*Inputs!$C$111</f>
        <v>194040</v>
      </c>
      <c r="J54" s="23">
        <f>IF(Inputs!$B$49="turbine",J13,IF(Inputs!$B$49="thirds",J12,IF(Inputs!$B$49="atStart",J10,J11)))*Inputs!$C$49*Timing!$C$28*Inputs!$C$111</f>
        <v>194040</v>
      </c>
      <c r="K54" s="23">
        <f>IF(Inputs!$B$49="turbine",K13,IF(Inputs!$B$49="thirds",K12,IF(Inputs!$B$49="atStart",K10,K11)))*Inputs!$C$49*Timing!$C$28*Inputs!$C$111</f>
        <v>194040</v>
      </c>
      <c r="L54" s="23">
        <f>IF(Inputs!$B$49="turbine",L13,IF(Inputs!$B$49="thirds",L12,IF(Inputs!$B$49="atStart",L10,L11)))*Inputs!$C$49*Timing!$C$28*Inputs!$C$111</f>
        <v>194040</v>
      </c>
      <c r="M54" s="23">
        <f>IF(Inputs!$B$49="turbine",M13,IF(Inputs!$B$49="thirds",M12,IF(Inputs!$B$49="atStart",M10,M11)))*Inputs!$C$49*Timing!$C$28*Inputs!$C$111</f>
        <v>194040</v>
      </c>
      <c r="N54" s="23">
        <f>IF(Inputs!$B$49="turbine",N13,IF(Inputs!$B$49="thirds",N12,IF(Inputs!$B$49="atStart",N10,N11)))*Inputs!$C$49*Timing!$C$28*Inputs!$C$111</f>
        <v>194040</v>
      </c>
      <c r="O54" s="23">
        <f>IF(Inputs!$B$49="turbine",O13,IF(Inputs!$B$49="thirds",O12,IF(Inputs!$B$49="atStart",O10,O11)))*Inputs!$C$49*Timing!$C$28*Inputs!$C$111</f>
        <v>194040</v>
      </c>
      <c r="P54" s="23">
        <f>IF(Inputs!$B$49="turbine",P13,IF(Inputs!$B$49="thirds",P12,IF(Inputs!$B$49="atStart",P10,P11)))*Inputs!$C$49*Timing!$C$28*Inputs!$C$111</f>
        <v>194040</v>
      </c>
      <c r="Q54" s="23">
        <f>IF(Inputs!$B$49="turbine",Q13,IF(Inputs!$B$49="thirds",Q12,IF(Inputs!$B$49="atStart",Q10,Q11)))*Inputs!$C$49*Timing!$C$28*Inputs!$C$111</f>
        <v>194040</v>
      </c>
      <c r="R54" s="23">
        <f>IF(Inputs!$B$49="turbine",R13,IF(Inputs!$B$49="thirds",R12,IF(Inputs!$B$49="atStart",R10,R11)))*Inputs!$C$49*Timing!$C$28*Inputs!$C$111</f>
        <v>97020</v>
      </c>
      <c r="S54" s="23">
        <f>IF(Inputs!$B$49="turbine",S13,IF(Inputs!$B$49="thirds",S12,IF(Inputs!$B$49="atStart",S10,S11)))*Inputs!$C$49*Timing!$C$28*Inputs!$C$111</f>
        <v>97020</v>
      </c>
      <c r="T54" s="23">
        <f>IF(Inputs!$B$49="turbine",T13,IF(Inputs!$B$49="thirds",T12,IF(Inputs!$B$49="atStart",T10,T11)))*Inputs!$C$49*Timing!$C$28*Inputs!$C$111</f>
        <v>97020</v>
      </c>
      <c r="U54" s="23">
        <f>IF(Inputs!$B$49="turbine",U13,IF(Inputs!$B$49="thirds",U12,IF(Inputs!$B$49="atStart",U10,U11)))*Inputs!$C$49*Timing!$C$28*Inputs!$C$111</f>
        <v>97020</v>
      </c>
      <c r="V54" s="23">
        <f>IF(Inputs!$B$49="turbine",V13,IF(Inputs!$B$49="thirds",V12,IF(Inputs!$B$49="atStart",V10,V11)))*Inputs!$C$49*Timing!$C$28*Inputs!$C$111</f>
        <v>97020</v>
      </c>
      <c r="W54" s="23">
        <f>IF(Inputs!$B$49="turbine",W13,IF(Inputs!$B$49="thirds",W12,IF(Inputs!$B$49="atStart",W10,W11)))*Inputs!$C$49*Timing!$C$28*Inputs!$C$111</f>
        <v>97020</v>
      </c>
    </row>
    <row r="55">
      <c r="A55" s="6" t="inlineStr">
        <is>
          <t xml:space="preserve">Capex: infrastructure</t>
        </is>
      </c>
      <c r="B55" s="10" t="inlineStr">
        <is>
          <t xml:space="preserve">€</t>
        </is>
      </c>
      <c r="F55" s="23">
        <f>IF(Inputs!$B$50="turbine",F13,IF(Inputs!$B$50="thirds",F12,IF(Inputs!$B$50="atStart",F10,F11)))*Inputs!$C$50*Timing!$C$28*Inputs!$C$111</f>
        <v>262395</v>
      </c>
      <c r="G55" s="23">
        <f>IF(Inputs!$B$50="turbine",G13,IF(Inputs!$B$50="thirds",G12,IF(Inputs!$B$50="atStart",G10,G11)))*Inputs!$C$50*Timing!$C$28*Inputs!$C$111</f>
        <v>262395</v>
      </c>
      <c r="H55" s="23">
        <f>IF(Inputs!$B$50="turbine",H13,IF(Inputs!$B$50="thirds",H12,IF(Inputs!$B$50="atStart",H10,H11)))*Inputs!$C$50*Timing!$C$28*Inputs!$C$111</f>
        <v>262395</v>
      </c>
      <c r="I55" s="23">
        <f>IF(Inputs!$B$50="turbine",I13,IF(Inputs!$B$50="thirds",I12,IF(Inputs!$B$50="atStart",I10,I11)))*Inputs!$C$50*Timing!$C$28*Inputs!$C$111</f>
        <v>262395</v>
      </c>
      <c r="J55" s="23">
        <f>IF(Inputs!$B$50="turbine",J13,IF(Inputs!$B$50="thirds",J12,IF(Inputs!$B$50="atStart",J10,J11)))*Inputs!$C$50*Timing!$C$28*Inputs!$C$111</f>
        <v>262395</v>
      </c>
      <c r="K55" s="23">
        <f>IF(Inputs!$B$50="turbine",K13,IF(Inputs!$B$50="thirds",K12,IF(Inputs!$B$50="atStart",K10,K11)))*Inputs!$C$50*Timing!$C$28*Inputs!$C$111</f>
        <v>262395</v>
      </c>
      <c r="L55" s="23">
        <f>IF(Inputs!$B$50="turbine",L13,IF(Inputs!$B$50="thirds",L12,IF(Inputs!$B$50="atStart",L10,L11)))*Inputs!$C$50*Timing!$C$28*Inputs!$C$111</f>
        <v>262395</v>
      </c>
      <c r="M55" s="23">
        <f>IF(Inputs!$B$50="turbine",M13,IF(Inputs!$B$50="thirds",M12,IF(Inputs!$B$50="atStart",M10,M11)))*Inputs!$C$50*Timing!$C$28*Inputs!$C$111</f>
        <v>262395</v>
      </c>
      <c r="N55" s="23">
        <f>IF(Inputs!$B$50="turbine",N13,IF(Inputs!$B$50="thirds",N12,IF(Inputs!$B$50="atStart",N10,N11)))*Inputs!$C$50*Timing!$C$28*Inputs!$C$111</f>
        <v>262395</v>
      </c>
      <c r="O55" s="23">
        <f>IF(Inputs!$B$50="turbine",O13,IF(Inputs!$B$50="thirds",O12,IF(Inputs!$B$50="atStart",O10,O11)))*Inputs!$C$50*Timing!$C$28*Inputs!$C$111</f>
        <v>262395</v>
      </c>
      <c r="P55" s="23">
        <f>IF(Inputs!$B$50="turbine",P13,IF(Inputs!$B$50="thirds",P12,IF(Inputs!$B$50="atStart",P10,P11)))*Inputs!$C$50*Timing!$C$28*Inputs!$C$111</f>
        <v>262395</v>
      </c>
      <c r="Q55" s="23">
        <f>IF(Inputs!$B$50="turbine",Q13,IF(Inputs!$B$50="thirds",Q12,IF(Inputs!$B$50="atStart",Q10,Q11)))*Inputs!$C$50*Timing!$C$28*Inputs!$C$111</f>
        <v>262395</v>
      </c>
      <c r="R55" s="23">
        <f>IF(Inputs!$B$50="turbine",R13,IF(Inputs!$B$50="thirds",R12,IF(Inputs!$B$50="atStart",R10,R11)))*Inputs!$C$50*Timing!$C$28*Inputs!$C$111</f>
        <v>131197.5</v>
      </c>
      <c r="S55" s="23">
        <f>IF(Inputs!$B$50="turbine",S13,IF(Inputs!$B$50="thirds",S12,IF(Inputs!$B$50="atStart",S10,S11)))*Inputs!$C$50*Timing!$C$28*Inputs!$C$111</f>
        <v>131197.5</v>
      </c>
      <c r="T55" s="23">
        <f>IF(Inputs!$B$50="turbine",T13,IF(Inputs!$B$50="thirds",T12,IF(Inputs!$B$50="atStart",T10,T11)))*Inputs!$C$50*Timing!$C$28*Inputs!$C$111</f>
        <v>131197.5</v>
      </c>
      <c r="U55" s="23">
        <f>IF(Inputs!$B$50="turbine",U13,IF(Inputs!$B$50="thirds",U12,IF(Inputs!$B$50="atStart",U10,U11)))*Inputs!$C$50*Timing!$C$28*Inputs!$C$111</f>
        <v>131197.5</v>
      </c>
      <c r="V55" s="23">
        <f>IF(Inputs!$B$50="turbine",V13,IF(Inputs!$B$50="thirds",V12,IF(Inputs!$B$50="atStart",V10,V11)))*Inputs!$C$50*Timing!$C$28*Inputs!$C$111</f>
        <v>131197.5</v>
      </c>
      <c r="W55" s="23">
        <f>IF(Inputs!$B$50="turbine",W13,IF(Inputs!$B$50="thirds",W12,IF(Inputs!$B$50="atStart",W10,W11)))*Inputs!$C$50*Timing!$C$28*Inputs!$C$111</f>
        <v>131197.5</v>
      </c>
    </row>
    <row r="56">
      <c r="A56" s="6" t="inlineStr">
        <is>
          <t xml:space="preserve">Capex: gridConnection</t>
        </is>
      </c>
      <c r="B56" s="10" t="inlineStr">
        <is>
          <t xml:space="preserve">€</t>
        </is>
      </c>
      <c r="F56" s="23">
        <f>IF(Inputs!$B$51="turbine",F13,IF(Inputs!$B$51="thirds",F12,IF(Inputs!$B$51="atStart",F10,F11)))*Inputs!$C$51*Timing!$C$28*Inputs!$C$111</f>
        <v>293265</v>
      </c>
      <c r="G56" s="23">
        <f>IF(Inputs!$B$51="turbine",G13,IF(Inputs!$B$51="thirds",G12,IF(Inputs!$B$51="atStart",G10,G11)))*Inputs!$C$51*Timing!$C$28*Inputs!$C$111</f>
        <v>293265</v>
      </c>
      <c r="H56" s="23">
        <f>IF(Inputs!$B$51="turbine",H13,IF(Inputs!$B$51="thirds",H12,IF(Inputs!$B$51="atStart",H10,H11)))*Inputs!$C$51*Timing!$C$28*Inputs!$C$111</f>
        <v>293265</v>
      </c>
      <c r="I56" s="23">
        <f>IF(Inputs!$B$51="turbine",I13,IF(Inputs!$B$51="thirds",I12,IF(Inputs!$B$51="atStart",I10,I11)))*Inputs!$C$51*Timing!$C$28*Inputs!$C$111</f>
        <v>293265</v>
      </c>
      <c r="J56" s="23">
        <f>IF(Inputs!$B$51="turbine",J13,IF(Inputs!$B$51="thirds",J12,IF(Inputs!$B$51="atStart",J10,J11)))*Inputs!$C$51*Timing!$C$28*Inputs!$C$111</f>
        <v>293265</v>
      </c>
      <c r="K56" s="23">
        <f>IF(Inputs!$B$51="turbine",K13,IF(Inputs!$B$51="thirds",K12,IF(Inputs!$B$51="atStart",K10,K11)))*Inputs!$C$51*Timing!$C$28*Inputs!$C$111</f>
        <v>293265</v>
      </c>
      <c r="L56" s="23">
        <f>IF(Inputs!$B$51="turbine",L13,IF(Inputs!$B$51="thirds",L12,IF(Inputs!$B$51="atStart",L10,L11)))*Inputs!$C$51*Timing!$C$28*Inputs!$C$111</f>
        <v>293265</v>
      </c>
      <c r="M56" s="23">
        <f>IF(Inputs!$B$51="turbine",M13,IF(Inputs!$B$51="thirds",M12,IF(Inputs!$B$51="atStart",M10,M11)))*Inputs!$C$51*Timing!$C$28*Inputs!$C$111</f>
        <v>293265</v>
      </c>
      <c r="N56" s="23">
        <f>IF(Inputs!$B$51="turbine",N13,IF(Inputs!$B$51="thirds",N12,IF(Inputs!$B$51="atStart",N10,N11)))*Inputs!$C$51*Timing!$C$28*Inputs!$C$111</f>
        <v>293265</v>
      </c>
      <c r="O56" s="23">
        <f>IF(Inputs!$B$51="turbine",O13,IF(Inputs!$B$51="thirds",O12,IF(Inputs!$B$51="atStart",O10,O11)))*Inputs!$C$51*Timing!$C$28*Inputs!$C$111</f>
        <v>293265</v>
      </c>
      <c r="P56" s="23">
        <f>IF(Inputs!$B$51="turbine",P13,IF(Inputs!$B$51="thirds",P12,IF(Inputs!$B$51="atStart",P10,P11)))*Inputs!$C$51*Timing!$C$28*Inputs!$C$111</f>
        <v>293265</v>
      </c>
      <c r="Q56" s="23">
        <f>IF(Inputs!$B$51="turbine",Q13,IF(Inputs!$B$51="thirds",Q12,IF(Inputs!$B$51="atStart",Q10,Q11)))*Inputs!$C$51*Timing!$C$28*Inputs!$C$111</f>
        <v>293265</v>
      </c>
      <c r="R56" s="23">
        <f>IF(Inputs!$B$51="turbine",R13,IF(Inputs!$B$51="thirds",R12,IF(Inputs!$B$51="atStart",R10,R11)))*Inputs!$C$51*Timing!$C$28*Inputs!$C$111</f>
        <v>146632.5</v>
      </c>
      <c r="S56" s="23">
        <f>IF(Inputs!$B$51="turbine",S13,IF(Inputs!$B$51="thirds",S12,IF(Inputs!$B$51="atStart",S10,S11)))*Inputs!$C$51*Timing!$C$28*Inputs!$C$111</f>
        <v>146632.5</v>
      </c>
      <c r="T56" s="23">
        <f>IF(Inputs!$B$51="turbine",T13,IF(Inputs!$B$51="thirds",T12,IF(Inputs!$B$51="atStart",T10,T11)))*Inputs!$C$51*Timing!$C$28*Inputs!$C$111</f>
        <v>146632.5</v>
      </c>
      <c r="U56" s="23">
        <f>IF(Inputs!$B$51="turbine",U13,IF(Inputs!$B$51="thirds",U12,IF(Inputs!$B$51="atStart",U10,U11)))*Inputs!$C$51*Timing!$C$28*Inputs!$C$111</f>
        <v>146632.5</v>
      </c>
      <c r="V56" s="23">
        <f>IF(Inputs!$B$51="turbine",V13,IF(Inputs!$B$51="thirds",V12,IF(Inputs!$B$51="atStart",V10,V11)))*Inputs!$C$51*Timing!$C$28*Inputs!$C$111</f>
        <v>146632.5</v>
      </c>
      <c r="W56" s="23">
        <f>IF(Inputs!$B$51="turbine",W13,IF(Inputs!$B$51="thirds",W12,IF(Inputs!$B$51="atStart",W10,W11)))*Inputs!$C$51*Timing!$C$28*Inputs!$C$111</f>
        <v>146632.5</v>
      </c>
    </row>
    <row r="57">
      <c r="A57" s="6" t="inlineStr">
        <is>
          <t xml:space="preserve">Capex: development</t>
        </is>
      </c>
      <c r="B57" s="10" t="inlineStr">
        <is>
          <t xml:space="preserve">€</t>
        </is>
      </c>
      <c r="F57" s="23">
        <f>IF(Inputs!$B$52="turbine",F13,IF(Inputs!$B$52="thirds",F12,IF(Inputs!$B$52="atStart",F10,F11)))*Inputs!$C$52*Timing!$C$28*Inputs!$C$111</f>
        <v>5391225</v>
      </c>
      <c r="G57" s="23">
        <f>IF(Inputs!$B$52="turbine",G13,IF(Inputs!$B$52="thirds",G12,IF(Inputs!$B$52="atStart",G10,G11)))*Inputs!$C$52*Timing!$C$28*Inputs!$C$111</f>
        <v>0</v>
      </c>
      <c r="H57" s="23">
        <f>IF(Inputs!$B$52="turbine",H13,IF(Inputs!$B$52="thirds",H12,IF(Inputs!$B$52="atStart",H10,H11)))*Inputs!$C$52*Timing!$C$28*Inputs!$C$111</f>
        <v>0</v>
      </c>
      <c r="I57" s="23">
        <f>IF(Inputs!$B$52="turbine",I13,IF(Inputs!$B$52="thirds",I12,IF(Inputs!$B$52="atStart",I10,I11)))*Inputs!$C$52*Timing!$C$28*Inputs!$C$111</f>
        <v>0</v>
      </c>
      <c r="J57" s="23">
        <f>IF(Inputs!$B$52="turbine",J13,IF(Inputs!$B$52="thirds",J12,IF(Inputs!$B$52="atStart",J10,J11)))*Inputs!$C$52*Timing!$C$28*Inputs!$C$111</f>
        <v>0</v>
      </c>
      <c r="K57" s="23">
        <f>IF(Inputs!$B$52="turbine",K13,IF(Inputs!$B$52="thirds",K12,IF(Inputs!$B$52="atStart",K10,K11)))*Inputs!$C$52*Timing!$C$28*Inputs!$C$111</f>
        <v>0</v>
      </c>
      <c r="L57" s="23">
        <f>IF(Inputs!$B$52="turbine",L13,IF(Inputs!$B$52="thirds",L12,IF(Inputs!$B$52="atStart",L10,L11)))*Inputs!$C$52*Timing!$C$28*Inputs!$C$111</f>
        <v>0</v>
      </c>
      <c r="M57" s="23">
        <f>IF(Inputs!$B$52="turbine",M13,IF(Inputs!$B$52="thirds",M12,IF(Inputs!$B$52="atStart",M10,M11)))*Inputs!$C$52*Timing!$C$28*Inputs!$C$111</f>
        <v>0</v>
      </c>
      <c r="N57" s="23">
        <f>IF(Inputs!$B$52="turbine",N13,IF(Inputs!$B$52="thirds",N12,IF(Inputs!$B$52="atStart",N10,N11)))*Inputs!$C$52*Timing!$C$28*Inputs!$C$111</f>
        <v>0</v>
      </c>
      <c r="O57" s="23">
        <f>IF(Inputs!$B$52="turbine",O13,IF(Inputs!$B$52="thirds",O12,IF(Inputs!$B$52="atStart",O10,O11)))*Inputs!$C$52*Timing!$C$28*Inputs!$C$111</f>
        <v>0</v>
      </c>
      <c r="P57" s="23">
        <f>IF(Inputs!$B$52="turbine",P13,IF(Inputs!$B$52="thirds",P12,IF(Inputs!$B$52="atStart",P10,P11)))*Inputs!$C$52*Timing!$C$28*Inputs!$C$111</f>
        <v>0</v>
      </c>
      <c r="Q57" s="23">
        <f>IF(Inputs!$B$52="turbine",Q13,IF(Inputs!$B$52="thirds",Q12,IF(Inputs!$B$52="atStart",Q10,Q11)))*Inputs!$C$52*Timing!$C$28*Inputs!$C$111</f>
        <v>0</v>
      </c>
      <c r="R57" s="23">
        <f>IF(Inputs!$B$52="turbine",R13,IF(Inputs!$B$52="thirds",R12,IF(Inputs!$B$52="atStart",R10,R11)))*Inputs!$C$52*Timing!$C$28*Inputs!$C$111</f>
        <v>0</v>
      </c>
      <c r="S57" s="23">
        <f>IF(Inputs!$B$52="turbine",S13,IF(Inputs!$B$52="thirds",S12,IF(Inputs!$B$52="atStart",S10,S11)))*Inputs!$C$52*Timing!$C$28*Inputs!$C$111</f>
        <v>0</v>
      </c>
      <c r="T57" s="23">
        <f>IF(Inputs!$B$52="turbine",T13,IF(Inputs!$B$52="thirds",T12,IF(Inputs!$B$52="atStart",T10,T11)))*Inputs!$C$52*Timing!$C$28*Inputs!$C$111</f>
        <v>0</v>
      </c>
      <c r="U57" s="23">
        <f>IF(Inputs!$B$52="turbine",U13,IF(Inputs!$B$52="thirds",U12,IF(Inputs!$B$52="atStart",U10,U11)))*Inputs!$C$52*Timing!$C$28*Inputs!$C$111</f>
        <v>0</v>
      </c>
      <c r="V57" s="23">
        <f>IF(Inputs!$B$52="turbine",V13,IF(Inputs!$B$52="thirds",V12,IF(Inputs!$B$52="atStart",V10,V11)))*Inputs!$C$52*Timing!$C$28*Inputs!$C$111</f>
        <v>0</v>
      </c>
      <c r="W57" s="23">
        <f>IF(Inputs!$B$52="turbine",W13,IF(Inputs!$B$52="thirds",W12,IF(Inputs!$B$52="atStart",W10,W11)))*Inputs!$C$52*Timing!$C$28*Inputs!$C$111</f>
        <v>0</v>
      </c>
    </row>
    <row r="58">
      <c r="A58" s="6" t="inlineStr">
        <is>
          <t xml:space="preserve">Capex: compensation</t>
        </is>
      </c>
      <c r="B58" s="10" t="inlineStr">
        <is>
          <t xml:space="preserve">€</t>
        </is>
      </c>
      <c r="F58" s="23">
        <f>IF(Inputs!$B$53="turbine",F13,IF(Inputs!$B$53="thirds",F12,IF(Inputs!$B$53="atStart",F10,F11)))*Inputs!$C$53*Timing!$C$28*Inputs!$C$111</f>
        <v>1157625</v>
      </c>
      <c r="G58" s="23">
        <f>IF(Inputs!$B$53="turbine",G13,IF(Inputs!$B$53="thirds",G12,IF(Inputs!$B$53="atStart",G10,G11)))*Inputs!$C$53*Timing!$C$28*Inputs!$C$111</f>
        <v>0</v>
      </c>
      <c r="H58" s="23">
        <f>IF(Inputs!$B$53="turbine",H13,IF(Inputs!$B$53="thirds",H12,IF(Inputs!$B$53="atStart",H10,H11)))*Inputs!$C$53*Timing!$C$28*Inputs!$C$111</f>
        <v>0</v>
      </c>
      <c r="I58" s="23">
        <f>IF(Inputs!$B$53="turbine",I13,IF(Inputs!$B$53="thirds",I12,IF(Inputs!$B$53="atStart",I10,I11)))*Inputs!$C$53*Timing!$C$28*Inputs!$C$111</f>
        <v>0</v>
      </c>
      <c r="J58" s="23">
        <f>IF(Inputs!$B$53="turbine",J13,IF(Inputs!$B$53="thirds",J12,IF(Inputs!$B$53="atStart",J10,J11)))*Inputs!$C$53*Timing!$C$28*Inputs!$C$111</f>
        <v>0</v>
      </c>
      <c r="K58" s="23">
        <f>IF(Inputs!$B$53="turbine",K13,IF(Inputs!$B$53="thirds",K12,IF(Inputs!$B$53="atStart",K10,K11)))*Inputs!$C$53*Timing!$C$28*Inputs!$C$111</f>
        <v>0</v>
      </c>
      <c r="L58" s="23">
        <f>IF(Inputs!$B$53="turbine",L13,IF(Inputs!$B$53="thirds",L12,IF(Inputs!$B$53="atStart",L10,L11)))*Inputs!$C$53*Timing!$C$28*Inputs!$C$111</f>
        <v>0</v>
      </c>
      <c r="M58" s="23">
        <f>IF(Inputs!$B$53="turbine",M13,IF(Inputs!$B$53="thirds",M12,IF(Inputs!$B$53="atStart",M10,M11)))*Inputs!$C$53*Timing!$C$28*Inputs!$C$111</f>
        <v>0</v>
      </c>
      <c r="N58" s="23">
        <f>IF(Inputs!$B$53="turbine",N13,IF(Inputs!$B$53="thirds",N12,IF(Inputs!$B$53="atStart",N10,N11)))*Inputs!$C$53*Timing!$C$28*Inputs!$C$111</f>
        <v>0</v>
      </c>
      <c r="O58" s="23">
        <f>IF(Inputs!$B$53="turbine",O13,IF(Inputs!$B$53="thirds",O12,IF(Inputs!$B$53="atStart",O10,O11)))*Inputs!$C$53*Timing!$C$28*Inputs!$C$111</f>
        <v>0</v>
      </c>
      <c r="P58" s="23">
        <f>IF(Inputs!$B$53="turbine",P13,IF(Inputs!$B$53="thirds",P12,IF(Inputs!$B$53="atStart",P10,P11)))*Inputs!$C$53*Timing!$C$28*Inputs!$C$111</f>
        <v>0</v>
      </c>
      <c r="Q58" s="23">
        <f>IF(Inputs!$B$53="turbine",Q13,IF(Inputs!$B$53="thirds",Q12,IF(Inputs!$B$53="atStart",Q10,Q11)))*Inputs!$C$53*Timing!$C$28*Inputs!$C$111</f>
        <v>0</v>
      </c>
      <c r="R58" s="23">
        <f>IF(Inputs!$B$53="turbine",R13,IF(Inputs!$B$53="thirds",R12,IF(Inputs!$B$53="atStart",R10,R11)))*Inputs!$C$53*Timing!$C$28*Inputs!$C$111</f>
        <v>0</v>
      </c>
      <c r="S58" s="23">
        <f>IF(Inputs!$B$53="turbine",S13,IF(Inputs!$B$53="thirds",S12,IF(Inputs!$B$53="atStart",S10,S11)))*Inputs!$C$53*Timing!$C$28*Inputs!$C$111</f>
        <v>0</v>
      </c>
      <c r="T58" s="23">
        <f>IF(Inputs!$B$53="turbine",T13,IF(Inputs!$B$53="thirds",T12,IF(Inputs!$B$53="atStart",T10,T11)))*Inputs!$C$53*Timing!$C$28*Inputs!$C$111</f>
        <v>0</v>
      </c>
      <c r="U58" s="23">
        <f>IF(Inputs!$B$53="turbine",U13,IF(Inputs!$B$53="thirds",U12,IF(Inputs!$B$53="atStart",U10,U11)))*Inputs!$C$53*Timing!$C$28*Inputs!$C$111</f>
        <v>0</v>
      </c>
      <c r="V58" s="23">
        <f>IF(Inputs!$B$53="turbine",V13,IF(Inputs!$B$53="thirds",V12,IF(Inputs!$B$53="atStart",V10,V11)))*Inputs!$C$53*Timing!$C$28*Inputs!$C$111</f>
        <v>0</v>
      </c>
      <c r="W58" s="23">
        <f>IF(Inputs!$B$53="turbine",W13,IF(Inputs!$B$53="thirds",W12,IF(Inputs!$B$53="atStart",W10,W11)))*Inputs!$C$53*Timing!$C$28*Inputs!$C$111</f>
        <v>0</v>
      </c>
    </row>
    <row r="59">
      <c r="A59" s="6" t="inlineStr">
        <is>
          <t xml:space="preserve">Capex: other</t>
        </is>
      </c>
      <c r="B59" s="10" t="inlineStr">
        <is>
          <t xml:space="preserve">€</t>
        </is>
      </c>
      <c r="F59" s="23">
        <f>IF(Inputs!$B$54="turbine",F13,IF(Inputs!$B$54="thirds",F12,IF(Inputs!$B$54="atStart",F10,F11)))*Inputs!$C$54*Timing!$C$28*Inputs!$C$111</f>
        <v>110249.99999999999</v>
      </c>
      <c r="G59" s="23">
        <f>IF(Inputs!$B$54="turbine",G13,IF(Inputs!$B$54="thirds",G12,IF(Inputs!$B$54="atStart",G10,G11)))*Inputs!$C$54*Timing!$C$28*Inputs!$C$111</f>
        <v>110249.99999999999</v>
      </c>
      <c r="H59" s="23">
        <f>IF(Inputs!$B$54="turbine",H13,IF(Inputs!$B$54="thirds",H12,IF(Inputs!$B$54="atStart",H10,H11)))*Inputs!$C$54*Timing!$C$28*Inputs!$C$111</f>
        <v>110249.99999999999</v>
      </c>
      <c r="I59" s="23">
        <f>IF(Inputs!$B$54="turbine",I13,IF(Inputs!$B$54="thirds",I12,IF(Inputs!$B$54="atStart",I10,I11)))*Inputs!$C$54*Timing!$C$28*Inputs!$C$111</f>
        <v>110249.99999999999</v>
      </c>
      <c r="J59" s="23">
        <f>IF(Inputs!$B$54="turbine",J13,IF(Inputs!$B$54="thirds",J12,IF(Inputs!$B$54="atStart",J10,J11)))*Inputs!$C$54*Timing!$C$28*Inputs!$C$111</f>
        <v>110249.99999999999</v>
      </c>
      <c r="K59" s="23">
        <f>IF(Inputs!$B$54="turbine",K13,IF(Inputs!$B$54="thirds",K12,IF(Inputs!$B$54="atStart",K10,K11)))*Inputs!$C$54*Timing!$C$28*Inputs!$C$111</f>
        <v>110249.99999999999</v>
      </c>
      <c r="L59" s="23">
        <f>IF(Inputs!$B$54="turbine",L13,IF(Inputs!$B$54="thirds",L12,IF(Inputs!$B$54="atStart",L10,L11)))*Inputs!$C$54*Timing!$C$28*Inputs!$C$111</f>
        <v>110249.99999999999</v>
      </c>
      <c r="M59" s="23">
        <f>IF(Inputs!$B$54="turbine",M13,IF(Inputs!$B$54="thirds",M12,IF(Inputs!$B$54="atStart",M10,M11)))*Inputs!$C$54*Timing!$C$28*Inputs!$C$111</f>
        <v>110249.99999999999</v>
      </c>
      <c r="N59" s="23">
        <f>IF(Inputs!$B$54="turbine",N13,IF(Inputs!$B$54="thirds",N12,IF(Inputs!$B$54="atStart",N10,N11)))*Inputs!$C$54*Timing!$C$28*Inputs!$C$111</f>
        <v>110249.99999999999</v>
      </c>
      <c r="O59" s="23">
        <f>IF(Inputs!$B$54="turbine",O13,IF(Inputs!$B$54="thirds",O12,IF(Inputs!$B$54="atStart",O10,O11)))*Inputs!$C$54*Timing!$C$28*Inputs!$C$111</f>
        <v>110249.99999999999</v>
      </c>
      <c r="P59" s="23">
        <f>IF(Inputs!$B$54="turbine",P13,IF(Inputs!$B$54="thirds",P12,IF(Inputs!$B$54="atStart",P10,P11)))*Inputs!$C$54*Timing!$C$28*Inputs!$C$111</f>
        <v>110249.99999999999</v>
      </c>
      <c r="Q59" s="23">
        <f>IF(Inputs!$B$54="turbine",Q13,IF(Inputs!$B$54="thirds",Q12,IF(Inputs!$B$54="atStart",Q10,Q11)))*Inputs!$C$54*Timing!$C$28*Inputs!$C$111</f>
        <v>110249.99999999999</v>
      </c>
      <c r="R59" s="23">
        <f>IF(Inputs!$B$54="turbine",R13,IF(Inputs!$B$54="thirds",R12,IF(Inputs!$B$54="atStart",R10,R11)))*Inputs!$C$54*Timing!$C$28*Inputs!$C$111</f>
        <v>110249.99999999999</v>
      </c>
      <c r="S59" s="23">
        <f>IF(Inputs!$B$54="turbine",S13,IF(Inputs!$B$54="thirds",S12,IF(Inputs!$B$54="atStart",S10,S11)))*Inputs!$C$54*Timing!$C$28*Inputs!$C$111</f>
        <v>110249.99999999999</v>
      </c>
      <c r="T59" s="23">
        <f>IF(Inputs!$B$54="turbine",T13,IF(Inputs!$B$54="thirds",T12,IF(Inputs!$B$54="atStart",T10,T11)))*Inputs!$C$54*Timing!$C$28*Inputs!$C$111</f>
        <v>110249.99999999999</v>
      </c>
      <c r="U59" s="23">
        <f>IF(Inputs!$B$54="turbine",U13,IF(Inputs!$B$54="thirds",U12,IF(Inputs!$B$54="atStart",U10,U11)))*Inputs!$C$54*Timing!$C$28*Inputs!$C$111</f>
        <v>110249.99999999999</v>
      </c>
      <c r="V59" s="23">
        <f>IF(Inputs!$B$54="turbine",V13,IF(Inputs!$B$54="thirds",V12,IF(Inputs!$B$54="atStart",V10,V11)))*Inputs!$C$54*Timing!$C$28*Inputs!$C$111</f>
        <v>110249.99999999999</v>
      </c>
      <c r="W59" s="23">
        <f>IF(Inputs!$B$54="turbine",W13,IF(Inputs!$B$54="thirds",W12,IF(Inputs!$B$54="atStart",W10,W11)))*Inputs!$C$54*Timing!$C$28*Inputs!$C$111</f>
        <v>110249.99999999999</v>
      </c>
    </row>
    <row r="60">
      <c r="A60" s="6" t="inlineStr">
        <is>
          <t xml:space="preserve">Capex: contingency</t>
        </is>
      </c>
      <c r="B60" s="10" t="inlineStr">
        <is>
          <t xml:space="preserve">€</t>
        </is>
      </c>
      <c r="F60" s="23">
        <f>F11*SUM(Inputs!$C$48:$C$54)*Inputs!$C$55*Timing!$C$28*Inputs!$C$111</f>
        <v>97075.12499999999</v>
      </c>
      <c r="G60" s="23">
        <f>G11*SUM(Inputs!$C$48:$C$54)*Inputs!$C$55*Timing!$C$28*Inputs!$C$111</f>
        <v>97075.12499999999</v>
      </c>
      <c r="H60" s="23">
        <f>H11*SUM(Inputs!$C$48:$C$54)*Inputs!$C$55*Timing!$C$28*Inputs!$C$111</f>
        <v>97075.12499999999</v>
      </c>
      <c r="I60" s="23">
        <f>I11*SUM(Inputs!$C$48:$C$54)*Inputs!$C$55*Timing!$C$28*Inputs!$C$111</f>
        <v>97075.12499999999</v>
      </c>
      <c r="J60" s="23">
        <f>J11*SUM(Inputs!$C$48:$C$54)*Inputs!$C$55*Timing!$C$28*Inputs!$C$111</f>
        <v>97075.12499999999</v>
      </c>
      <c r="K60" s="23">
        <f>K11*SUM(Inputs!$C$48:$C$54)*Inputs!$C$55*Timing!$C$28*Inputs!$C$111</f>
        <v>97075.12499999999</v>
      </c>
      <c r="L60" s="23">
        <f>L11*SUM(Inputs!$C$48:$C$54)*Inputs!$C$55*Timing!$C$28*Inputs!$C$111</f>
        <v>97075.12499999999</v>
      </c>
      <c r="M60" s="23">
        <f>M11*SUM(Inputs!$C$48:$C$54)*Inputs!$C$55*Timing!$C$28*Inputs!$C$111</f>
        <v>97075.12499999999</v>
      </c>
      <c r="N60" s="23">
        <f>N11*SUM(Inputs!$C$48:$C$54)*Inputs!$C$55*Timing!$C$28*Inputs!$C$111</f>
        <v>97075.12499999999</v>
      </c>
      <c r="O60" s="23">
        <f>O11*SUM(Inputs!$C$48:$C$54)*Inputs!$C$55*Timing!$C$28*Inputs!$C$111</f>
        <v>97075.12499999999</v>
      </c>
      <c r="P60" s="23">
        <f>P11*SUM(Inputs!$C$48:$C$54)*Inputs!$C$55*Timing!$C$28*Inputs!$C$111</f>
        <v>97075.12499999999</v>
      </c>
      <c r="Q60" s="23">
        <f>Q11*SUM(Inputs!$C$48:$C$54)*Inputs!$C$55*Timing!$C$28*Inputs!$C$111</f>
        <v>97075.12499999999</v>
      </c>
      <c r="R60" s="23">
        <f>R11*SUM(Inputs!$C$48:$C$54)*Inputs!$C$55*Timing!$C$28*Inputs!$C$111</f>
        <v>97075.12499999999</v>
      </c>
      <c r="S60" s="23">
        <f>S11*SUM(Inputs!$C$48:$C$54)*Inputs!$C$55*Timing!$C$28*Inputs!$C$111</f>
        <v>97075.12499999999</v>
      </c>
      <c r="T60" s="23">
        <f>T11*SUM(Inputs!$C$48:$C$54)*Inputs!$C$55*Timing!$C$28*Inputs!$C$111</f>
        <v>97075.12499999999</v>
      </c>
      <c r="U60" s="23">
        <f>U11*SUM(Inputs!$C$48:$C$54)*Inputs!$C$55*Timing!$C$28*Inputs!$C$111</f>
        <v>97075.12499999999</v>
      </c>
      <c r="V60" s="23">
        <f>V11*SUM(Inputs!$C$48:$C$54)*Inputs!$C$55*Timing!$C$28*Inputs!$C$111</f>
        <v>97075.12499999999</v>
      </c>
      <c r="W60" s="23">
        <f>W11*SUM(Inputs!$C$48:$C$54)*Inputs!$C$55*Timing!$C$28*Inputs!$C$111</f>
        <v>97075.12499999999</v>
      </c>
    </row>
    <row r="61">
      <c r="A61" s="41" t="inlineStr">
        <is>
          <t xml:space="preserve">Capex</t>
        </is>
      </c>
      <c r="B61" s="10" t="inlineStr">
        <is>
          <t xml:space="preserve">€</t>
        </is>
      </c>
      <c r="F61" s="42">
        <f>SUM(F53,F54,F55,F56,F57,F58,F59,F60)</f>
        <v>11352497.625</v>
      </c>
      <c r="G61" s="42">
        <f>SUM(G53,G54,G55,G56,G57,G58,G59,G60)</f>
        <v>957025.125</v>
      </c>
      <c r="H61" s="42">
        <f>SUM(H53,H54,H55,H56,H57,H58,H59,H60)</f>
        <v>957025.125</v>
      </c>
      <c r="I61" s="42">
        <f>SUM(I53,I54,I55,I56,I57,I58,I59,I60)</f>
        <v>957025.125</v>
      </c>
      <c r="J61" s="42">
        <f>SUM(J53,J54,J55,J56,J57,J58,J59,J60)</f>
        <v>957025.125</v>
      </c>
      <c r="K61" s="42">
        <f>SUM(K53,K54,K55,K56,K57,K58,K59,K60)</f>
        <v>957025.125</v>
      </c>
      <c r="L61" s="42">
        <f>SUM(L53,L54,L55,L56,L57,L58,L59,L60)</f>
        <v>957025.125</v>
      </c>
      <c r="M61" s="42">
        <f>SUM(M53,M54,M55,M56,M57,M58,M59,M60)</f>
        <v>957025.125</v>
      </c>
      <c r="N61" s="42">
        <f>SUM(N53,N54,N55,N56,N57,N58,N59,N60)</f>
        <v>957025.125</v>
      </c>
      <c r="O61" s="42">
        <f>SUM(O53,O54,O55,O56,O57,O58,O59,O60)</f>
        <v>957025.125</v>
      </c>
      <c r="P61" s="42">
        <f>SUM(P53,P54,P55,P56,P57,P58,P59,P60)</f>
        <v>957025.125</v>
      </c>
      <c r="Q61" s="42">
        <f>SUM(Q53,Q54,Q55,Q56,Q57,Q58,Q59,Q60)</f>
        <v>957025.125</v>
      </c>
      <c r="R61" s="42">
        <f>SUM(R53,R54,R55,R56,R57,R58,R59,R60)</f>
        <v>582175.125</v>
      </c>
      <c r="S61" s="42">
        <f>SUM(S53,S54,S55,S56,S57,S58,S59,S60)</f>
        <v>582175.125</v>
      </c>
      <c r="T61" s="42">
        <f>SUM(T53,T54,T55,T56,T57,T58,T59,T60)</f>
        <v>9557627.624999998</v>
      </c>
      <c r="U61" s="42">
        <f>SUM(U53,U54,U55,U56,U57,U58,U59,U60)</f>
        <v>9557627.624999998</v>
      </c>
      <c r="V61" s="42">
        <f>SUM(V53,V54,V55,V56,V57,V58,V59,V60)</f>
        <v>9557627.624999998</v>
      </c>
      <c r="W61" s="42">
        <f>SUM(W53,W54,W55,W56,W57,W58,W59,W60)</f>
        <v>8275420.125000001</v>
      </c>
    </row>
    <row r="62">
      <c r="A62" s="6" t="inlineStr">
        <is>
          <t xml:space="preserve">VAT paid</t>
        </is>
      </c>
      <c r="B62" s="10" t="inlineStr">
        <is>
          <t xml:space="preserve">€</t>
        </is>
      </c>
      <c r="F62" s="23">
        <f>F61*Inputs!$C$56</f>
        <v>2156974.54875</v>
      </c>
      <c r="G62" s="23">
        <f>G61*Inputs!$C$56</f>
        <v>181834.77375</v>
      </c>
      <c r="H62" s="23">
        <f>H61*Inputs!$C$56</f>
        <v>181834.77375</v>
      </c>
      <c r="I62" s="23">
        <f>I61*Inputs!$C$56</f>
        <v>181834.77375</v>
      </c>
      <c r="J62" s="23">
        <f>J61*Inputs!$C$56</f>
        <v>181834.77375</v>
      </c>
      <c r="K62" s="23">
        <f>K61*Inputs!$C$56</f>
        <v>181834.77375</v>
      </c>
      <c r="L62" s="23">
        <f>L61*Inputs!$C$56</f>
        <v>181834.77375</v>
      </c>
      <c r="M62" s="23">
        <f>M61*Inputs!$C$56</f>
        <v>181834.77375</v>
      </c>
      <c r="N62" s="23">
        <f>N61*Inputs!$C$56</f>
        <v>181834.77375</v>
      </c>
      <c r="O62" s="23">
        <f>O61*Inputs!$C$56</f>
        <v>181834.77375</v>
      </c>
      <c r="P62" s="23">
        <f>P61*Inputs!$C$56</f>
        <v>181834.77375</v>
      </c>
      <c r="Q62" s="23">
        <f>Q61*Inputs!$C$56</f>
        <v>181834.77375</v>
      </c>
      <c r="R62" s="23">
        <f>R61*Inputs!$C$56</f>
        <v>110613.27375000001</v>
      </c>
      <c r="S62" s="23">
        <f>S61*Inputs!$C$56</f>
        <v>110613.27375000001</v>
      </c>
      <c r="T62" s="23">
        <f>T61*Inputs!$C$56</f>
        <v>1815949.2487499996</v>
      </c>
      <c r="U62" s="23">
        <f>U61*Inputs!$C$56</f>
        <v>1815949.2487499996</v>
      </c>
      <c r="V62" s="23">
        <f>V61*Inputs!$C$56</f>
        <v>1815949.2487499996</v>
      </c>
      <c r="W62" s="23">
        <f>W61*Inputs!$C$56</f>
        <v>1572329.8237500002</v>
      </c>
    </row>
    <row r="63">
      <c r="A63" s="6" t="inlineStr">
        <is>
          <t xml:space="preserve">VAT refunded</t>
        </is>
      </c>
      <c r="B63" s="10" t="inlineStr">
        <is>
          <t xml:space="preserve">€</t>
        </is>
      </c>
      <c r="F63" s="23">
        <f>IF(F6-Inputs!$C$57&gt;=1,INDEX($F$62:$W$62,F6-Inputs!$C$57),0)</f>
        <v>0</v>
      </c>
      <c r="G63" s="23">
        <f>IF(G6-Inputs!$C$57&gt;=1,INDEX($F$62:$W$62,G6-Inputs!$C$57),0)</f>
        <v>0</v>
      </c>
      <c r="H63" s="23">
        <f>IF(H6-Inputs!$C$57&gt;=1,INDEX($F$62:$W$62,H6-Inputs!$C$57),0)</f>
        <v>2156974.54875</v>
      </c>
      <c r="I63" s="23">
        <f>IF(I6-Inputs!$C$57&gt;=1,INDEX($F$62:$W$62,I6-Inputs!$C$57),0)</f>
        <v>181834.77375</v>
      </c>
      <c r="J63" s="23">
        <f>IF(J6-Inputs!$C$57&gt;=1,INDEX($F$62:$W$62,J6-Inputs!$C$57),0)</f>
        <v>181834.77375</v>
      </c>
      <c r="K63" s="23">
        <f>IF(K6-Inputs!$C$57&gt;=1,INDEX($F$62:$W$62,K6-Inputs!$C$57),0)</f>
        <v>181834.77375</v>
      </c>
      <c r="L63" s="23">
        <f>IF(L6-Inputs!$C$57&gt;=1,INDEX($F$62:$W$62,L6-Inputs!$C$57),0)</f>
        <v>181834.77375</v>
      </c>
      <c r="M63" s="23">
        <f>IF(M6-Inputs!$C$57&gt;=1,INDEX($F$62:$W$62,M6-Inputs!$C$57),0)</f>
        <v>181834.77375</v>
      </c>
      <c r="N63" s="23">
        <f>IF(N6-Inputs!$C$57&gt;=1,INDEX($F$62:$W$62,N6-Inputs!$C$57),0)</f>
        <v>181834.77375</v>
      </c>
      <c r="O63" s="23">
        <f>IF(O6-Inputs!$C$57&gt;=1,INDEX($F$62:$W$62,O6-Inputs!$C$57),0)</f>
        <v>181834.77375</v>
      </c>
      <c r="P63" s="23">
        <f>IF(P6-Inputs!$C$57&gt;=1,INDEX($F$62:$W$62,P6-Inputs!$C$57),0)</f>
        <v>181834.77375</v>
      </c>
      <c r="Q63" s="23">
        <f>IF(Q6-Inputs!$C$57&gt;=1,INDEX($F$62:$W$62,Q6-Inputs!$C$57),0)</f>
        <v>181834.77375</v>
      </c>
      <c r="R63" s="23">
        <f>IF(R6-Inputs!$C$57&gt;=1,INDEX($F$62:$W$62,R6-Inputs!$C$57),0)</f>
        <v>181834.77375</v>
      </c>
      <c r="S63" s="23">
        <f>IF(S6-Inputs!$C$57&gt;=1,INDEX($F$62:$W$62,S6-Inputs!$C$57),0)</f>
        <v>181834.77375</v>
      </c>
      <c r="T63" s="23">
        <f>IF(T6-Inputs!$C$57&gt;=1,INDEX($F$62:$W$62,T6-Inputs!$C$57),0)</f>
        <v>110613.27375000001</v>
      </c>
      <c r="U63" s="23">
        <f>IF(U6-Inputs!$C$57&gt;=1,INDEX($F$62:$W$62,U6-Inputs!$C$57),0)</f>
        <v>110613.27375000001</v>
      </c>
      <c r="V63" s="23">
        <f>IF(V6-Inputs!$C$57&gt;=1,INDEX($F$62:$W$62,V6-Inputs!$C$57),0)</f>
        <v>1815949.2487499996</v>
      </c>
      <c r="W63" s="23">
        <f>IF(W6-Inputs!$C$57&gt;=1,INDEX($F$62:$W$62,W6-Inputs!$C$57),0)</f>
        <v>1815949.2487499996</v>
      </c>
    </row>
    <row r="64">
      <c r="A64" s="6" t="inlineStr">
        <is>
          <t xml:space="preserve">VAT bridge loan at month end</t>
        </is>
      </c>
      <c r="B64" s="10" t="inlineStr">
        <is>
          <t xml:space="preserve">€</t>
        </is>
      </c>
      <c r="E64" s="9">
        <v>0</v>
      </c>
      <c r="F64" s="23">
        <f>E64+F62-F63</f>
        <v>2156974.54875</v>
      </c>
      <c r="G64" s="23">
        <f>F64+G62-G63</f>
        <v>2338809.3225000002</v>
      </c>
      <c r="H64" s="23">
        <f>G64+H62-H63</f>
        <v>363669.5475000001</v>
      </c>
      <c r="I64" s="23">
        <f>H64+I62-I63</f>
        <v>363669.5475000001</v>
      </c>
      <c r="J64" s="23">
        <f>I64+J62-J63</f>
        <v>363669.5475000001</v>
      </c>
      <c r="K64" s="23">
        <f>J64+K62-K63</f>
        <v>363669.5475000001</v>
      </c>
      <c r="L64" s="23">
        <f>K64+L62-L63</f>
        <v>363669.5475000001</v>
      </c>
      <c r="M64" s="23">
        <f>L64+M62-M63</f>
        <v>363669.5475000001</v>
      </c>
      <c r="N64" s="23">
        <f>M64+N62-N63</f>
        <v>363669.5475000001</v>
      </c>
      <c r="O64" s="23">
        <f>N64+O62-O63</f>
        <v>363669.5475000001</v>
      </c>
      <c r="P64" s="23">
        <f>O64+P62-P63</f>
        <v>363669.5475000001</v>
      </c>
      <c r="Q64" s="23">
        <f>P64+Q62-Q63</f>
        <v>363669.5475000001</v>
      </c>
      <c r="R64" s="23">
        <f>Q64+R62-R63</f>
        <v>292448.0475000001</v>
      </c>
      <c r="S64" s="23">
        <f>R64+S62-S63</f>
        <v>221226.5475000001</v>
      </c>
      <c r="T64" s="23">
        <f>S64+T62-T63</f>
        <v>1926562.5224999997</v>
      </c>
      <c r="U64" s="23">
        <f>T64+U62-U63</f>
        <v>3631898.4974999996</v>
      </c>
      <c r="V64" s="23">
        <f>U64+V62-V63</f>
        <v>3631898.4974999996</v>
      </c>
      <c r="W64" s="23">
        <f>V64+W62-W63</f>
        <v>3388279.0725000002</v>
      </c>
    </row>
    <row r="65">
      <c r="A65" s="6" t="inlineStr">
        <is>
          <t xml:space="preserve">Months each VAT payment is still open after COD</t>
        </is>
      </c>
      <c r="F65" s="23">
        <f>MAX(0,F6-Inputs!$C$11+Inputs!$C$57)</f>
        <v>0</v>
      </c>
      <c r="G65" s="23">
        <f>MAX(0,G6-Inputs!$C$11+Inputs!$C$57)</f>
        <v>0</v>
      </c>
      <c r="H65" s="23">
        <f>MAX(0,H6-Inputs!$C$11+Inputs!$C$57)</f>
        <v>0</v>
      </c>
      <c r="I65" s="23">
        <f>MAX(0,I6-Inputs!$C$11+Inputs!$C$57)</f>
        <v>0</v>
      </c>
      <c r="J65" s="23">
        <f>MAX(0,J6-Inputs!$C$11+Inputs!$C$57)</f>
        <v>0</v>
      </c>
      <c r="K65" s="23">
        <f>MAX(0,K6-Inputs!$C$11+Inputs!$C$57)</f>
        <v>0</v>
      </c>
      <c r="L65" s="23">
        <f>MAX(0,L6-Inputs!$C$11+Inputs!$C$57)</f>
        <v>0</v>
      </c>
      <c r="M65" s="23">
        <f>MAX(0,M6-Inputs!$C$11+Inputs!$C$57)</f>
        <v>0</v>
      </c>
      <c r="N65" s="23">
        <f>MAX(0,N6-Inputs!$C$11+Inputs!$C$57)</f>
        <v>0</v>
      </c>
      <c r="O65" s="23">
        <f>MAX(0,O6-Inputs!$C$11+Inputs!$C$57)</f>
        <v>0</v>
      </c>
      <c r="P65" s="23">
        <f>MAX(0,P6-Inputs!$C$11+Inputs!$C$57)</f>
        <v>0</v>
      </c>
      <c r="Q65" s="23">
        <f>MAX(0,Q6-Inputs!$C$11+Inputs!$C$57)</f>
        <v>0</v>
      </c>
      <c r="R65" s="23">
        <f>MAX(0,R6-Inputs!$C$11+Inputs!$C$57)</f>
        <v>0</v>
      </c>
      <c r="S65" s="23">
        <f>MAX(0,S6-Inputs!$C$11+Inputs!$C$57)</f>
        <v>0</v>
      </c>
      <c r="T65" s="23">
        <f>MAX(0,T6-Inputs!$C$11+Inputs!$C$57)</f>
        <v>0</v>
      </c>
      <c r="U65" s="23">
        <f>MAX(0,U6-Inputs!$C$11+Inputs!$C$57)</f>
        <v>0</v>
      </c>
      <c r="V65" s="23">
        <f>MAX(0,V6-Inputs!$C$11+Inputs!$C$57)</f>
        <v>1</v>
      </c>
      <c r="W65" s="23">
        <f>MAX(0,W6-Inputs!$C$11+Inputs!$C$57)</f>
        <v>2</v>
      </c>
    </row>
    <row r="66">
      <c r="A66" s="6" t="inlineStr">
        <is>
          <t xml:space="preserve">VAT loan interest after COD, funded at COD</t>
        </is>
      </c>
      <c r="B66" s="10" t="inlineStr">
        <is>
          <t xml:space="preserve">€</t>
        </is>
      </c>
      <c r="C66" s="23">
        <f>(Inputs!$C$74+Inputs!$C$87)/12*SUMPRODUCT($F$62:$W$62,$F$65:$W$65)</f>
        <v>25629.812630625</v>
      </c>
    </row>
    <row r="67">
      <c r="A67" s="6" t="inlineStr">
        <is>
          <t xml:space="preserve">VAT loan interest</t>
        </is>
      </c>
      <c r="B67" s="10" t="inlineStr">
        <is>
          <t xml:space="preserve">€</t>
        </is>
      </c>
      <c r="F67" s="23">
        <f>E64*(Inputs!$C$74+Inputs!$C$87)/12+IF(F6=Inputs!$C$11,$C$66,0)</f>
        <v>0</v>
      </c>
      <c r="G67" s="23">
        <f>F64*(Inputs!$C$74+Inputs!$C$87)/12+IF(G6=Inputs!$C$11,$C$66,0)</f>
        <v>11144.368501875002</v>
      </c>
      <c r="H67" s="23">
        <f>G64*(Inputs!$C$74+Inputs!$C$87)/12+IF(H6=Inputs!$C$11,$C$66,0)</f>
        <v>12083.84816625</v>
      </c>
      <c r="I67" s="23">
        <f>H64*(Inputs!$C$74+Inputs!$C$87)/12+IF(I6=Inputs!$C$11,$C$66,0)</f>
        <v>1878.9593287500004</v>
      </c>
      <c r="J67" s="23">
        <f>I64*(Inputs!$C$74+Inputs!$C$87)/12+IF(J6=Inputs!$C$11,$C$66,0)</f>
        <v>1878.9593287500004</v>
      </c>
      <c r="K67" s="23">
        <f>J64*(Inputs!$C$74+Inputs!$C$87)/12+IF(K6=Inputs!$C$11,$C$66,0)</f>
        <v>1878.9593287500004</v>
      </c>
      <c r="L67" s="23">
        <f>K64*(Inputs!$C$74+Inputs!$C$87)/12+IF(L6=Inputs!$C$11,$C$66,0)</f>
        <v>1878.9593287500004</v>
      </c>
      <c r="M67" s="23">
        <f>L64*(Inputs!$C$74+Inputs!$C$87)/12+IF(M6=Inputs!$C$11,$C$66,0)</f>
        <v>1878.9593287500004</v>
      </c>
      <c r="N67" s="23">
        <f>M64*(Inputs!$C$74+Inputs!$C$87)/12+IF(N6=Inputs!$C$11,$C$66,0)</f>
        <v>1878.9593287500004</v>
      </c>
      <c r="O67" s="23">
        <f>N64*(Inputs!$C$74+Inputs!$C$87)/12+IF(O6=Inputs!$C$11,$C$66,0)</f>
        <v>1878.9593287500004</v>
      </c>
      <c r="P67" s="23">
        <f>O64*(Inputs!$C$74+Inputs!$C$87)/12+IF(P6=Inputs!$C$11,$C$66,0)</f>
        <v>1878.9593287500004</v>
      </c>
      <c r="Q67" s="23">
        <f>P64*(Inputs!$C$74+Inputs!$C$87)/12+IF(Q6=Inputs!$C$11,$C$66,0)</f>
        <v>1878.9593287500004</v>
      </c>
      <c r="R67" s="23">
        <f>Q64*(Inputs!$C$74+Inputs!$C$87)/12+IF(R6=Inputs!$C$11,$C$66,0)</f>
        <v>1878.9593287500004</v>
      </c>
      <c r="S67" s="23">
        <f>R64*(Inputs!$C$74+Inputs!$C$87)/12+IF(S6=Inputs!$C$11,$C$66,0)</f>
        <v>1510.9815787500004</v>
      </c>
      <c r="T67" s="23">
        <f>S64*(Inputs!$C$74+Inputs!$C$87)/12+IF(T6=Inputs!$C$11,$C$66,0)</f>
        <v>1143.0038287500006</v>
      </c>
      <c r="U67" s="23">
        <f>T64*(Inputs!$C$74+Inputs!$C$87)/12+IF(U6=Inputs!$C$11,$C$66,0)</f>
        <v>9953.90636625</v>
      </c>
      <c r="V67" s="23">
        <f>U64*(Inputs!$C$74+Inputs!$C$87)/12+IF(V6=Inputs!$C$11,$C$66,0)</f>
        <v>18764.80890375</v>
      </c>
      <c r="W67" s="23">
        <f>V64*(Inputs!$C$74+Inputs!$C$87)/12+IF(W6=Inputs!$C$11,$C$66,0)</f>
        <v>44394.621534375</v>
      </c>
    </row>
    <row r="68">
      <c r="A68" s="6" t="inlineStr">
        <is>
          <t xml:space="preserve">Upfront fee</t>
        </is>
      </c>
      <c r="B68" s="10" t="inlineStr">
        <is>
          <t xml:space="preserve">€</t>
        </is>
      </c>
      <c r="F68" s="23">
        <f>IF(F6=1,Inputs!$C$83*Inputs!$C$192,0)</f>
        <v>206323.4168303732</v>
      </c>
      <c r="G68" s="23">
        <f>IF(G6=1,Inputs!$C$83*Inputs!$C$192,0)</f>
        <v>0</v>
      </c>
      <c r="H68" s="23">
        <f>IF(H6=1,Inputs!$C$83*Inputs!$C$192,0)</f>
        <v>0</v>
      </c>
      <c r="I68" s="23">
        <f>IF(I6=1,Inputs!$C$83*Inputs!$C$192,0)</f>
        <v>0</v>
      </c>
      <c r="J68" s="23">
        <f>IF(J6=1,Inputs!$C$83*Inputs!$C$192,0)</f>
        <v>0</v>
      </c>
      <c r="K68" s="23">
        <f>IF(K6=1,Inputs!$C$83*Inputs!$C$192,0)</f>
        <v>0</v>
      </c>
      <c r="L68" s="23">
        <f>IF(L6=1,Inputs!$C$83*Inputs!$C$192,0)</f>
        <v>0</v>
      </c>
      <c r="M68" s="23">
        <f>IF(M6=1,Inputs!$C$83*Inputs!$C$192,0)</f>
        <v>0</v>
      </c>
      <c r="N68" s="23">
        <f>IF(N6=1,Inputs!$C$83*Inputs!$C$192,0)</f>
        <v>0</v>
      </c>
      <c r="O68" s="23">
        <f>IF(O6=1,Inputs!$C$83*Inputs!$C$192,0)</f>
        <v>0</v>
      </c>
      <c r="P68" s="23">
        <f>IF(P6=1,Inputs!$C$83*Inputs!$C$192,0)</f>
        <v>0</v>
      </c>
      <c r="Q68" s="23">
        <f>IF(Q6=1,Inputs!$C$83*Inputs!$C$192,0)</f>
        <v>0</v>
      </c>
      <c r="R68" s="23">
        <f>IF(R6=1,Inputs!$C$83*Inputs!$C$192,0)</f>
        <v>0</v>
      </c>
      <c r="S68" s="23">
        <f>IF(S6=1,Inputs!$C$83*Inputs!$C$192,0)</f>
        <v>0</v>
      </c>
      <c r="T68" s="23">
        <f>IF(T6=1,Inputs!$C$83*Inputs!$C$192,0)</f>
        <v>0</v>
      </c>
      <c r="U68" s="23">
        <f>IF(U6=1,Inputs!$C$83*Inputs!$C$192,0)</f>
        <v>0</v>
      </c>
      <c r="V68" s="23">
        <f>IF(V6=1,Inputs!$C$83*Inputs!$C$192,0)</f>
        <v>0</v>
      </c>
      <c r="W68" s="23">
        <f>IF(W6=1,Inputs!$C$83*Inputs!$C$192,0)</f>
        <v>0</v>
      </c>
    </row>
    <row r="69">
      <c r="A69" s="6" t="inlineStr">
        <is>
          <t xml:space="preserve">Commitment fee</t>
        </is>
      </c>
      <c r="B69" s="10" t="inlineStr">
        <is>
          <t xml:space="preserve">€</t>
        </is>
      </c>
      <c r="F69" s="23">
        <f>IF(F6&gt;=Inputs!$C$85,Inputs!$C$84*MAX(0,Inputs!$C$192-E76),0)</f>
        <v>0</v>
      </c>
      <c r="G69" s="23">
        <f>IF(G6&gt;=Inputs!$C$85,Inputs!$C$84*MAX(0,Inputs!$C$192-F76),0)</f>
        <v>0</v>
      </c>
      <c r="H69" s="23">
        <f>IF(H6&gt;=Inputs!$C$85,Inputs!$C$84*MAX(0,Inputs!$C$192-G76),0)</f>
        <v>0</v>
      </c>
      <c r="I69" s="23">
        <f>IF(I6&gt;=Inputs!$C$85,Inputs!$C$84*MAX(0,Inputs!$C$192-H76),0)</f>
        <v>0</v>
      </c>
      <c r="J69" s="23">
        <f>IF(J6&gt;=Inputs!$C$85,Inputs!$C$84*MAX(0,Inputs!$C$192-I76),0)</f>
        <v>0</v>
      </c>
      <c r="K69" s="23">
        <f>IF(K6&gt;=Inputs!$C$85,Inputs!$C$84*MAX(0,Inputs!$C$192-J76),0)</f>
        <v>0</v>
      </c>
      <c r="L69" s="23">
        <f>IF(L6&gt;=Inputs!$C$85,Inputs!$C$84*MAX(0,Inputs!$C$192-K76),0)</f>
        <v>22747.734495570505</v>
      </c>
      <c r="M69" s="23">
        <f>IF(M6&gt;=Inputs!$C$85,Inputs!$C$84*MAX(0,Inputs!$C$192-L76),0)</f>
        <v>22246.899611993933</v>
      </c>
      <c r="N69" s="23">
        <f>IF(N6&gt;=Inputs!$C$85,Inputs!$C$84*MAX(0,Inputs!$C$192-M76),0)</f>
        <v>21745.57298831088</v>
      </c>
      <c r="O69" s="23">
        <f>IF(O6&gt;=Inputs!$C$85,Inputs!$C$84*MAX(0,Inputs!$C$192-N76),0)</f>
        <v>21243.754141710866</v>
      </c>
      <c r="P69" s="23">
        <f>IF(P6&gt;=Inputs!$C$85,Inputs!$C$84*MAX(0,Inputs!$C$192-O76),0)</f>
        <v>20741.442588909373</v>
      </c>
      <c r="Q69" s="23">
        <f>IF(Q6&gt;=Inputs!$C$85,Inputs!$C$84*MAX(0,Inputs!$C$192-P76),0)</f>
        <v>20238.637846147354</v>
      </c>
      <c r="R69" s="23">
        <f>IF(R6&gt;=Inputs!$C$85,Inputs!$C$84*MAX(0,Inputs!$C$192-Q76),0)</f>
        <v>19735.33942919081</v>
      </c>
      <c r="S69" s="23">
        <f>IF(S6&gt;=Inputs!$C$85,Inputs!$C$84*MAX(0,Inputs!$C$192-R76),0)</f>
        <v>19418.16021137156</v>
      </c>
      <c r="T69" s="23">
        <f>IF(T6&gt;=Inputs!$C$85,Inputs!$C$84*MAX(0,Inputs!$C$192-S76),0)</f>
        <v>19100.8527661788</v>
      </c>
      <c r="U69" s="23">
        <f>IF(U6&gt;=Inputs!$C$85,Inputs!$C$84*MAX(0,Inputs!$C$192-T76),0)</f>
        <v>14315.124768260703</v>
      </c>
      <c r="V69" s="23">
        <f>IF(V6&gt;=Inputs!$C$85,Inputs!$C$84*MAX(0,Inputs!$C$192-U76),0)</f>
        <v>9520.311573983017</v>
      </c>
      <c r="W69" s="23">
        <f>IF(W6&gt;=Inputs!$C$85,Inputs!$C$84*MAX(0,Inputs!$C$192-V76),0)</f>
        <v>4716.404263129575</v>
      </c>
    </row>
    <row r="70">
      <c r="A70" s="6" t="inlineStr">
        <is>
          <t xml:space="preserve">Interest during construction</t>
        </is>
      </c>
      <c r="B70" s="10" t="inlineStr">
        <is>
          <t xml:space="preserve">€</t>
        </is>
      </c>
      <c r="F70" s="23">
        <f>E76*Inputs!$C$74/12</f>
        <v>0</v>
      </c>
      <c r="G70" s="23">
        <f>F76*Inputs!$C$74/12</f>
        <v>17103.30456839834</v>
      </c>
      <c r="H70" s="23">
        <f>G76*Inputs!$C$74/12</f>
        <v>18561.188611015667</v>
      </c>
      <c r="I70" s="23">
        <f>H76*Inputs!$C$74/12</f>
        <v>20022.619974029563</v>
      </c>
      <c r="J70" s="23">
        <f>I76*Inputs!$C$74/12</f>
        <v>21471.11385703353</v>
      </c>
      <c r="K70" s="23">
        <f>J76*Inputs!$C$74/12</f>
        <v>22921.75104098115</v>
      </c>
      <c r="L70" s="23">
        <f>K76*Inputs!$C$74/12</f>
        <v>24374.53469726237</v>
      </c>
      <c r="M70" s="23">
        <f>L76*Inputs!$C$74/12</f>
        <v>25863.127267892753</v>
      </c>
      <c r="N70" s="23">
        <f>M76*Inputs!$C$74/12</f>
        <v>27353.181399395155</v>
      </c>
      <c r="O70" s="23">
        <f>N76*Inputs!$C$74/12</f>
        <v>28844.698526789634</v>
      </c>
      <c r="P70" s="23">
        <f>O76*Inputs!$C$74/12</f>
        <v>30337.68008650519</v>
      </c>
      <c r="Q70" s="23">
        <f>P76*Inputs!$C$74/12</f>
        <v>31832.12751638118</v>
      </c>
      <c r="R70" s="23">
        <f>Q76*Inputs!$C$74/12</f>
        <v>33328.04225566869</v>
      </c>
      <c r="S70" s="23">
        <f>R76*Inputs!$C$74/12</f>
        <v>34270.76937529813</v>
      </c>
      <c r="T70" s="23">
        <f>S76*Inputs!$C$74/12</f>
        <v>35213.87761517662</v>
      </c>
      <c r="U70" s="23">
        <f>T76*Inputs!$C$74/12</f>
        <v>49438.12472009985</v>
      </c>
      <c r="V70" s="23">
        <f>U76*Inputs!$C$74/12</f>
        <v>63689.3750475363</v>
      </c>
      <c r="W70" s="23">
        <f>V76*Inputs!$C$74/12</f>
        <v>77967.6551103507</v>
      </c>
    </row>
    <row r="71">
      <c r="A71" s="6" t="inlineStr">
        <is>
          <t xml:space="preserve">Debt service reserve funded at COD</t>
        </is>
      </c>
      <c r="B71" s="10" t="inlineStr">
        <is>
          <t xml:space="preserve">€</t>
        </is>
      </c>
      <c r="F71" s="23">
        <f>IF(F6=Inputs!$C$11,Debt!$C$15,0)</f>
        <v>0</v>
      </c>
      <c r="G71" s="23">
        <f>IF(G6=Inputs!$C$11,Debt!$C$15,0)</f>
        <v>0</v>
      </c>
      <c r="H71" s="23">
        <f>IF(H6=Inputs!$C$11,Debt!$C$15,0)</f>
        <v>0</v>
      </c>
      <c r="I71" s="23">
        <f>IF(I6=Inputs!$C$11,Debt!$C$15,0)</f>
        <v>0</v>
      </c>
      <c r="J71" s="23">
        <f>IF(J6=Inputs!$C$11,Debt!$C$15,0)</f>
        <v>0</v>
      </c>
      <c r="K71" s="23">
        <f>IF(K6=Inputs!$C$11,Debt!$C$15,0)</f>
        <v>0</v>
      </c>
      <c r="L71" s="23">
        <f>IF(L6=Inputs!$C$11,Debt!$C$15,0)</f>
        <v>0</v>
      </c>
      <c r="M71" s="23">
        <f>IF(M6=Inputs!$C$11,Debt!$C$15,0)</f>
        <v>0</v>
      </c>
      <c r="N71" s="23">
        <f>IF(N6=Inputs!$C$11,Debt!$C$15,0)</f>
        <v>0</v>
      </c>
      <c r="O71" s="23">
        <f>IF(O6=Inputs!$C$11,Debt!$C$15,0)</f>
        <v>0</v>
      </c>
      <c r="P71" s="23">
        <f>IF(P6=Inputs!$C$11,Debt!$C$15,0)</f>
        <v>0</v>
      </c>
      <c r="Q71" s="23">
        <f>IF(Q6=Inputs!$C$11,Debt!$C$15,0)</f>
        <v>0</v>
      </c>
      <c r="R71" s="23">
        <f>IF(R6=Inputs!$C$11,Debt!$C$15,0)</f>
        <v>0</v>
      </c>
      <c r="S71" s="23">
        <f>IF(S6=Inputs!$C$11,Debt!$C$15,0)</f>
        <v>0</v>
      </c>
      <c r="T71" s="23">
        <f>IF(T6=Inputs!$C$11,Debt!$C$15,0)</f>
        <v>0</v>
      </c>
      <c r="U71" s="23">
        <f>IF(U6=Inputs!$C$11,Debt!$C$15,0)</f>
        <v>0</v>
      </c>
      <c r="V71" s="23">
        <f>IF(V6=Inputs!$C$11,Debt!$C$15,0)</f>
        <v>0</v>
      </c>
      <c r="W71" s="23">
        <f>IF(W6=Inputs!$C$11,Debt!$C$15,0)</f>
        <v>573287.0601285857</v>
      </c>
    </row>
    <row r="72">
      <c r="A72" s="6" t="inlineStr">
        <is>
          <t xml:space="preserve">Start-up liquidity funded at COD</t>
        </is>
      </c>
      <c r="B72" s="10" t="inlineStr">
        <is>
          <t xml:space="preserve">€</t>
        </is>
      </c>
      <c r="F72" s="23">
        <f>IF(F6=Inputs!$C$11,Operations!$C$60,0)</f>
        <v>0</v>
      </c>
      <c r="G72" s="23">
        <f>IF(G6=Inputs!$C$11,Operations!$C$60,0)</f>
        <v>0</v>
      </c>
      <c r="H72" s="23">
        <f>IF(H6=Inputs!$C$11,Operations!$C$60,0)</f>
        <v>0</v>
      </c>
      <c r="I72" s="23">
        <f>IF(I6=Inputs!$C$11,Operations!$C$60,0)</f>
        <v>0</v>
      </c>
      <c r="J72" s="23">
        <f>IF(J6=Inputs!$C$11,Operations!$C$60,0)</f>
        <v>0</v>
      </c>
      <c r="K72" s="23">
        <f>IF(K6=Inputs!$C$11,Operations!$C$60,0)</f>
        <v>0</v>
      </c>
      <c r="L72" s="23">
        <f>IF(L6=Inputs!$C$11,Operations!$C$60,0)</f>
        <v>0</v>
      </c>
      <c r="M72" s="23">
        <f>IF(M6=Inputs!$C$11,Operations!$C$60,0)</f>
        <v>0</v>
      </c>
      <c r="N72" s="23">
        <f>IF(N6=Inputs!$C$11,Operations!$C$60,0)</f>
        <v>0</v>
      </c>
      <c r="O72" s="23">
        <f>IF(O6=Inputs!$C$11,Operations!$C$60,0)</f>
        <v>0</v>
      </c>
      <c r="P72" s="23">
        <f>IF(P6=Inputs!$C$11,Operations!$C$60,0)</f>
        <v>0</v>
      </c>
      <c r="Q72" s="23">
        <f>IF(Q6=Inputs!$C$11,Operations!$C$60,0)</f>
        <v>0</v>
      </c>
      <c r="R72" s="23">
        <f>IF(R6=Inputs!$C$11,Operations!$C$60,0)</f>
        <v>0</v>
      </c>
      <c r="S72" s="23">
        <f>IF(S6=Inputs!$C$11,Operations!$C$60,0)</f>
        <v>0</v>
      </c>
      <c r="T72" s="23">
        <f>IF(T6=Inputs!$C$11,Operations!$C$60,0)</f>
        <v>0</v>
      </c>
      <c r="U72" s="23">
        <f>IF(U6=Inputs!$C$11,Operations!$C$60,0)</f>
        <v>0</v>
      </c>
      <c r="V72" s="23">
        <f>IF(V6=Inputs!$C$11,Operations!$C$60,0)</f>
        <v>0</v>
      </c>
      <c r="W72" s="23">
        <f>IF(W6=Inputs!$C$11,Operations!$C$60,0)</f>
        <v>498049.00082810305</v>
      </c>
    </row>
    <row r="73">
      <c r="A73" s="41" t="inlineStr">
        <is>
          <t xml:space="preserve">Funding need</t>
        </is>
      </c>
      <c r="B73" s="10" t="inlineStr">
        <is>
          <t xml:space="preserve">€</t>
        </is>
      </c>
      <c r="F73" s="42">
        <f>F61+F68+F69+F70+F67+F71+F72</f>
        <v>11558821.041830374</v>
      </c>
      <c r="G73" s="42">
        <f>G61+G68+G69+G70+G67+G71+G72</f>
        <v>985272.7980702734</v>
      </c>
      <c r="H73" s="42">
        <f>H61+H68+H69+H70+H67+H71+H72</f>
        <v>987670.1617772657</v>
      </c>
      <c r="I73" s="42">
        <f>I61+I68+I69+I70+I67+I71+I72</f>
        <v>978926.7043027796</v>
      </c>
      <c r="J73" s="42">
        <f>J61+J68+J69+J70+J67+J71+J72</f>
        <v>980375.1981857836</v>
      </c>
      <c r="K73" s="42">
        <f>K61+K68+K69+K70+K67+K71+K72</f>
        <v>981825.8353697312</v>
      </c>
      <c r="L73" s="42">
        <f>L61+L68+L69+L70+L67+L71+L72</f>
        <v>1006026.3535215829</v>
      </c>
      <c r="M73" s="42">
        <f>M61+M68+M69+M70+M67+M71+M72</f>
        <v>1007014.1112086367</v>
      </c>
      <c r="N73" s="42">
        <f>N61+N68+N69+N70+N67+N71+N72</f>
        <v>1008002.838716456</v>
      </c>
      <c r="O73" s="42">
        <f>O61+O68+O69+O70+O67+O71+O72</f>
        <v>1008992.5369972505</v>
      </c>
      <c r="P73" s="42">
        <f>P61+P68+P69+P70+P67+P71+P72</f>
        <v>1009983.2070041646</v>
      </c>
      <c r="Q73" s="42">
        <f>Q61+Q68+Q69+Q70+Q67+Q71+Q72</f>
        <v>1010974.8496912787</v>
      </c>
      <c r="R73" s="42">
        <f>R61+R68+R69+R70+R67+R71+R72</f>
        <v>637117.4660136095</v>
      </c>
      <c r="S73" s="42">
        <f>S61+S68+S69+S70+S67+S71+S72</f>
        <v>637375.0361654197</v>
      </c>
      <c r="T73" s="42">
        <f>T61+T68+T69+T70+T67+T71+T72</f>
        <v>9613085.359210104</v>
      </c>
      <c r="U73" s="42">
        <f>U61+U68+U69+U70+U67+U71+U72</f>
        <v>9631334.780854609</v>
      </c>
      <c r="V73" s="42">
        <f>V61+V68+V69+V70+V67+V71+V72</f>
        <v>9649602.120525267</v>
      </c>
      <c r="W73" s="42">
        <f>W61+W68+W69+W70+W67+W71+W72</f>
        <v>9473834.866864545</v>
      </c>
    </row>
    <row r="74">
      <c r="A74" s="6" t="inlineStr">
        <is>
          <t xml:space="preserve">Loan drawn</t>
        </is>
      </c>
      <c r="B74" s="10" t="inlineStr">
        <is>
          <t xml:space="preserve">€</t>
        </is>
      </c>
      <c r="F74" s="23">
        <f>IF(Inputs!$C$88,F73-MIN(F73,MAX(0,$C$52-E77)),$C$51*F73)</f>
        <v>3836255.2302949545</v>
      </c>
      <c r="G74" s="23">
        <f>IF(Inputs!$C$88,G73-MIN(G73,MAX(0,$C$52-F77)),$C$51*G73)</f>
        <v>327002.02825061604</v>
      </c>
      <c r="H74" s="23">
        <f>IF(Inputs!$C$88,H73-MIN(H73,MAX(0,$C$52-G77)),$C$51*H73)</f>
        <v>327797.6889003125</v>
      </c>
      <c r="I74" s="23">
        <f>IF(Inputs!$C$88,I73-MIN(I73,MAX(0,$C$52-H77)),$C$51*I73)</f>
        <v>324895.82422518934</v>
      </c>
      <c r="J74" s="23">
        <f>IF(Inputs!$C$88,J73-MIN(J73,MAX(0,$C$52-I77)),$C$51*J73)</f>
        <v>325376.5646237658</v>
      </c>
      <c r="K74" s="23">
        <f>IF(Inputs!$C$88,K73-MIN(K73,MAX(0,$C$52-J77)),$C$51*K73)</f>
        <v>325858.0163621429</v>
      </c>
      <c r="L74" s="23">
        <f>IF(Inputs!$C$88,L73-MIN(L73,MAX(0,$C$52-K77)),$C$51*L73)</f>
        <v>333889.92238438444</v>
      </c>
      <c r="M74" s="23">
        <f>IF(Inputs!$C$88,M73-MIN(M73,MAX(0,$C$52-L77)),$C$51*M73)</f>
        <v>334217.7491220345</v>
      </c>
      <c r="N74" s="23">
        <f>IF(Inputs!$C$88,N73-MIN(N73,MAX(0,$C$52-M77)),$C$51*N73)</f>
        <v>334545.8977333403</v>
      </c>
      <c r="O74" s="23">
        <f>IF(Inputs!$C$88,O73-MIN(O73,MAX(0,$C$52-N77)),$C$51*O73)</f>
        <v>334874.3685343304</v>
      </c>
      <c r="P74" s="23">
        <f>IF(Inputs!$C$88,P73-MIN(P73,MAX(0,$C$52-O77)),$C$51*P73)</f>
        <v>335203.1618413439</v>
      </c>
      <c r="Q74" s="23">
        <f>IF(Inputs!$C$88,Q73-MIN(Q73,MAX(0,$C$52-P77)),$C$51*Q73)</f>
        <v>335532.27797103033</v>
      </c>
      <c r="R74" s="23">
        <f>IF(Inputs!$C$88,R73-MIN(R73,MAX(0,$C$52-Q77)),$C$51*R73)</f>
        <v>211452.81187950115</v>
      </c>
      <c r="S74" s="23">
        <f>IF(Inputs!$C$88,S73-MIN(S73,MAX(0,$C$52-R77)),$C$51*S73)</f>
        <v>211538.29679517497</v>
      </c>
      <c r="T74" s="23">
        <f>IF(Inputs!$C$88,T73-MIN(T73,MAX(0,$C$52-S77)),$C$51*T73)</f>
        <v>3190485.3319453965</v>
      </c>
      <c r="U74" s="23">
        <f>IF(Inputs!$C$88,U73-MIN(U73,MAX(0,$C$52-T77)),$C$51*U73)</f>
        <v>3196542.1295184563</v>
      </c>
      <c r="V74" s="23">
        <f>IF(Inputs!$C$88,V73-MIN(V73,MAX(0,$C$52-U77)),$C$51*V73)</f>
        <v>3202604.8739022934</v>
      </c>
      <c r="W74" s="23">
        <f>IF(Inputs!$C$88,W73-MIN(W73,MAX(0,$C$52-V77)),$C$51*W73)</f>
        <v>3144269.508752999</v>
      </c>
    </row>
    <row r="75">
      <c r="A75" s="6" t="inlineStr">
        <is>
          <t xml:space="preserve">Equity paid in</t>
        </is>
      </c>
      <c r="B75" s="10" t="inlineStr">
        <is>
          <t xml:space="preserve">€</t>
        </is>
      </c>
      <c r="F75" s="23">
        <f>F73-F74</f>
        <v>7722565.81153542</v>
      </c>
      <c r="G75" s="23">
        <f>G73-G74</f>
        <v>658270.7698196573</v>
      </c>
      <c r="H75" s="23">
        <f>H73-H74</f>
        <v>659872.4728769532</v>
      </c>
      <c r="I75" s="23">
        <f>I73-I74</f>
        <v>654030.8800775902</v>
      </c>
      <c r="J75" s="23">
        <f>J73-J74</f>
        <v>654998.6335620177</v>
      </c>
      <c r="K75" s="23">
        <f>K73-K74</f>
        <v>655967.8190075883</v>
      </c>
      <c r="L75" s="23">
        <f>L73-L74</f>
        <v>672136.4311371985</v>
      </c>
      <c r="M75" s="23">
        <f>M73-M74</f>
        <v>672796.3620866021</v>
      </c>
      <c r="N75" s="23">
        <f>N73-N74</f>
        <v>673456.9409831157</v>
      </c>
      <c r="O75" s="23">
        <f>O73-O74</f>
        <v>674118.1684629201</v>
      </c>
      <c r="P75" s="23">
        <f>P73-P74</f>
        <v>674780.0451628207</v>
      </c>
      <c r="Q75" s="23">
        <f>Q73-Q74</f>
        <v>675442.5717202483</v>
      </c>
      <c r="R75" s="23">
        <f>R73-R74</f>
        <v>425664.6541341084</v>
      </c>
      <c r="S75" s="23">
        <f>S73-S74</f>
        <v>425836.7393702448</v>
      </c>
      <c r="T75" s="23">
        <f>T73-T74</f>
        <v>6422600.027264707</v>
      </c>
      <c r="U75" s="23">
        <f>U73-U74</f>
        <v>6434792.651336152</v>
      </c>
      <c r="V75" s="23">
        <f>V73-V74</f>
        <v>6446997.246622974</v>
      </c>
      <c r="W75" s="23">
        <f>W73-W74</f>
        <v>6329565.358111546</v>
      </c>
    </row>
    <row r="76">
      <c r="A76" s="6" t="inlineStr">
        <is>
          <t xml:space="preserve">Loan drawn to date</t>
        </is>
      </c>
      <c r="B76" s="10" t="inlineStr">
        <is>
          <t xml:space="preserve">€</t>
        </is>
      </c>
      <c r="E76" s="9">
        <v>0</v>
      </c>
      <c r="F76" s="23">
        <f>E76+F74</f>
        <v>3836255.2302949545</v>
      </c>
      <c r="G76" s="23">
        <f>F76+G74</f>
        <v>4163257.2585455705</v>
      </c>
      <c r="H76" s="23">
        <f>G76+H74</f>
        <v>4491054.947445883</v>
      </c>
      <c r="I76" s="23">
        <f>H76+I74</f>
        <v>4815950.771671073</v>
      </c>
      <c r="J76" s="23">
        <f>I76+J74</f>
        <v>5141327.336294838</v>
      </c>
      <c r="K76" s="23">
        <f>J76+K74</f>
        <v>5467185.352656981</v>
      </c>
      <c r="L76" s="23">
        <f>K76+L74</f>
        <v>5801075.275041365</v>
      </c>
      <c r="M76" s="23">
        <f>L76+M74</f>
        <v>6135293.0241634</v>
      </c>
      <c r="N76" s="23">
        <f>M76+N74</f>
        <v>6469838.92189674</v>
      </c>
      <c r="O76" s="23">
        <f>N76+O74</f>
        <v>6804713.29043107</v>
      </c>
      <c r="P76" s="23">
        <f>O76+P74</f>
        <v>7139916.452272414</v>
      </c>
      <c r="Q76" s="23">
        <f>P76+Q74</f>
        <v>7475448.730243444</v>
      </c>
      <c r="R76" s="23">
        <f>Q76+R74</f>
        <v>7686901.542122945</v>
      </c>
      <c r="S76" s="23">
        <f>R76+S74</f>
        <v>7898439.838918121</v>
      </c>
      <c r="T76" s="23">
        <f>S76+T74</f>
        <v>11088925.170863517</v>
      </c>
      <c r="U76" s="23">
        <f>T76+U74</f>
        <v>14285467.300381973</v>
      </c>
      <c r="V76" s="23">
        <f>U76+V74</f>
        <v>17488072.17428427</v>
      </c>
      <c r="W76" s="23">
        <f>V76+W74</f>
        <v>20632341.683037266</v>
      </c>
    </row>
    <row r="77">
      <c r="A77" s="6" t="inlineStr">
        <is>
          <t xml:space="preserve">Equity paid in to date</t>
        </is>
      </c>
      <c r="B77" s="10" t="inlineStr">
        <is>
          <t xml:space="preserve">€</t>
        </is>
      </c>
      <c r="E77" s="9">
        <v>0</v>
      </c>
      <c r="F77" s="23">
        <f>E77+F75</f>
        <v>7722565.81153542</v>
      </c>
      <c r="G77" s="23">
        <f>F77+G75</f>
        <v>8380836.581355077</v>
      </c>
      <c r="H77" s="23">
        <f>G77+H75</f>
        <v>9040709.054232031</v>
      </c>
      <c r="I77" s="23">
        <f>H77+I75</f>
        <v>9694739.93430962</v>
      </c>
      <c r="J77" s="23">
        <f>I77+J75</f>
        <v>10349738.567871638</v>
      </c>
      <c r="K77" s="23">
        <f>J77+K75</f>
        <v>11005706.386879226</v>
      </c>
      <c r="L77" s="23">
        <f>K77+L75</f>
        <v>11677842.818016425</v>
      </c>
      <c r="M77" s="23">
        <f>L77+M75</f>
        <v>12350639.180103026</v>
      </c>
      <c r="N77" s="23">
        <f>M77+N75</f>
        <v>13024096.121086143</v>
      </c>
      <c r="O77" s="23">
        <f>N77+O75</f>
        <v>13698214.289549064</v>
      </c>
      <c r="P77" s="23">
        <f>O77+P75</f>
        <v>14372994.334711885</v>
      </c>
      <c r="Q77" s="23">
        <f>P77+Q75</f>
        <v>15048436.906432133</v>
      </c>
      <c r="R77" s="23">
        <f>Q77+R75</f>
        <v>15474101.56056624</v>
      </c>
      <c r="S77" s="23">
        <f>R77+S75</f>
        <v>15899938.299936486</v>
      </c>
      <c r="T77" s="23">
        <f>S77+T75</f>
        <v>22322538.327201195</v>
      </c>
      <c r="U77" s="23">
        <f>T77+U75</f>
        <v>28757330.978537347</v>
      </c>
      <c r="V77" s="23">
        <f>U77+V75</f>
        <v>35204328.22516032</v>
      </c>
      <c r="W77" s="23">
        <f>V77+W75</f>
        <v>41533893.58327187</v>
      </c>
    </row>
    <row r="78">
      <c r="A78" s="41" t="inlineStr">
        <is>
          <t xml:space="preserve">Total uses (sum of the funding need)</t>
        </is>
      </c>
      <c r="B78" s="10" t="inlineStr">
        <is>
          <t xml:space="preserve">€</t>
        </is>
      </c>
      <c r="C78" s="42">
        <f>SUM($F$73:$W$73)</f>
        <v>62166235.26630913</v>
      </c>
    </row>
    <row r="79">
      <c r="A79" s="6" t="inlineStr">
        <is>
          <t xml:space="preserve">Capex</t>
        </is>
      </c>
      <c r="B79" s="10" t="inlineStr">
        <is>
          <t xml:space="preserve">€</t>
        </is>
      </c>
      <c r="C79" s="23">
        <f>SUM($F$61:$W$61)</f>
        <v>59992427.25</v>
      </c>
    </row>
    <row r="80">
      <c r="A80" s="6" t="inlineStr">
        <is>
          <t xml:space="preserve">Equity paid in</t>
        </is>
      </c>
      <c r="B80" s="10" t="inlineStr">
        <is>
          <t xml:space="preserve">€</t>
        </is>
      </c>
      <c r="C80" s="23">
        <f>SUM($F$75:$W$75)</f>
        <v>41533893.58327187</v>
      </c>
    </row>
    <row r="81">
      <c r="A81" s="6" t="inlineStr">
        <is>
          <t xml:space="preserve">Loan drawn</t>
        </is>
      </c>
      <c r="B81" s="10" t="inlineStr">
        <is>
          <t xml:space="preserve">€</t>
        </is>
      </c>
      <c r="C81" s="23">
        <f>SUM($F$74:$W$74)</f>
        <v>20632341.683037266</v>
      </c>
    </row>
    <row r="82">
      <c r="A82" s="6" t="inlineStr">
        <is>
          <t xml:space="preserve">Financing costs (fees, interest, VAT loan interest)</t>
        </is>
      </c>
      <c r="B82" s="10" t="inlineStr">
        <is>
          <t xml:space="preserve">€</t>
        </is>
      </c>
      <c r="C82" s="23">
        <f>SUM($F$68:$W$68,$F$69:$W$69,$F$70:$W$70,$F$67:$W$67)</f>
        <v>1102471.9553524454</v>
      </c>
    </row>
    <row r="83">
      <c r="A83" s="6" t="inlineStr">
        <is>
          <t xml:space="preserve">Depreciable base (uses − DSRA − start-up liquidity)</t>
        </is>
      </c>
      <c r="B83" s="10" t="inlineStr">
        <is>
          <t xml:space="preserve">€</t>
        </is>
      </c>
      <c r="C83" s="23">
        <f>$C$78-Debt!$C$15-Operations!$C$60</f>
        <v>61094899.20535244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Operations</t>
        </is>
      </c>
    </row>
    <row r="2">
      <c r="A2" s="2" t="inlineStr">
        <is>
          <t xml:space="preserve">Energy, prices, EEG premium, operating costs and receivables by case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6">
      <c r="A6" s="5" t="inlineStr">
        <is>
          <t xml:space="preserve">Base</t>
        </is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>
      <c r="A7" s="6" t="inlineStr">
        <is>
          <t xml:space="preserve">Lender's floor: revenue counted up to the AW (1 = yes)</t>
        </is>
      </c>
      <c r="C7" s="23">
        <v>0</v>
      </c>
    </row>
    <row r="8">
      <c r="A8" s="6" t="inlineStr">
        <is>
          <t xml:space="preserve">Two-sided premium in this case (1 = yes)</t>
        </is>
      </c>
      <c r="C8" s="23">
        <f>IF(AND($C$7=0,Inputs!$C$35),1,0)</f>
        <v>0</v>
      </c>
    </row>
    <row r="9">
      <c r="A9" s="6" t="inlineStr">
        <is>
          <t xml:space="preserve">Site quality until the first § 36h review</t>
        </is>
      </c>
      <c r="C9" s="43">
        <f>Inputs!$C$16</f>
        <v>0.68</v>
      </c>
    </row>
    <row r="10">
      <c r="A10" s="6" t="inlineStr">
        <is>
          <t xml:space="preserve">Site quality after the reviews</t>
        </is>
      </c>
      <c r="C10" s="24">
        <f>Inputs!$C$16</f>
        <v>0.68</v>
      </c>
      <c r="D10" s="2" t="inlineStr">
        <is>
          <t xml:space="preserve">no review in this case</t>
        </is>
      </c>
    </row>
    <row r="11">
      <c r="A11" s="6" t="inlineStr">
        <is>
          <t xml:space="preserve">Correction factor until the first review</t>
        </is>
      </c>
      <c r="C11" s="44">
        <f>IF($C$9*100&lt;=IF(Inputs!$C$17,Inputs!$C$187,Inputs!$C$188),IF(Inputs!$C$17,Inputs!$C$185,Inputs!$C$184),IF($C$9*100&gt;=Inputs!$C$189,Inputs!$C$186,INDEX(Inputs!$B$173:$B$183,MATCH($C$9*100,Inputs!$A$173:$A$183,1))+($C$9*100-INDEX(Inputs!$A$173:$A$183,MATCH($C$9*100,Inputs!$A$173:$A$183,1)))/(INDEX(Inputs!$A$173:$A$183,MATCH($C$9*100,Inputs!$A$173:$A$183,1)+1)-INDEX(Inputs!$A$173:$A$183,MATCH($C$9*100,Inputs!$A$173:$A$183,1)))*(INDEX(Inputs!$B$173:$B$183,MATCH($C$9*100,Inputs!$A$173:$A$183,1)+1)-INDEX(Inputs!$B$173:$B$183,MATCH($C$9*100,Inputs!$A$173:$A$183,1)))))</f>
        <v>1.316</v>
      </c>
    </row>
    <row r="12">
      <c r="A12" s="6" t="inlineStr">
        <is>
          <t xml:space="preserve">Correction factor after the reviews</t>
        </is>
      </c>
      <c r="C12" s="44">
        <f>IF($C$10*100&lt;=IF(Inputs!$C$17,Inputs!$C$187,Inputs!$C$188),IF(Inputs!$C$17,Inputs!$C$185,Inputs!$C$184),IF($C$10*100&gt;=Inputs!$C$189,Inputs!$C$186,INDEX(Inputs!$B$173:$B$183,MATCH($C$10*100,Inputs!$A$173:$A$183,1))+($C$10*100-INDEX(Inputs!$A$173:$A$183,MATCH($C$10*100,Inputs!$A$173:$A$183,1)))/(INDEX(Inputs!$A$173:$A$183,MATCH($C$10*100,Inputs!$A$173:$A$183,1)+1)-INDEX(Inputs!$A$173:$A$183,MATCH($C$10*100,Inputs!$A$173:$A$183,1)))*(INDEX(Inputs!$B$173:$B$183,MATCH($C$10*100,Inputs!$A$173:$A$183,1)+1)-INDEX(Inputs!$B$173:$B$183,MATCH($C$10*100,Inputs!$A$173:$A$183,1)))))</f>
        <v>1.316</v>
      </c>
    </row>
    <row r="13">
      <c r="A13" s="6" t="inlineStr">
        <is>
          <t xml:space="preserve">AW until the first review (rounded to 0.01 ct)</t>
        </is>
      </c>
      <c r="B13" s="10" t="inlineStr">
        <is>
          <t xml:space="preserve">€/kWh</t>
        </is>
      </c>
      <c r="C13" s="21">
        <f>ROUND(Inputs!$C$27*$C$11,2)/100</f>
        <v>0.063</v>
      </c>
    </row>
    <row r="14">
      <c r="A14" s="6" t="inlineStr">
        <is>
          <t xml:space="preserve">AW after the reviews</t>
        </is>
      </c>
      <c r="B14" s="10" t="inlineStr">
        <is>
          <t xml:space="preserve">€/kWh</t>
        </is>
      </c>
      <c r="C14" s="21">
        <f>ROUND(Inputs!$C$27*$C$12,2)/100</f>
        <v>0.063</v>
      </c>
    </row>
    <row r="15">
      <c r="A15" s="6" t="inlineStr">
        <is>
          <t xml:space="preserve">Baseload price</t>
        </is>
      </c>
      <c r="B15" s="10" t="inlineStr">
        <is>
          <t xml:space="preserve">€/MWh</t>
        </is>
      </c>
      <c r="E15" s="26">
        <f>IF(COUNTIF(Inputs!$A$42:$A$44,Timing!$C$15-1)&gt;0,SUMIFS(Inputs!$B$42:$B$44,Inputs!$A$42:$A$44,Timing!$C$15-1),Inputs!$C$30*Timing!E76)*1</f>
        <v>128.37</v>
      </c>
      <c r="F15" s="26">
        <f>IF(COUNTIF(Inputs!$A$42:$A$44,Timing!F59)&gt;0,SUMIFS(Inputs!$B$42:$B$44,Inputs!$A$42:$A$44,Timing!F59),Inputs!$C$30*Timing!F76)*1</f>
        <v>98.88</v>
      </c>
      <c r="G15" s="26">
        <f>IF(COUNTIF(Inputs!$A$42:$A$44,Timing!G59)&gt;0,SUMIFS(Inputs!$B$42:$B$44,Inputs!$A$42:$A$44,Timing!G59),Inputs!$C$30*Timing!G76)*1</f>
        <v>82.74</v>
      </c>
      <c r="H15" s="26">
        <f>IF(COUNTIF(Inputs!$A$42:$A$44,Timing!H59)&gt;0,SUMIFS(Inputs!$B$42:$B$44,Inputs!$A$42:$A$44,Timing!H59),Inputs!$C$30*Timing!H76)*1</f>
        <v>81.65940939000001</v>
      </c>
      <c r="I15" s="26">
        <f>IF(COUNTIF(Inputs!$A$42:$A$44,Timing!I59)&gt;0,SUMIFS(Inputs!$B$42:$B$44,Inputs!$A$42:$A$44,Timing!I59),Inputs!$C$30*Timing!I76)*1</f>
        <v>83.2925975778</v>
      </c>
      <c r="J15" s="26">
        <f>IF(COUNTIF(Inputs!$A$42:$A$44,Timing!J59)&gt;0,SUMIFS(Inputs!$B$42:$B$44,Inputs!$A$42:$A$44,Timing!J59),Inputs!$C$30*Timing!J76)*1</f>
        <v>84.95844952935599</v>
      </c>
      <c r="K15" s="26">
        <f>IF(COUNTIF(Inputs!$A$42:$A$44,Timing!K59)&gt;0,SUMIFS(Inputs!$B$42:$B$44,Inputs!$A$42:$A$44,Timing!K59),Inputs!$C$30*Timing!K76)*1</f>
        <v>86.65761851994313</v>
      </c>
      <c r="L15" s="26">
        <f>IF(COUNTIF(Inputs!$A$42:$A$44,Timing!L59)&gt;0,SUMIFS(Inputs!$B$42:$B$44,Inputs!$A$42:$A$44,Timing!L59),Inputs!$C$30*Timing!L76)*1</f>
        <v>88.39077089034198</v>
      </c>
      <c r="M15" s="26">
        <f>IF(COUNTIF(Inputs!$A$42:$A$44,Timing!M59)&gt;0,SUMIFS(Inputs!$B$42:$B$44,Inputs!$A$42:$A$44,Timing!M59),Inputs!$C$30*Timing!M76)*1</f>
        <v>90.15858630814881</v>
      </c>
      <c r="N15" s="26">
        <f>IF(COUNTIF(Inputs!$A$42:$A$44,Timing!N59)&gt;0,SUMIFS(Inputs!$B$42:$B$44,Inputs!$A$42:$A$44,Timing!N59),Inputs!$C$30*Timing!N76)*1</f>
        <v>91.96175803431179</v>
      </c>
      <c r="O15" s="26">
        <f>IF(COUNTIF(Inputs!$A$42:$A$44,Timing!O59)&gt;0,SUMIFS(Inputs!$B$42:$B$44,Inputs!$A$42:$A$44,Timing!O59),Inputs!$C$30*Timing!O76)*1</f>
        <v>93.80099319499803</v>
      </c>
      <c r="P15" s="26">
        <f>IF(COUNTIF(Inputs!$A$42:$A$44,Timing!P59)&gt;0,SUMIFS(Inputs!$B$42:$B$44,Inputs!$A$42:$A$44,Timing!P59),Inputs!$C$30*Timing!P76)*1</f>
        <v>95.67701305889798</v>
      </c>
      <c r="Q15" s="26">
        <f>IF(COUNTIF(Inputs!$A$42:$A$44,Timing!Q59)&gt;0,SUMIFS(Inputs!$B$42:$B$44,Inputs!$A$42:$A$44,Timing!Q59),Inputs!$C$30*Timing!Q76)*1</f>
        <v>97.59055332007594</v>
      </c>
      <c r="R15" s="26">
        <f>IF(COUNTIF(Inputs!$A$42:$A$44,Timing!R59)&gt;0,SUMIFS(Inputs!$B$42:$B$44,Inputs!$A$42:$A$44,Timing!R59),Inputs!$C$30*Timing!R76)*1</f>
        <v>99.54236438647747</v>
      </c>
      <c r="S15" s="26">
        <f>IF(COUNTIF(Inputs!$A$42:$A$44,Timing!S59)&gt;0,SUMIFS(Inputs!$B$42:$B$44,Inputs!$A$42:$A$44,Timing!S59),Inputs!$C$30*Timing!S76)*1</f>
        <v>101.53321167420701</v>
      </c>
      <c r="T15" s="26">
        <f>IF(COUNTIF(Inputs!$A$42:$A$44,Timing!T59)&gt;0,SUMIFS(Inputs!$B$42:$B$44,Inputs!$A$42:$A$44,Timing!T59),Inputs!$C$30*Timing!T76)*1</f>
        <v>103.56387590769116</v>
      </c>
      <c r="U15" s="26">
        <f>IF(COUNTIF(Inputs!$A$42:$A$44,Timing!U59)&gt;0,SUMIFS(Inputs!$B$42:$B$44,Inputs!$A$42:$A$44,Timing!U59),Inputs!$C$30*Timing!U76)*1</f>
        <v>105.63515342584496</v>
      </c>
      <c r="V15" s="26">
        <f>IF(COUNTIF(Inputs!$A$42:$A$44,Timing!V59)&gt;0,SUMIFS(Inputs!$B$42:$B$44,Inputs!$A$42:$A$44,Timing!V59),Inputs!$C$30*Timing!V76)*1</f>
        <v>107.74785649436187</v>
      </c>
      <c r="W15" s="26">
        <f>IF(COUNTIF(Inputs!$A$42:$A$44,Timing!W59)&gt;0,SUMIFS(Inputs!$B$42:$B$44,Inputs!$A$42:$A$44,Timing!W59),Inputs!$C$30*Timing!W76)*1</f>
        <v>109.9028136242491</v>
      </c>
      <c r="X15" s="26">
        <f>IF(COUNTIF(Inputs!$A$42:$A$44,Timing!X59)&gt;0,SUMIFS(Inputs!$B$42:$B$44,Inputs!$A$42:$A$44,Timing!X59),Inputs!$C$30*Timing!X76)*1</f>
        <v>112.1008698967341</v>
      </c>
      <c r="Y15" s="26">
        <f>IF(COUNTIF(Inputs!$A$42:$A$44,Timing!Y59)&gt;0,SUMIFS(Inputs!$B$42:$B$44,Inputs!$A$42:$A$44,Timing!Y59),Inputs!$C$30*Timing!Y76)*1</f>
        <v>114.34288729466878</v>
      </c>
      <c r="Z15" s="26">
        <f>IF(COUNTIF(Inputs!$A$42:$A$44,Timing!Z59)&gt;0,SUMIFS(Inputs!$B$42:$B$44,Inputs!$A$42:$A$44,Timing!Z59),Inputs!$C$30*Timing!Z76)*1</f>
        <v>116.62974504056216</v>
      </c>
      <c r="AA15" s="26">
        <f>IF(COUNTIF(Inputs!$A$42:$A$44,Timing!AA59)&gt;0,SUMIFS(Inputs!$B$42:$B$44,Inputs!$A$42:$A$44,Timing!AA59),Inputs!$C$30*Timing!AA76)*1</f>
        <v>118.9623399413734</v>
      </c>
      <c r="AB15" s="26">
        <f>IF(COUNTIF(Inputs!$A$42:$A$44,Timing!AB59)&gt;0,SUMIFS(Inputs!$B$42:$B$44,Inputs!$A$42:$A$44,Timing!AB59),Inputs!$C$30*Timing!AB76)*1</f>
        <v>121.34158674020087</v>
      </c>
      <c r="AC15" s="26">
        <f>IF(COUNTIF(Inputs!$A$42:$A$44,Timing!AC59)&gt;0,SUMIFS(Inputs!$B$42:$B$44,Inputs!$A$42:$A$44,Timing!AC59),Inputs!$C$30*Timing!AC76)*1</f>
        <v>123.76841847500489</v>
      </c>
      <c r="AD15" s="26">
        <f>IF(COUNTIF(Inputs!$A$42:$A$44,Timing!AD59)&gt;0,SUMIFS(Inputs!$B$42:$B$44,Inputs!$A$42:$A$44,Timing!AD59),Inputs!$C$30*Timing!AD76)*1</f>
        <v>126.243786844505</v>
      </c>
      <c r="AE15" s="26">
        <f>IF(COUNTIF(Inputs!$A$42:$A$44,Timing!AE59)&gt;0,SUMIFS(Inputs!$B$42:$B$44,Inputs!$A$42:$A$44,Timing!AE59),Inputs!$C$30*Timing!AE76)*1</f>
        <v>128.76866258139512</v>
      </c>
    </row>
    <row r="16">
      <c r="A16" s="6" t="inlineStr">
        <is>
          <t xml:space="preserve">Market value of wind (JW)</t>
        </is>
      </c>
      <c r="B16" s="10" t="inlineStr">
        <is>
          <t xml:space="preserve">€/kWh</t>
        </is>
      </c>
      <c r="E16" s="37">
        <f>E15*Inputs!$C$31/1000</f>
        <v>0.10269600000000001</v>
      </c>
      <c r="F16" s="37">
        <f>F15*Inputs!$C$31/1000</f>
        <v>0.079104</v>
      </c>
      <c r="G16" s="37">
        <f>G15*Inputs!$C$31/1000</f>
        <v>0.06619199999999999</v>
      </c>
      <c r="H16" s="37">
        <f>H15*Inputs!$C$31/1000</f>
        <v>0.06532752751200001</v>
      </c>
      <c r="I16" s="37">
        <f>I15*Inputs!$C$31/1000</f>
        <v>0.06663407806223999</v>
      </c>
      <c r="J16" s="37">
        <f>J15*Inputs!$C$31/1000</f>
        <v>0.0679667596234848</v>
      </c>
      <c r="K16" s="37">
        <f>K15*Inputs!$C$31/1000</f>
        <v>0.0693260948159545</v>
      </c>
      <c r="L16" s="37">
        <f>L15*Inputs!$C$31/1000</f>
        <v>0.0707126167122736</v>
      </c>
      <c r="M16" s="37">
        <f>M15*Inputs!$C$31/1000</f>
        <v>0.07212686904651905</v>
      </c>
      <c r="N16" s="37">
        <f>N15*Inputs!$C$31/1000</f>
        <v>0.07356940642744944</v>
      </c>
      <c r="O16" s="37">
        <f>O15*Inputs!$C$31/1000</f>
        <v>0.07504079455599844</v>
      </c>
      <c r="P16" s="37">
        <f>P15*Inputs!$C$31/1000</f>
        <v>0.0765416104471184</v>
      </c>
      <c r="Q16" s="37">
        <f>Q15*Inputs!$C$31/1000</f>
        <v>0.07807244265606075</v>
      </c>
      <c r="R16" s="37">
        <f>R15*Inputs!$C$31/1000</f>
        <v>0.07963389150918197</v>
      </c>
      <c r="S16" s="37">
        <f>S15*Inputs!$C$31/1000</f>
        <v>0.08122656933936562</v>
      </c>
      <c r="T16" s="37">
        <f>T15*Inputs!$C$31/1000</f>
        <v>0.08285110072615294</v>
      </c>
      <c r="U16" s="37">
        <f>U15*Inputs!$C$31/1000</f>
        <v>0.08450812274067597</v>
      </c>
      <c r="V16" s="37">
        <f>V15*Inputs!$C$31/1000</f>
        <v>0.0861982851954895</v>
      </c>
      <c r="W16" s="37">
        <f>W15*Inputs!$C$31/1000</f>
        <v>0.08792225089939928</v>
      </c>
      <c r="X16" s="37">
        <f>X15*Inputs!$C$31/1000</f>
        <v>0.08968069591738728</v>
      </c>
      <c r="Y16" s="37">
        <f>Y15*Inputs!$C$31/1000</f>
        <v>0.09147430983573503</v>
      </c>
      <c r="Z16" s="37">
        <f>Z15*Inputs!$C$31/1000</f>
        <v>0.09330379603244973</v>
      </c>
      <c r="AA16" s="37">
        <f>AA15*Inputs!$C$31/1000</f>
        <v>0.09516987195309871</v>
      </c>
      <c r="AB16" s="37">
        <f>AB15*Inputs!$C$31/1000</f>
        <v>0.0970732693921607</v>
      </c>
      <c r="AC16" s="37">
        <f>AC15*Inputs!$C$31/1000</f>
        <v>0.09901473478000392</v>
      </c>
      <c r="AD16" s="37">
        <f>AD15*Inputs!$C$31/1000</f>
        <v>0.100995029475604</v>
      </c>
      <c r="AE16" s="37">
        <f>AE15*Inputs!$C$31/1000</f>
        <v>0.1030149300651161</v>
      </c>
    </row>
    <row r="17">
      <c r="A17" s="6" t="inlineStr">
        <is>
          <t xml:space="preserve">Market value of the year before (basis of the advances, § 26)</t>
        </is>
      </c>
      <c r="B17" s="10" t="inlineStr">
        <is>
          <t xml:space="preserve">€/kWh</t>
        </is>
      </c>
      <c r="F17" s="37">
        <f>E16</f>
        <v>0.10269600000000001</v>
      </c>
      <c r="G17" s="37">
        <f>F16</f>
        <v>0.079104</v>
      </c>
      <c r="H17" s="37">
        <f>G16</f>
        <v>0.06619199999999999</v>
      </c>
      <c r="I17" s="37">
        <f>H16</f>
        <v>0.06532752751200001</v>
      </c>
      <c r="J17" s="37">
        <f>I16</f>
        <v>0.06663407806223999</v>
      </c>
      <c r="K17" s="37">
        <f>J16</f>
        <v>0.0679667596234848</v>
      </c>
      <c r="L17" s="37">
        <f>K16</f>
        <v>0.0693260948159545</v>
      </c>
      <c r="M17" s="37">
        <f>L16</f>
        <v>0.0707126167122736</v>
      </c>
      <c r="N17" s="37">
        <f>M16</f>
        <v>0.07212686904651905</v>
      </c>
      <c r="O17" s="37">
        <f>N16</f>
        <v>0.07356940642744944</v>
      </c>
      <c r="P17" s="37">
        <f>O16</f>
        <v>0.07504079455599844</v>
      </c>
      <c r="Q17" s="37">
        <f>P16</f>
        <v>0.0765416104471184</v>
      </c>
      <c r="R17" s="37">
        <f>Q16</f>
        <v>0.07807244265606075</v>
      </c>
      <c r="S17" s="37">
        <f>R16</f>
        <v>0.07963389150918197</v>
      </c>
      <c r="T17" s="37">
        <f>S16</f>
        <v>0.08122656933936562</v>
      </c>
      <c r="U17" s="37">
        <f>T16</f>
        <v>0.08285110072615294</v>
      </c>
      <c r="V17" s="37">
        <f>U16</f>
        <v>0.08450812274067597</v>
      </c>
      <c r="W17" s="37">
        <f>V16</f>
        <v>0.0861982851954895</v>
      </c>
      <c r="X17" s="37">
        <f>W16</f>
        <v>0.08792225089939928</v>
      </c>
      <c r="Y17" s="37">
        <f>X16</f>
        <v>0.08968069591738728</v>
      </c>
      <c r="Z17" s="37">
        <f>Y16</f>
        <v>0.09147430983573503</v>
      </c>
      <c r="AA17" s="37">
        <f>Z16</f>
        <v>0.09330379603244973</v>
      </c>
      <c r="AB17" s="37">
        <f>AA16</f>
        <v>0.09516987195309871</v>
      </c>
      <c r="AC17" s="37">
        <f>AB16</f>
        <v>0.0970732693921607</v>
      </c>
      <c r="AD17" s="37">
        <f>AC16</f>
        <v>0.09901473478000392</v>
      </c>
      <c r="AE17" s="37">
        <f>AD16</f>
        <v>0.100995029475604</v>
      </c>
    </row>
    <row r="18">
      <c r="A18" s="6" t="inlineStr">
        <is>
          <t xml:space="preserve">Output</t>
        </is>
      </c>
      <c r="B18" s="10" t="inlineStr">
        <is>
          <t xml:space="preserve">kWh</t>
        </is>
      </c>
      <c r="F18" s="23">
        <f>Timing!$C$28*Timing!$C$29*Timing!F66*Timing!F73*1</f>
        <v>38616258.82903982</v>
      </c>
      <c r="G18" s="23">
        <f>Timing!$C$28*Timing!$C$29*Timing!G66*Timing!G73*1</f>
        <v>76659150.16285716</v>
      </c>
      <c r="H18" s="23">
        <f>Timing!$C$28*Timing!$C$29*Timing!H66*Timing!H73*1</f>
        <v>76505831.86253144</v>
      </c>
      <c r="I18" s="23">
        <f>Timing!$C$28*Timing!$C$29*Timing!I66*Timing!I73*1</f>
        <v>76352820.19880639</v>
      </c>
      <c r="J18" s="23">
        <f>Timing!$C$28*Timing!$C$29*Timing!J66*Timing!J73*1</f>
        <v>76200114.55840877</v>
      </c>
      <c r="K18" s="23">
        <f>Timing!$C$28*Timing!$C$29*Timing!K66*Timing!K73*1</f>
        <v>76047714.32929195</v>
      </c>
      <c r="L18" s="23">
        <f>Timing!$C$28*Timing!$C$29*Timing!L66*Timing!L73*1</f>
        <v>75895618.90063336</v>
      </c>
      <c r="M18" s="23">
        <f>Timing!$C$28*Timing!$C$29*Timing!M66*Timing!M73*1</f>
        <v>75743827.6628321</v>
      </c>
      <c r="N18" s="23">
        <f>Timing!$C$28*Timing!$C$29*Timing!N66*Timing!N73*1</f>
        <v>75592340.00750643</v>
      </c>
      <c r="O18" s="23">
        <f>Timing!$C$28*Timing!$C$29*Timing!O66*Timing!O73*1</f>
        <v>75441155.32749143</v>
      </c>
      <c r="P18" s="23">
        <f>Timing!$C$28*Timing!$C$29*Timing!P66*Timing!P73*1</f>
        <v>75290273.01683643</v>
      </c>
      <c r="Q18" s="23">
        <f>Timing!$C$28*Timing!$C$29*Timing!Q66*Timing!Q73*1</f>
        <v>75139692.47080277</v>
      </c>
      <c r="R18" s="23">
        <f>Timing!$C$28*Timing!$C$29*Timing!R66*Timing!R73*1</f>
        <v>74989413.08586116</v>
      </c>
      <c r="S18" s="23">
        <f>Timing!$C$28*Timing!$C$29*Timing!S66*Timing!S73*1</f>
        <v>74839434.25968945</v>
      </c>
      <c r="T18" s="23">
        <f>Timing!$C$28*Timing!$C$29*Timing!T66*Timing!T73*1</f>
        <v>74689755.39117005</v>
      </c>
      <c r="U18" s="23">
        <f>Timing!$C$28*Timing!$C$29*Timing!U66*Timing!U73*1</f>
        <v>74540375.88038772</v>
      </c>
      <c r="V18" s="23">
        <f>Timing!$C$28*Timing!$C$29*Timing!V66*Timing!V73*1</f>
        <v>74391295.12862694</v>
      </c>
      <c r="W18" s="23">
        <f>Timing!$C$28*Timing!$C$29*Timing!W66*Timing!W73*1</f>
        <v>74242512.53836969</v>
      </c>
      <c r="X18" s="23">
        <f>Timing!$C$28*Timing!$C$29*Timing!X66*Timing!X73*1</f>
        <v>74094027.51329295</v>
      </c>
      <c r="Y18" s="23">
        <f>Timing!$C$28*Timing!$C$29*Timing!Y66*Timing!Y73*1</f>
        <v>73945839.45826636</v>
      </c>
      <c r="Z18" s="23">
        <f>Timing!$C$28*Timing!$C$29*Timing!Z66*Timing!Z73*1</f>
        <v>73797947.77934983</v>
      </c>
      <c r="AA18" s="23">
        <f>Timing!$C$28*Timing!$C$29*Timing!AA66*Timing!AA73*1</f>
        <v>73650351.88379113</v>
      </c>
      <c r="AB18" s="23">
        <f>Timing!$C$28*Timing!$C$29*Timing!AB66*Timing!AB73*1</f>
        <v>73503051.18002355</v>
      </c>
      <c r="AC18" s="23">
        <f>Timing!$C$28*Timing!$C$29*Timing!AC66*Timing!AC73*1</f>
        <v>73356045.07766351</v>
      </c>
      <c r="AD18" s="23">
        <f>Timing!$C$28*Timing!$C$29*Timing!AD66*Timing!AD73*1</f>
        <v>73209332.98750818</v>
      </c>
      <c r="AE18" s="23">
        <f>Timing!$C$28*Timing!$C$29*Timing!AE66*Timing!AE73*1</f>
        <v>36231198.60876028</v>
      </c>
    </row>
    <row r="19">
      <c r="A19" s="6" t="inlineStr">
        <is>
          <t xml:space="preserve">Output sold (not curtailed at negative prices)</t>
        </is>
      </c>
      <c r="B19" s="10" t="inlineStr">
        <is>
          <t xml:space="preserve">kWh</t>
        </is>
      </c>
      <c r="F19" s="23">
        <f>F18*(1-Inputs!$C$23)</f>
        <v>36685445.88758783</v>
      </c>
      <c r="G19" s="23">
        <f>G18*(1-Inputs!$C$23)</f>
        <v>72826192.6547143</v>
      </c>
      <c r="H19" s="23">
        <f>H18*(1-Inputs!$C$23)</f>
        <v>72680540.26940486</v>
      </c>
      <c r="I19" s="23">
        <f>I18*(1-Inputs!$C$23)</f>
        <v>72535179.18886606</v>
      </c>
      <c r="J19" s="23">
        <f>J18*(1-Inputs!$C$23)</f>
        <v>72390108.83048832</v>
      </c>
      <c r="K19" s="23">
        <f>K18*(1-Inputs!$C$23)</f>
        <v>72245328.61282736</v>
      </c>
      <c r="L19" s="23">
        <f>L18*(1-Inputs!$C$23)</f>
        <v>72100837.95560169</v>
      </c>
      <c r="M19" s="23">
        <f>M18*(1-Inputs!$C$23)</f>
        <v>71956636.27969049</v>
      </c>
      <c r="N19" s="23">
        <f>N18*(1-Inputs!$C$23)</f>
        <v>71812723.0071311</v>
      </c>
      <c r="O19" s="23">
        <f>O18*(1-Inputs!$C$23)</f>
        <v>71669097.56111686</v>
      </c>
      <c r="P19" s="23">
        <f>P18*(1-Inputs!$C$23)</f>
        <v>71525759.3659946</v>
      </c>
      <c r="Q19" s="23">
        <f>Q18*(1-Inputs!$C$23)</f>
        <v>71382707.84726262</v>
      </c>
      <c r="R19" s="23">
        <f>R18*(1-Inputs!$C$23)</f>
        <v>71239942.4315681</v>
      </c>
      <c r="S19" s="23">
        <f>S18*(1-Inputs!$C$23)</f>
        <v>71097462.54670498</v>
      </c>
      <c r="T19" s="23">
        <f>T18*(1-Inputs!$C$23)</f>
        <v>70955267.62161155</v>
      </c>
      <c r="U19" s="23">
        <f>U18*(1-Inputs!$C$23)</f>
        <v>70813357.08636834</v>
      </c>
      <c r="V19" s="23">
        <f>V18*(1-Inputs!$C$23)</f>
        <v>70671730.37219559</v>
      </c>
      <c r="W19" s="23">
        <f>W18*(1-Inputs!$C$23)</f>
        <v>70530386.91145119</v>
      </c>
      <c r="X19" s="23">
        <f>X18*(1-Inputs!$C$23)</f>
        <v>70389326.1376283</v>
      </c>
      <c r="Y19" s="23">
        <f>Y18*(1-Inputs!$C$23)</f>
        <v>70248547.48535304</v>
      </c>
      <c r="Z19" s="23">
        <f>Z18*(1-Inputs!$C$23)</f>
        <v>70108050.39038233</v>
      </c>
      <c r="AA19" s="23">
        <f>AA18*(1-Inputs!$C$23)</f>
        <v>69967834.28960158</v>
      </c>
      <c r="AB19" s="23">
        <f>AB18*(1-Inputs!$C$23)</f>
        <v>69827898.62102237</v>
      </c>
      <c r="AC19" s="23">
        <f>AC18*(1-Inputs!$C$23)</f>
        <v>69688242.82378033</v>
      </c>
      <c r="AD19" s="23">
        <f>AD18*(1-Inputs!$C$23)</f>
        <v>69548866.33813277</v>
      </c>
      <c r="AE19" s="23">
        <f>AE18*(1-Inputs!$C$23)</f>
        <v>34419638.67832226</v>
      </c>
    </row>
    <row r="20">
      <c r="A20" s="6" t="inlineStr">
        <is>
          <t xml:space="preserve">Output eligible for the premium</t>
        </is>
      </c>
      <c r="B20" s="10" t="inlineStr">
        <is>
          <t xml:space="preserve">kWh</t>
        </is>
      </c>
      <c r="F20" s="23">
        <f>F19*Timing!F69</f>
        <v>36685445.88758783</v>
      </c>
      <c r="G20" s="23">
        <f>G19*Timing!G69</f>
        <v>72826192.6547143</v>
      </c>
      <c r="H20" s="23">
        <f>H19*Timing!H69</f>
        <v>72680540.26940486</v>
      </c>
      <c r="I20" s="23">
        <f>I19*Timing!I69</f>
        <v>72535179.18886606</v>
      </c>
      <c r="J20" s="23">
        <f>J19*Timing!J69</f>
        <v>72390108.83048832</v>
      </c>
      <c r="K20" s="23">
        <f>K19*Timing!K69</f>
        <v>72245328.61282736</v>
      </c>
      <c r="L20" s="23">
        <f>L19*Timing!L69</f>
        <v>72100837.95560169</v>
      </c>
      <c r="M20" s="23">
        <f>M19*Timing!M69</f>
        <v>71956636.27969049</v>
      </c>
      <c r="N20" s="23">
        <f>N19*Timing!N69</f>
        <v>71812723.0071311</v>
      </c>
      <c r="O20" s="23">
        <f>O19*Timing!O69</f>
        <v>71669097.56111686</v>
      </c>
      <c r="P20" s="23">
        <f>P19*Timing!P69</f>
        <v>71525759.3659946</v>
      </c>
      <c r="Q20" s="23">
        <f>Q19*Timing!Q69</f>
        <v>71382707.84726262</v>
      </c>
      <c r="R20" s="23">
        <f>R19*Timing!R69</f>
        <v>71239942.4315681</v>
      </c>
      <c r="S20" s="23">
        <f>S19*Timing!S69</f>
        <v>71097462.54670498</v>
      </c>
      <c r="T20" s="23">
        <f>T19*Timing!T69</f>
        <v>70955267.62161155</v>
      </c>
      <c r="U20" s="23">
        <f>U19*Timing!U69</f>
        <v>70813357.08636834</v>
      </c>
      <c r="V20" s="23">
        <f>V19*Timing!V69</f>
        <v>70671730.37219559</v>
      </c>
      <c r="W20" s="23">
        <f>W19*Timing!W69</f>
        <v>70530386.91145119</v>
      </c>
      <c r="X20" s="23">
        <f>X19*Timing!X69</f>
        <v>70389326.1376283</v>
      </c>
      <c r="Y20" s="23">
        <f>Y19*Timing!Y69</f>
        <v>70248547.48535304</v>
      </c>
      <c r="Z20" s="23">
        <f>Z19*Timing!Z69</f>
        <v>70108050.39038233</v>
      </c>
      <c r="AA20" s="23">
        <f>AA19*Timing!AA69</f>
        <v>53482262.37479134</v>
      </c>
      <c r="AB20" s="23">
        <f>AB19*Timing!AB69</f>
        <v>0</v>
      </c>
      <c r="AC20" s="23">
        <f>AC19*Timing!AC69</f>
        <v>0</v>
      </c>
      <c r="AD20" s="23">
        <f>AD19*Timing!AD69</f>
        <v>0</v>
      </c>
      <c r="AE20" s="23">
        <f>AE19*Timing!AE69</f>
        <v>0</v>
      </c>
    </row>
    <row r="21">
      <c r="A21" s="6" t="inlineStr">
        <is>
          <t xml:space="preserve">Premium per kWh at the first AW</t>
        </is>
      </c>
      <c r="B21" s="10" t="inlineStr">
        <is>
          <t xml:space="preserve">€/kWh</t>
        </is>
      </c>
      <c r="F21" s="37">
        <f>IF($C$8=1,$C$13-F16,MAX(0,$C$13-F16))</f>
        <v>0</v>
      </c>
      <c r="G21" s="37">
        <f>IF($C$8=1,$C$13-G16,MAX(0,$C$13-G16))</f>
        <v>0</v>
      </c>
      <c r="H21" s="37">
        <f>IF($C$8=1,$C$13-H16,MAX(0,$C$13-H16))</f>
        <v>0</v>
      </c>
      <c r="I21" s="37">
        <f>IF($C$8=1,$C$13-I16,MAX(0,$C$13-I16))</f>
        <v>0</v>
      </c>
      <c r="J21" s="37">
        <f>IF($C$8=1,$C$13-J16,MAX(0,$C$13-J16))</f>
        <v>0</v>
      </c>
      <c r="K21" s="37">
        <f>IF($C$8=1,$C$13-K16,MAX(0,$C$13-K16))</f>
        <v>0</v>
      </c>
      <c r="L21" s="37">
        <f>IF($C$8=1,$C$13-L16,MAX(0,$C$13-L16))</f>
        <v>0</v>
      </c>
      <c r="M21" s="37">
        <f>IF($C$8=1,$C$13-M16,MAX(0,$C$13-M16))</f>
        <v>0</v>
      </c>
      <c r="N21" s="37">
        <f>IF($C$8=1,$C$13-N16,MAX(0,$C$13-N16))</f>
        <v>0</v>
      </c>
      <c r="O21" s="37">
        <f>IF($C$8=1,$C$13-O16,MAX(0,$C$13-O16))</f>
        <v>0</v>
      </c>
      <c r="P21" s="37">
        <f>IF($C$8=1,$C$13-P16,MAX(0,$C$13-P16))</f>
        <v>0</v>
      </c>
      <c r="Q21" s="37">
        <f>IF($C$8=1,$C$13-Q16,MAX(0,$C$13-Q16))</f>
        <v>0</v>
      </c>
      <c r="R21" s="37">
        <f>IF($C$8=1,$C$13-R16,MAX(0,$C$13-R16))</f>
        <v>0</v>
      </c>
      <c r="S21" s="37">
        <f>IF($C$8=1,$C$13-S16,MAX(0,$C$13-S16))</f>
        <v>0</v>
      </c>
      <c r="T21" s="37">
        <f>IF($C$8=1,$C$13-T16,MAX(0,$C$13-T16))</f>
        <v>0</v>
      </c>
      <c r="U21" s="37">
        <f>IF($C$8=1,$C$13-U16,MAX(0,$C$13-U16))</f>
        <v>0</v>
      </c>
      <c r="V21" s="37">
        <f>IF($C$8=1,$C$13-V16,MAX(0,$C$13-V16))</f>
        <v>0</v>
      </c>
      <c r="W21" s="37">
        <f>IF($C$8=1,$C$13-W16,MAX(0,$C$13-W16))</f>
        <v>0</v>
      </c>
      <c r="X21" s="37">
        <f>IF($C$8=1,$C$13-X16,MAX(0,$C$13-X16))</f>
        <v>0</v>
      </c>
      <c r="Y21" s="37">
        <f>IF($C$8=1,$C$13-Y16,MAX(0,$C$13-Y16))</f>
        <v>0</v>
      </c>
      <c r="Z21" s="37">
        <f>IF($C$8=1,$C$13-Z16,MAX(0,$C$13-Z16))</f>
        <v>0</v>
      </c>
      <c r="AA21" s="37">
        <f>IF($C$8=1,$C$13-AA16,MAX(0,$C$13-AA16))</f>
        <v>0</v>
      </c>
      <c r="AB21" s="37">
        <f>IF($C$8=1,$C$13-AB16,MAX(0,$C$13-AB16))</f>
        <v>0</v>
      </c>
      <c r="AC21" s="37">
        <f>IF($C$8=1,$C$13-AC16,MAX(0,$C$13-AC16))</f>
        <v>0</v>
      </c>
      <c r="AD21" s="37">
        <f>IF($C$8=1,$C$13-AD16,MAX(0,$C$13-AD16))</f>
        <v>0</v>
      </c>
      <c r="AE21" s="37">
        <f>IF($C$8=1,$C$13-AE16,MAX(0,$C$13-AE16))</f>
        <v>0</v>
      </c>
    </row>
    <row r="22">
      <c r="A22" s="6" t="inlineStr">
        <is>
          <t xml:space="preserve">Premium per kWh at the reviewed AW</t>
        </is>
      </c>
      <c r="B22" s="10" t="inlineStr">
        <is>
          <t xml:space="preserve">€/kWh</t>
        </is>
      </c>
      <c r="F22" s="37">
        <f>IF($C$8=1,$C$14-F16,MAX(0,$C$14-F16))</f>
        <v>0</v>
      </c>
      <c r="G22" s="37">
        <f>IF($C$8=1,$C$14-G16,MAX(0,$C$14-G16))</f>
        <v>0</v>
      </c>
      <c r="H22" s="37">
        <f>IF($C$8=1,$C$14-H16,MAX(0,$C$14-H16))</f>
        <v>0</v>
      </c>
      <c r="I22" s="37">
        <f>IF($C$8=1,$C$14-I16,MAX(0,$C$14-I16))</f>
        <v>0</v>
      </c>
      <c r="J22" s="37">
        <f>IF($C$8=1,$C$14-J16,MAX(0,$C$14-J16))</f>
        <v>0</v>
      </c>
      <c r="K22" s="37">
        <f>IF($C$8=1,$C$14-K16,MAX(0,$C$14-K16))</f>
        <v>0</v>
      </c>
      <c r="L22" s="37">
        <f>IF($C$8=1,$C$14-L16,MAX(0,$C$14-L16))</f>
        <v>0</v>
      </c>
      <c r="M22" s="37">
        <f>IF($C$8=1,$C$14-M16,MAX(0,$C$14-M16))</f>
        <v>0</v>
      </c>
      <c r="N22" s="37">
        <f>IF($C$8=1,$C$14-N16,MAX(0,$C$14-N16))</f>
        <v>0</v>
      </c>
      <c r="O22" s="37">
        <f>IF($C$8=1,$C$14-O16,MAX(0,$C$14-O16))</f>
        <v>0</v>
      </c>
      <c r="P22" s="37">
        <f>IF($C$8=1,$C$14-P16,MAX(0,$C$14-P16))</f>
        <v>0</v>
      </c>
      <c r="Q22" s="37">
        <f>IF($C$8=1,$C$14-Q16,MAX(0,$C$14-Q16))</f>
        <v>0</v>
      </c>
      <c r="R22" s="37">
        <f>IF($C$8=1,$C$14-R16,MAX(0,$C$14-R16))</f>
        <v>0</v>
      </c>
      <c r="S22" s="37">
        <f>IF($C$8=1,$C$14-S16,MAX(0,$C$14-S16))</f>
        <v>0</v>
      </c>
      <c r="T22" s="37">
        <f>IF($C$8=1,$C$14-T16,MAX(0,$C$14-T16))</f>
        <v>0</v>
      </c>
      <c r="U22" s="37">
        <f>IF($C$8=1,$C$14-U16,MAX(0,$C$14-U16))</f>
        <v>0</v>
      </c>
      <c r="V22" s="37">
        <f>IF($C$8=1,$C$14-V16,MAX(0,$C$14-V16))</f>
        <v>0</v>
      </c>
      <c r="W22" s="37">
        <f>IF($C$8=1,$C$14-W16,MAX(0,$C$14-W16))</f>
        <v>0</v>
      </c>
      <c r="X22" s="37">
        <f>IF($C$8=1,$C$14-X16,MAX(0,$C$14-X16))</f>
        <v>0</v>
      </c>
      <c r="Y22" s="37">
        <f>IF($C$8=1,$C$14-Y16,MAX(0,$C$14-Y16))</f>
        <v>0</v>
      </c>
      <c r="Z22" s="37">
        <f>IF($C$8=1,$C$14-Z16,MAX(0,$C$14-Z16))</f>
        <v>0</v>
      </c>
      <c r="AA22" s="37">
        <f>IF($C$8=1,$C$14-AA16,MAX(0,$C$14-AA16))</f>
        <v>0</v>
      </c>
      <c r="AB22" s="37">
        <f>IF($C$8=1,$C$14-AB16,MAX(0,$C$14-AB16))</f>
        <v>0</v>
      </c>
      <c r="AC22" s="37">
        <f>IF($C$8=1,$C$14-AC16,MAX(0,$C$14-AC16))</f>
        <v>0</v>
      </c>
      <c r="AD22" s="37">
        <f>IF($C$8=1,$C$14-AD16,MAX(0,$C$14-AD16))</f>
        <v>0</v>
      </c>
      <c r="AE22" s="37">
        <f>IF($C$8=1,$C$14-AE16,MAX(0,$C$14-AE16))</f>
        <v>0</v>
      </c>
    </row>
    <row r="23">
      <c r="A23" s="6" t="inlineStr">
        <is>
          <t xml:space="preserve">Market premium per kWh (Anlage 1 EEG)</t>
        </is>
      </c>
      <c r="B23" s="10" t="inlineStr">
        <is>
          <t xml:space="preserve">€/kWh</t>
        </is>
      </c>
      <c r="F23" s="37">
        <f>Timing!F77*F21+(Timing!F78+Timing!F79+Timing!F80)*F22</f>
        <v>0</v>
      </c>
      <c r="G23" s="37">
        <f>Timing!G77*G21+(Timing!G78+Timing!G79+Timing!G80)*G22</f>
        <v>0</v>
      </c>
      <c r="H23" s="37">
        <f>Timing!H77*H21+(Timing!H78+Timing!H79+Timing!H80)*H22</f>
        <v>0</v>
      </c>
      <c r="I23" s="37">
        <f>Timing!I77*I21+(Timing!I78+Timing!I79+Timing!I80)*I22</f>
        <v>0</v>
      </c>
      <c r="J23" s="37">
        <f>Timing!J77*J21+(Timing!J78+Timing!J79+Timing!J80)*J22</f>
        <v>0</v>
      </c>
      <c r="K23" s="37">
        <f>Timing!K77*K21+(Timing!K78+Timing!K79+Timing!K80)*K22</f>
        <v>0</v>
      </c>
      <c r="L23" s="37">
        <f>Timing!L77*L21+(Timing!L78+Timing!L79+Timing!L80)*L22</f>
        <v>0</v>
      </c>
      <c r="M23" s="37">
        <f>Timing!M77*M21+(Timing!M78+Timing!M79+Timing!M80)*M22</f>
        <v>0</v>
      </c>
      <c r="N23" s="37">
        <f>Timing!N77*N21+(Timing!N78+Timing!N79+Timing!N80)*N22</f>
        <v>0</v>
      </c>
      <c r="O23" s="37">
        <f>Timing!O77*O21+(Timing!O78+Timing!O79+Timing!O80)*O22</f>
        <v>0</v>
      </c>
      <c r="P23" s="37">
        <f>Timing!P77*P21+(Timing!P78+Timing!P79+Timing!P80)*P22</f>
        <v>0</v>
      </c>
      <c r="Q23" s="37">
        <f>Timing!Q77*Q21+(Timing!Q78+Timing!Q79+Timing!Q80)*Q22</f>
        <v>0</v>
      </c>
      <c r="R23" s="37">
        <f>Timing!R77*R21+(Timing!R78+Timing!R79+Timing!R80)*R22</f>
        <v>0</v>
      </c>
      <c r="S23" s="37">
        <f>Timing!S77*S21+(Timing!S78+Timing!S79+Timing!S80)*S22</f>
        <v>0</v>
      </c>
      <c r="T23" s="37">
        <f>Timing!T77*T21+(Timing!T78+Timing!T79+Timing!T80)*T22</f>
        <v>0</v>
      </c>
      <c r="U23" s="37">
        <f>Timing!U77*U21+(Timing!U78+Timing!U79+Timing!U80)*U22</f>
        <v>0</v>
      </c>
      <c r="V23" s="37">
        <f>Timing!V77*V21+(Timing!V78+Timing!V79+Timing!V80)*V22</f>
        <v>0</v>
      </c>
      <c r="W23" s="37">
        <f>Timing!W77*W21+(Timing!W78+Timing!W79+Timing!W80)*W22</f>
        <v>0</v>
      </c>
      <c r="X23" s="37">
        <f>Timing!X77*X21+(Timing!X78+Timing!X79+Timing!X80)*X22</f>
        <v>0</v>
      </c>
      <c r="Y23" s="37">
        <f>Timing!Y77*Y21+(Timing!Y78+Timing!Y79+Timing!Y80)*Y22</f>
        <v>0</v>
      </c>
      <c r="Z23" s="37">
        <f>Timing!Z77*Z21+(Timing!Z78+Timing!Z79+Timing!Z80)*Z22</f>
        <v>0</v>
      </c>
      <c r="AA23" s="37">
        <f>Timing!AA77*AA21+(Timing!AA78+Timing!AA79+Timing!AA80)*AA22</f>
        <v>0</v>
      </c>
      <c r="AB23" s="37">
        <f>Timing!AB77*AB21+(Timing!AB78+Timing!AB79+Timing!AB80)*AB22</f>
        <v>0</v>
      </c>
      <c r="AC23" s="37">
        <f>Timing!AC77*AC21+(Timing!AC78+Timing!AC79+Timing!AC80)*AC22</f>
        <v>0</v>
      </c>
      <c r="AD23" s="37">
        <f>Timing!AD77*AD21+(Timing!AD78+Timing!AD79+Timing!AD80)*AD22</f>
        <v>0</v>
      </c>
      <c r="AE23" s="37">
        <f>Timing!AE77*AE21+(Timing!AE78+Timing!AE79+Timing!AE80)*AE22</f>
        <v>0</v>
      </c>
    </row>
    <row r="24">
      <c r="A24" s="6" t="inlineStr">
        <is>
          <t xml:space="preserve">Advance per kWh (previous year's market value, never negative)</t>
        </is>
      </c>
      <c r="B24" s="10" t="inlineStr">
        <is>
          <t xml:space="preserve">€/kWh</t>
        </is>
      </c>
      <c r="F24" s="37">
        <f>Timing!F77*MAX(0,$C$13-F17)+(Timing!F78+Timing!F79+Timing!F80)*MAX(0,$C$14-F17)</f>
        <v>0</v>
      </c>
      <c r="G24" s="37">
        <f>Timing!G77*MAX(0,$C$13-G17)+(Timing!G78+Timing!G79+Timing!G80)*MAX(0,$C$14-G17)</f>
        <v>0</v>
      </c>
      <c r="H24" s="37">
        <f>Timing!H77*MAX(0,$C$13-H17)+(Timing!H78+Timing!H79+Timing!H80)*MAX(0,$C$14-H17)</f>
        <v>0</v>
      </c>
      <c r="I24" s="37">
        <f>Timing!I77*MAX(0,$C$13-I17)+(Timing!I78+Timing!I79+Timing!I80)*MAX(0,$C$14-I17)</f>
        <v>0</v>
      </c>
      <c r="J24" s="37">
        <f>Timing!J77*MAX(0,$C$13-J17)+(Timing!J78+Timing!J79+Timing!J80)*MAX(0,$C$14-J17)</f>
        <v>0</v>
      </c>
      <c r="K24" s="37">
        <f>Timing!K77*MAX(0,$C$13-K17)+(Timing!K78+Timing!K79+Timing!K80)*MAX(0,$C$14-K17)</f>
        <v>0</v>
      </c>
      <c r="L24" s="37">
        <f>Timing!L77*MAX(0,$C$13-L17)+(Timing!L78+Timing!L79+Timing!L80)*MAX(0,$C$14-L17)</f>
        <v>0</v>
      </c>
      <c r="M24" s="37">
        <f>Timing!M77*MAX(0,$C$13-M17)+(Timing!M78+Timing!M79+Timing!M80)*MAX(0,$C$14-M17)</f>
        <v>0</v>
      </c>
      <c r="N24" s="37">
        <f>Timing!N77*MAX(0,$C$13-N17)+(Timing!N78+Timing!N79+Timing!N80)*MAX(0,$C$14-N17)</f>
        <v>0</v>
      </c>
      <c r="O24" s="37">
        <f>Timing!O77*MAX(0,$C$13-O17)+(Timing!O78+Timing!O79+Timing!O80)*MAX(0,$C$14-O17)</f>
        <v>0</v>
      </c>
      <c r="P24" s="37">
        <f>Timing!P77*MAX(0,$C$13-P17)+(Timing!P78+Timing!P79+Timing!P80)*MAX(0,$C$14-P17)</f>
        <v>0</v>
      </c>
      <c r="Q24" s="37">
        <f>Timing!Q77*MAX(0,$C$13-Q17)+(Timing!Q78+Timing!Q79+Timing!Q80)*MAX(0,$C$14-Q17)</f>
        <v>0</v>
      </c>
      <c r="R24" s="37">
        <f>Timing!R77*MAX(0,$C$13-R17)+(Timing!R78+Timing!R79+Timing!R80)*MAX(0,$C$14-R17)</f>
        <v>0</v>
      </c>
      <c r="S24" s="37">
        <f>Timing!S77*MAX(0,$C$13-S17)+(Timing!S78+Timing!S79+Timing!S80)*MAX(0,$C$14-S17)</f>
        <v>0</v>
      </c>
      <c r="T24" s="37">
        <f>Timing!T77*MAX(0,$C$13-T17)+(Timing!T78+Timing!T79+Timing!T80)*MAX(0,$C$14-T17)</f>
        <v>0</v>
      </c>
      <c r="U24" s="37">
        <f>Timing!U77*MAX(0,$C$13-U17)+(Timing!U78+Timing!U79+Timing!U80)*MAX(0,$C$14-U17)</f>
        <v>0</v>
      </c>
      <c r="V24" s="37">
        <f>Timing!V77*MAX(0,$C$13-V17)+(Timing!V78+Timing!V79+Timing!V80)*MAX(0,$C$14-V17)</f>
        <v>0</v>
      </c>
      <c r="W24" s="37">
        <f>Timing!W77*MAX(0,$C$13-W17)+(Timing!W78+Timing!W79+Timing!W80)*MAX(0,$C$14-W17)</f>
        <v>0</v>
      </c>
      <c r="X24" s="37">
        <f>Timing!X77*MAX(0,$C$13-X17)+(Timing!X78+Timing!X79+Timing!X80)*MAX(0,$C$14-X17)</f>
        <v>0</v>
      </c>
      <c r="Y24" s="37">
        <f>Timing!Y77*MAX(0,$C$13-Y17)+(Timing!Y78+Timing!Y79+Timing!Y80)*MAX(0,$C$14-Y17)</f>
        <v>0</v>
      </c>
      <c r="Z24" s="37">
        <f>Timing!Z77*MAX(0,$C$13-Z17)+(Timing!Z78+Timing!Z79+Timing!Z80)*MAX(0,$C$14-Z17)</f>
        <v>0</v>
      </c>
      <c r="AA24" s="37">
        <f>Timing!AA77*MAX(0,$C$13-AA17)+(Timing!AA78+Timing!AA79+Timing!AA80)*MAX(0,$C$14-AA17)</f>
        <v>0</v>
      </c>
      <c r="AB24" s="37">
        <f>Timing!AB77*MAX(0,$C$13-AB17)+(Timing!AB78+Timing!AB79+Timing!AB80)*MAX(0,$C$14-AB17)</f>
        <v>0</v>
      </c>
      <c r="AC24" s="37">
        <f>Timing!AC77*MAX(0,$C$13-AC17)+(Timing!AC78+Timing!AC79+Timing!AC80)*MAX(0,$C$14-AC17)</f>
        <v>0</v>
      </c>
      <c r="AD24" s="37">
        <f>Timing!AD77*MAX(0,$C$13-AD17)+(Timing!AD78+Timing!AD79+Timing!AD80)*MAX(0,$C$14-AD17)</f>
        <v>0</v>
      </c>
      <c r="AE24" s="37">
        <f>Timing!AE77*MAX(0,$C$13-AE17)+(Timing!AE78+Timing!AE79+Timing!AE80)*MAX(0,$C$14-AE17)</f>
        <v>0</v>
      </c>
    </row>
    <row r="25">
      <c r="A25" s="6" t="inlineStr">
        <is>
          <t xml:space="preserve">Share of support days with a positive premium</t>
        </is>
      </c>
      <c r="F25" s="21">
        <f>Timing!F77*IF(F21&gt;0,1,0)+(Timing!F78+Timing!F79+Timing!F80)*IF(F22&gt;0,1,0)</f>
        <v>0</v>
      </c>
      <c r="G25" s="21">
        <f>Timing!G77*IF(G21&gt;0,1,0)+(Timing!G78+Timing!G79+Timing!G80)*IF(G22&gt;0,1,0)</f>
        <v>0</v>
      </c>
      <c r="H25" s="21">
        <f>Timing!H77*IF(H21&gt;0,1,0)+(Timing!H78+Timing!H79+Timing!H80)*IF(H22&gt;0,1,0)</f>
        <v>0</v>
      </c>
      <c r="I25" s="21">
        <f>Timing!I77*IF(I21&gt;0,1,0)+(Timing!I78+Timing!I79+Timing!I80)*IF(I22&gt;0,1,0)</f>
        <v>0</v>
      </c>
      <c r="J25" s="21">
        <f>Timing!J77*IF(J21&gt;0,1,0)+(Timing!J78+Timing!J79+Timing!J80)*IF(J22&gt;0,1,0)</f>
        <v>0</v>
      </c>
      <c r="K25" s="21">
        <f>Timing!K77*IF(K21&gt;0,1,0)+(Timing!K78+Timing!K79+Timing!K80)*IF(K22&gt;0,1,0)</f>
        <v>0</v>
      </c>
      <c r="L25" s="21">
        <f>Timing!L77*IF(L21&gt;0,1,0)+(Timing!L78+Timing!L79+Timing!L80)*IF(L22&gt;0,1,0)</f>
        <v>0</v>
      </c>
      <c r="M25" s="21">
        <f>Timing!M77*IF(M21&gt;0,1,0)+(Timing!M78+Timing!M79+Timing!M80)*IF(M22&gt;0,1,0)</f>
        <v>0</v>
      </c>
      <c r="N25" s="21">
        <f>Timing!N77*IF(N21&gt;0,1,0)+(Timing!N78+Timing!N79+Timing!N80)*IF(N22&gt;0,1,0)</f>
        <v>0</v>
      </c>
      <c r="O25" s="21">
        <f>Timing!O77*IF(O21&gt;0,1,0)+(Timing!O78+Timing!O79+Timing!O80)*IF(O22&gt;0,1,0)</f>
        <v>0</v>
      </c>
      <c r="P25" s="21">
        <f>Timing!P77*IF(P21&gt;0,1,0)+(Timing!P78+Timing!P79+Timing!P80)*IF(P22&gt;0,1,0)</f>
        <v>0</v>
      </c>
      <c r="Q25" s="21">
        <f>Timing!Q77*IF(Q21&gt;0,1,0)+(Timing!Q78+Timing!Q79+Timing!Q80)*IF(Q22&gt;0,1,0)</f>
        <v>0</v>
      </c>
      <c r="R25" s="21">
        <f>Timing!R77*IF(R21&gt;0,1,0)+(Timing!R78+Timing!R79+Timing!R80)*IF(R22&gt;0,1,0)</f>
        <v>0</v>
      </c>
      <c r="S25" s="21">
        <f>Timing!S77*IF(S21&gt;0,1,0)+(Timing!S78+Timing!S79+Timing!S80)*IF(S22&gt;0,1,0)</f>
        <v>0</v>
      </c>
      <c r="T25" s="21">
        <f>Timing!T77*IF(T21&gt;0,1,0)+(Timing!T78+Timing!T79+Timing!T80)*IF(T22&gt;0,1,0)</f>
        <v>0</v>
      </c>
      <c r="U25" s="21">
        <f>Timing!U77*IF(U21&gt;0,1,0)+(Timing!U78+Timing!U79+Timing!U80)*IF(U22&gt;0,1,0)</f>
        <v>0</v>
      </c>
      <c r="V25" s="21">
        <f>Timing!V77*IF(V21&gt;0,1,0)+(Timing!V78+Timing!V79+Timing!V80)*IF(V22&gt;0,1,0)</f>
        <v>0</v>
      </c>
      <c r="W25" s="21">
        <f>Timing!W77*IF(W21&gt;0,1,0)+(Timing!W78+Timing!W79+Timing!W80)*IF(W22&gt;0,1,0)</f>
        <v>0</v>
      </c>
      <c r="X25" s="21">
        <f>Timing!X77*IF(X21&gt;0,1,0)+(Timing!X78+Timing!X79+Timing!X80)*IF(X22&gt;0,1,0)</f>
        <v>0</v>
      </c>
      <c r="Y25" s="21">
        <f>Timing!Y77*IF(Y21&gt;0,1,0)+(Timing!Y78+Timing!Y79+Timing!Y80)*IF(Y22&gt;0,1,0)</f>
        <v>0</v>
      </c>
      <c r="Z25" s="21">
        <f>Timing!Z77*IF(Z21&gt;0,1,0)+(Timing!Z78+Timing!Z79+Timing!Z80)*IF(Z22&gt;0,1,0)</f>
        <v>0</v>
      </c>
      <c r="AA25" s="21">
        <f>Timing!AA77*IF(AA21&gt;0,1,0)+(Timing!AA78+Timing!AA79+Timing!AA80)*IF(AA22&gt;0,1,0)</f>
        <v>0</v>
      </c>
      <c r="AB25" s="21">
        <f>Timing!AB77*IF(AB21&gt;0,1,0)+(Timing!AB78+Timing!AB79+Timing!AB80)*IF(AB22&gt;0,1,0)</f>
        <v>0</v>
      </c>
      <c r="AC25" s="21">
        <f>Timing!AC77*IF(AC21&gt;0,1,0)+(Timing!AC78+Timing!AC79+Timing!AC80)*IF(AC22&gt;0,1,0)</f>
        <v>0</v>
      </c>
      <c r="AD25" s="21">
        <f>Timing!AD77*IF(AD21&gt;0,1,0)+(Timing!AD78+Timing!AD79+Timing!AD80)*IF(AD22&gt;0,1,0)</f>
        <v>0</v>
      </c>
      <c r="AE25" s="21">
        <f>Timing!AE77*IF(AE21&gt;0,1,0)+(Timing!AE78+Timing!AE79+Timing!AE80)*IF(AE22&gt;0,1,0)</f>
        <v>0</v>
      </c>
    </row>
    <row r="26">
      <c r="A26" s="6" t="inlineStr">
        <is>
          <t xml:space="preserve">AW in force (day-weighted)</t>
        </is>
      </c>
      <c r="B26" s="10" t="inlineStr">
        <is>
          <t xml:space="preserve">€/kWh</t>
        </is>
      </c>
      <c r="F26" s="37">
        <f>IF(Timing!F69&gt;0,Timing!F77*$C$13+(Timing!F78+Timing!F79+Timing!F80)*$C$14,$C$14)</f>
        <v>0.063</v>
      </c>
      <c r="G26" s="37">
        <f>IF(Timing!G69&gt;0,Timing!G77*$C$13+(Timing!G78+Timing!G79+Timing!G80)*$C$14,$C$14)</f>
        <v>0.063</v>
      </c>
      <c r="H26" s="37">
        <f>IF(Timing!H69&gt;0,Timing!H77*$C$13+(Timing!H78+Timing!H79+Timing!H80)*$C$14,$C$14)</f>
        <v>0.063</v>
      </c>
      <c r="I26" s="37">
        <f>IF(Timing!I69&gt;0,Timing!I77*$C$13+(Timing!I78+Timing!I79+Timing!I80)*$C$14,$C$14)</f>
        <v>0.063</v>
      </c>
      <c r="J26" s="37">
        <f>IF(Timing!J69&gt;0,Timing!J77*$C$13+(Timing!J78+Timing!J79+Timing!J80)*$C$14,$C$14)</f>
        <v>0.063</v>
      </c>
      <c r="K26" s="37">
        <f>IF(Timing!K69&gt;0,Timing!K77*$C$13+(Timing!K78+Timing!K79+Timing!K80)*$C$14,$C$14)</f>
        <v>0.063</v>
      </c>
      <c r="L26" s="37">
        <f>IF(Timing!L69&gt;0,Timing!L77*$C$13+(Timing!L78+Timing!L79+Timing!L80)*$C$14,$C$14)</f>
        <v>0.063</v>
      </c>
      <c r="M26" s="37">
        <f>IF(Timing!M69&gt;0,Timing!M77*$C$13+(Timing!M78+Timing!M79+Timing!M80)*$C$14,$C$14)</f>
        <v>0.063</v>
      </c>
      <c r="N26" s="37">
        <f>IF(Timing!N69&gt;0,Timing!N77*$C$13+(Timing!N78+Timing!N79+Timing!N80)*$C$14,$C$14)</f>
        <v>0.063</v>
      </c>
      <c r="O26" s="37">
        <f>IF(Timing!O69&gt;0,Timing!O77*$C$13+(Timing!O78+Timing!O79+Timing!O80)*$C$14,$C$14)</f>
        <v>0.063</v>
      </c>
      <c r="P26" s="37">
        <f>IF(Timing!P69&gt;0,Timing!P77*$C$13+(Timing!P78+Timing!P79+Timing!P80)*$C$14,$C$14)</f>
        <v>0.063</v>
      </c>
      <c r="Q26" s="37">
        <f>IF(Timing!Q69&gt;0,Timing!Q77*$C$13+(Timing!Q78+Timing!Q79+Timing!Q80)*$C$14,$C$14)</f>
        <v>0.063</v>
      </c>
      <c r="R26" s="37">
        <f>IF(Timing!R69&gt;0,Timing!R77*$C$13+(Timing!R78+Timing!R79+Timing!R80)*$C$14,$C$14)</f>
        <v>0.063</v>
      </c>
      <c r="S26" s="37">
        <f>IF(Timing!S69&gt;0,Timing!S77*$C$13+(Timing!S78+Timing!S79+Timing!S80)*$C$14,$C$14)</f>
        <v>0.063</v>
      </c>
      <c r="T26" s="37">
        <f>IF(Timing!T69&gt;0,Timing!T77*$C$13+(Timing!T78+Timing!T79+Timing!T80)*$C$14,$C$14)</f>
        <v>0.063</v>
      </c>
      <c r="U26" s="37">
        <f>IF(Timing!U69&gt;0,Timing!U77*$C$13+(Timing!U78+Timing!U79+Timing!U80)*$C$14,$C$14)</f>
        <v>0.063</v>
      </c>
      <c r="V26" s="37">
        <f>IF(Timing!V69&gt;0,Timing!V77*$C$13+(Timing!V78+Timing!V79+Timing!V80)*$C$14,$C$14)</f>
        <v>0.063</v>
      </c>
      <c r="W26" s="37">
        <f>IF(Timing!W69&gt;0,Timing!W77*$C$13+(Timing!W78+Timing!W79+Timing!W80)*$C$14,$C$14)</f>
        <v>0.063</v>
      </c>
      <c r="X26" s="37">
        <f>IF(Timing!X69&gt;0,Timing!X77*$C$13+(Timing!X78+Timing!X79+Timing!X80)*$C$14,$C$14)</f>
        <v>0.063</v>
      </c>
      <c r="Y26" s="37">
        <f>IF(Timing!Y69&gt;0,Timing!Y77*$C$13+(Timing!Y78+Timing!Y79+Timing!Y80)*$C$14,$C$14)</f>
        <v>0.063</v>
      </c>
      <c r="Z26" s="37">
        <f>IF(Timing!Z69&gt;0,Timing!Z77*$C$13+(Timing!Z78+Timing!Z79+Timing!Z80)*$C$14,$C$14)</f>
        <v>0.063</v>
      </c>
      <c r="AA26" s="37">
        <f>IF(Timing!AA69&gt;0,Timing!AA77*$C$13+(Timing!AA78+Timing!AA79+Timing!AA80)*$C$14,$C$14)</f>
        <v>0.063</v>
      </c>
      <c r="AB26" s="37">
        <f>IF(Timing!AB69&gt;0,Timing!AB77*$C$13+(Timing!AB78+Timing!AB79+Timing!AB80)*$C$14,$C$14)</f>
        <v>0.063</v>
      </c>
      <c r="AC26" s="37">
        <f>IF(Timing!AC69&gt;0,Timing!AC77*$C$13+(Timing!AC78+Timing!AC79+Timing!AC80)*$C$14,$C$14)</f>
        <v>0.063</v>
      </c>
      <c r="AD26" s="37">
        <f>IF(Timing!AD69&gt;0,Timing!AD77*$C$13+(Timing!AD78+Timing!AD79+Timing!AD80)*$C$14,$C$14)</f>
        <v>0.063</v>
      </c>
      <c r="AE26" s="37">
        <f>IF(Timing!AE69&gt;0,Timing!AE77*$C$13+(Timing!AE78+Timing!AE79+Timing!AE80)*$C$14,$C$14)</f>
        <v>0.063</v>
      </c>
    </row>
    <row r="27">
      <c r="A27" s="6" t="inlineStr">
        <is>
          <t xml:space="preserve">Revenue: market (floor case: up to the AW on output sold)</t>
        </is>
      </c>
      <c r="B27" s="10" t="inlineStr">
        <is>
          <t xml:space="preserve">€</t>
        </is>
      </c>
      <c r="F27" s="23">
        <f>IF($C$7=1,F19*Timing!F69*(Timing!F77*MIN(F16,$C$13)+(Timing!F78+Timing!F79+Timing!F80)*MIN(F16,$C$14)),F18*F16*Timing!F69)</f>
        <v>3054700.5384123656</v>
      </c>
      <c r="G27" s="23">
        <f>IF($C$7=1,G19*Timing!G69*(Timing!G77*MIN(G16,$C$13)+(Timing!G78+Timing!G79+Timing!G80)*MIN(G16,$C$14)),G18*G16*Timing!G69)</f>
        <v>5074222.46757984</v>
      </c>
      <c r="H27" s="23">
        <f>IF($C$7=1,H19*Timing!H69*(Timing!H77*MIN(H16,$C$13)+(Timing!H78+Timing!H79+Timing!H80)*MIN(H16,$C$14)),H18*H16*Timing!H69)</f>
        <v>4997936.835827969</v>
      </c>
      <c r="I27" s="23">
        <f>IF($C$7=1,I19*Timing!I69*(Timing!I77*MIN(I16,$C$13)+(Timing!I78+Timing!I79+Timing!I80)*MIN(I16,$C$14)),I18*I16*Timing!I69)</f>
        <v>5087699.781399439</v>
      </c>
      <c r="J27" s="23">
        <f>IF($C$7=1,J19*Timing!J69*(Timing!J77*MIN(J16,$C$13)+(Timing!J78+Timing!J79+Timing!J80)*MIN(J16,$C$14)),J18*J16*Timing!J69)</f>
        <v>5179074.869473373</v>
      </c>
      <c r="K27" s="23">
        <f>IF($C$7=1,K19*Timing!K69*(Timing!K77*MIN(K16,$C$13)+(Timing!K78+Timing!K79+Timing!K80)*MIN(K16,$C$14)),K18*K16*Timing!K69)</f>
        <v>5272091.054129116</v>
      </c>
      <c r="L27" s="23">
        <f>IF($C$7=1,L19*Timing!L69*(Timing!L77*MIN(L16,$C$13)+(Timing!L78+Timing!L79+Timing!L80)*MIN(L16,$C$14)),L18*L16*Timing!L69)</f>
        <v>5366777.809461274</v>
      </c>
      <c r="M27" s="23">
        <f>IF($C$7=1,M19*Timing!M69*(Timing!M77*MIN(M16,$C$13)+(Timing!M78+Timing!M79+Timing!M80)*MIN(M16,$C$14)),M18*M16*Timing!M69)</f>
        <v>5463165.138919198</v>
      </c>
      <c r="N27" s="23">
        <f>IF($C$7=1,N19*Timing!N69*(Timing!N77*MIN(N16,$C$13)+(Timing!N78+Timing!N79+Timing!N80)*MIN(N16,$C$14)),N18*N16*Timing!N69)</f>
        <v>5561283.584814187</v>
      </c>
      <c r="O27" s="23">
        <f>IF($C$7=1,O19*Timing!O69*(Timing!O77*MIN(O16,$C$13)+(Timing!O78+Timing!O79+Timing!O80)*MIN(O16,$C$14)),O18*O16*Timing!O69)</f>
        <v>5661164.237997452</v>
      </c>
      <c r="P27" s="23">
        <f>IF($C$7=1,P19*Timing!P69*(Timing!P77*MIN(P16,$C$13)+(Timing!P78+Timing!P79+Timing!P80)*MIN(P16,$C$14)),P18*P16*Timing!P69)</f>
        <v>5762838.747711884</v>
      </c>
      <c r="Q27" s="23">
        <f>IF($C$7=1,Q19*Timing!Q69*(Timing!Q77*MIN(Q16,$C$13)+(Timing!Q78+Timing!Q79+Timing!Q80)*MIN(Q16,$C$14)),Q18*Q16*Timing!Q69)</f>
        <v>5866339.331620789</v>
      </c>
      <c r="R27" s="23">
        <f>IF($C$7=1,R19*Timing!R69*(Timing!R77*MIN(R16,$C$13)+(Timing!R78+Timing!R79+Timing!R80)*MIN(R16,$C$14)),R18*R16*Timing!R69)</f>
        <v>5971698.786016699</v>
      </c>
      <c r="S27" s="23">
        <f>IF($C$7=1,S19*Timing!S69*(Timing!S77*MIN(S16,$C$13)+(Timing!S78+Timing!S79+Timing!S80)*MIN(S16,$C$14)),S18*S16*Timing!S69)</f>
        <v>6078950.49621356</v>
      </c>
      <c r="T27" s="23">
        <f>IF($C$7=1,T19*Timing!T69*(Timing!T77*MIN(T16,$C$13)+(Timing!T78+Timing!T79+Timing!T80)*MIN(T16,$C$14)),T18*T16*Timing!T69)</f>
        <v>6188128.447125555</v>
      </c>
      <c r="U27" s="23">
        <f>IF($C$7=1,U19*Timing!U69*(Timing!U77*MIN(U16,$C$13)+(Timing!U78+Timing!U79+Timing!U80)*MIN(U16,$C$14)),U18*U16*Timing!U69)</f>
        <v>6299267.234035929</v>
      </c>
      <c r="V27" s="23">
        <f>IF($C$7=1,V19*Timing!V69*(Timing!V77*MIN(V16,$C$13)+(Timing!V78+Timing!V79+Timing!V80)*MIN(V16,$C$14)),V18*V16*Timing!V69)</f>
        <v>6412402.073559213</v>
      </c>
      <c r="W27" s="23">
        <f>IF($C$7=1,W19*Timing!W69*(Timing!W77*MIN(W16,$C$13)+(Timing!W78+Timing!W79+Timing!W80)*MIN(W16,$C$14)),W18*W16*Timing!W69)</f>
        <v>6527568.814800337</v>
      </c>
      <c r="X27" s="23">
        <f>IF($C$7=1,X19*Timing!X69*(Timing!X77*MIN(X16,$C$13)+(Timing!X78+Timing!X79+Timing!X80)*MIN(X16,$C$14)),X18*X16*Timing!X69)</f>
        <v>6644803.950714152</v>
      </c>
      <c r="Y27" s="23">
        <f>IF($C$7=1,Y19*Timing!Y69*(Timing!Y77*MIN(Y16,$C$13)+(Timing!Y78+Timing!Y79+Timing!Y80)*MIN(Y16,$C$14)),Y18*Y16*Timing!Y69)</f>
        <v>6764144.629668978</v>
      </c>
      <c r="Z27" s="23">
        <f>IF($C$7=1,Z19*Timing!Z69*(Timing!Z77*MIN(Z16,$C$13)+(Timing!Z78+Timing!Z79+Timing!Z80)*MIN(Z16,$C$14)),Z18*Z16*Timing!Z69)</f>
        <v>6885628.667217834</v>
      </c>
      <c r="AA27" s="23">
        <f>IF($C$7=1,AA19*Timing!AA69*(Timing!AA77*MIN(AA16,$C$13)+(Timing!AA78+Timing!AA79+Timing!AA80)*MIN(AA16,$C$14)),AA18*AA16*Timing!AA69)</f>
        <v>5357789.538916759</v>
      </c>
      <c r="AB27" s="23">
        <f>IF($C$7=1,AB19*Timing!AB69*(Timing!AB77*MIN(AB16,$C$13)+(Timing!AB78+Timing!AB79+Timing!AB80)*MIN(AB16,$C$14)),AB18*AB16*Timing!AB69)</f>
        <v>0</v>
      </c>
      <c r="AC27" s="23">
        <f>IF($C$7=1,AC19*Timing!AC69*(Timing!AC77*MIN(AC16,$C$13)+(Timing!AC78+Timing!AC79+Timing!AC80)*MIN(AC16,$C$14)),AC18*AC16*Timing!AC69)</f>
        <v>0</v>
      </c>
      <c r="AD27" s="23">
        <f>IF($C$7=1,AD19*Timing!AD69*(Timing!AD77*MIN(AD16,$C$13)+(Timing!AD78+Timing!AD79+Timing!AD80)*MIN(AD16,$C$14)),AD18*AD16*Timing!AD69)</f>
        <v>0</v>
      </c>
      <c r="AE27" s="23">
        <f>IF($C$7=1,AE19*Timing!AE69*(Timing!AE77*MIN(AE16,$C$13)+(Timing!AE78+Timing!AE79+Timing!AE80)*MIN(AE16,$C$14)),AE18*AE16*Timing!AE69)</f>
        <v>0</v>
      </c>
    </row>
    <row r="28">
      <c r="A28" s="6" t="inlineStr">
        <is>
          <t xml:space="preserve">Revenue: market premium for the year</t>
        </is>
      </c>
      <c r="B28" s="10" t="inlineStr">
        <is>
          <t xml:space="preserve">€</t>
        </is>
      </c>
      <c r="F28" s="23">
        <f>F20*F23</f>
        <v>0</v>
      </c>
      <c r="G28" s="23">
        <f>G20*G23</f>
        <v>0</v>
      </c>
      <c r="H28" s="23">
        <f>H20*H23</f>
        <v>0</v>
      </c>
      <c r="I28" s="23">
        <f>I20*I23</f>
        <v>0</v>
      </c>
      <c r="J28" s="23">
        <f>J20*J23</f>
        <v>0</v>
      </c>
      <c r="K28" s="23">
        <f>K20*K23</f>
        <v>0</v>
      </c>
      <c r="L28" s="23">
        <f>L20*L23</f>
        <v>0</v>
      </c>
      <c r="M28" s="23">
        <f>M20*M23</f>
        <v>0</v>
      </c>
      <c r="N28" s="23">
        <f>N20*N23</f>
        <v>0</v>
      </c>
      <c r="O28" s="23">
        <f>O20*O23</f>
        <v>0</v>
      </c>
      <c r="P28" s="23">
        <f>P20*P23</f>
        <v>0</v>
      </c>
      <c r="Q28" s="23">
        <f>Q20*Q23</f>
        <v>0</v>
      </c>
      <c r="R28" s="23">
        <f>R20*R23</f>
        <v>0</v>
      </c>
      <c r="S28" s="23">
        <f>S20*S23</f>
        <v>0</v>
      </c>
      <c r="T28" s="23">
        <f>T20*T23</f>
        <v>0</v>
      </c>
      <c r="U28" s="23">
        <f>U20*U23</f>
        <v>0</v>
      </c>
      <c r="V28" s="23">
        <f>V20*V23</f>
        <v>0</v>
      </c>
      <c r="W28" s="23">
        <f>W20*W23</f>
        <v>0</v>
      </c>
      <c r="X28" s="23">
        <f>X20*X23</f>
        <v>0</v>
      </c>
      <c r="Y28" s="23">
        <f>Y20*Y23</f>
        <v>0</v>
      </c>
      <c r="Z28" s="23">
        <f>Z20*Z23</f>
        <v>0</v>
      </c>
      <c r="AA28" s="23">
        <f>AA20*AA23</f>
        <v>0</v>
      </c>
      <c r="AB28" s="23">
        <f>AB20*AB23</f>
        <v>0</v>
      </c>
      <c r="AC28" s="23">
        <f>AC20*AC23</f>
        <v>0</v>
      </c>
      <c r="AD28" s="23">
        <f>AD20*AD23</f>
        <v>0</v>
      </c>
      <c r="AE28" s="23">
        <f>AE20*AE23</f>
        <v>0</v>
      </c>
    </row>
    <row r="29">
      <c r="A29" s="6" t="inlineStr">
        <is>
          <t xml:space="preserve">§ 36h: first five years paid again at the reviewed AW</t>
        </is>
      </c>
      <c r="B29" s="10" t="inlineStr">
        <is>
          <t xml:space="preserve">€</t>
        </is>
      </c>
      <c r="F29" s="23">
        <f>F20*Timing!F77*(F22-F21)</f>
        <v>0</v>
      </c>
      <c r="G29" s="23">
        <f>G20*Timing!G77*(G22-G21)</f>
        <v>0</v>
      </c>
      <c r="H29" s="23">
        <f>H20*Timing!H77*(H22-H21)</f>
        <v>0</v>
      </c>
      <c r="I29" s="23">
        <f>I20*Timing!I77*(I22-I21)</f>
        <v>0</v>
      </c>
      <c r="J29" s="23">
        <f>J20*Timing!J77*(J22-J21)</f>
        <v>0</v>
      </c>
      <c r="K29" s="23">
        <f>K20*Timing!K77*(K22-K21)</f>
        <v>0</v>
      </c>
      <c r="L29" s="23">
        <f>L20*Timing!L77*(L22-L21)</f>
        <v>0</v>
      </c>
      <c r="M29" s="23">
        <f>M20*Timing!M77*(M22-M21)</f>
        <v>0</v>
      </c>
      <c r="N29" s="23">
        <f>N20*Timing!N77*(N22-N21)</f>
        <v>0</v>
      </c>
      <c r="O29" s="23">
        <f>O20*Timing!O77*(O22-O21)</f>
        <v>0</v>
      </c>
      <c r="P29" s="23">
        <f>P20*Timing!P77*(P22-P21)</f>
        <v>0</v>
      </c>
      <c r="Q29" s="23">
        <f>Q20*Timing!Q77*(Q22-Q21)</f>
        <v>0</v>
      </c>
      <c r="R29" s="23">
        <f>R20*Timing!R77*(R22-R21)</f>
        <v>0</v>
      </c>
      <c r="S29" s="23">
        <f>S20*Timing!S77*(S22-S21)</f>
        <v>0</v>
      </c>
      <c r="T29" s="23">
        <f>T20*Timing!T77*(T22-T21)</f>
        <v>0</v>
      </c>
      <c r="U29" s="23">
        <f>U20*Timing!U77*(U22-U21)</f>
        <v>0</v>
      </c>
      <c r="V29" s="23">
        <f>V20*Timing!V77*(V22-V21)</f>
        <v>0</v>
      </c>
      <c r="W29" s="23">
        <f>W20*Timing!W77*(W22-W21)</f>
        <v>0</v>
      </c>
      <c r="X29" s="23">
        <f>X20*Timing!X77*(X22-X21)</f>
        <v>0</v>
      </c>
      <c r="Y29" s="23">
        <f>Y20*Timing!Y77*(Y22-Y21)</f>
        <v>0</v>
      </c>
      <c r="Z29" s="23">
        <f>Z20*Timing!Z77*(Z22-Z21)</f>
        <v>0</v>
      </c>
      <c r="AA29" s="23">
        <f>AA20*Timing!AA77*(AA22-AA21)</f>
        <v>0</v>
      </c>
      <c r="AB29" s="23">
        <f>AB20*Timing!AB77*(AB22-AB21)</f>
        <v>0</v>
      </c>
      <c r="AC29" s="23">
        <f>AC20*Timing!AC77*(AC22-AC21)</f>
        <v>0</v>
      </c>
      <c r="AD29" s="23">
        <f>AD20*Timing!AD77*(AD22-AD21)</f>
        <v>0</v>
      </c>
      <c r="AE29" s="23">
        <f>AE20*Timing!AE77*(AE22-AE21)</f>
        <v>0</v>
      </c>
    </row>
    <row r="30">
      <c r="A30" s="6" t="inlineStr">
        <is>
          <t xml:space="preserve">§ 36h settlement (only if the site quality moved by more than 2 points)</t>
        </is>
      </c>
      <c r="B30" s="10" t="inlineStr">
        <is>
          <t xml:space="preserve">€</t>
        </is>
      </c>
      <c r="C30" s="23">
        <f>IF(ABS($C$10-$C$9)&gt;Inputs!$C$143,SUM($F$29:$AE$29),0)</f>
        <v>0</v>
      </c>
    </row>
    <row r="31">
      <c r="A31" s="6" t="inlineStr">
        <is>
          <t xml:space="preserve">Revenue: § 36h settlement, in the year of the first review</t>
        </is>
      </c>
      <c r="B31" s="10" t="inlineStr">
        <is>
          <t xml:space="preserve">€</t>
        </is>
      </c>
      <c r="F31" s="23">
        <f>IF(Timing!F59=YEAR(Timing!$C$12),$C$30,0)</f>
        <v>0</v>
      </c>
      <c r="G31" s="23">
        <f>IF(Timing!G59=YEAR(Timing!$C$12),$C$30,0)</f>
        <v>0</v>
      </c>
      <c r="H31" s="23">
        <f>IF(Timing!H59=YEAR(Timing!$C$12),$C$30,0)</f>
        <v>0</v>
      </c>
      <c r="I31" s="23">
        <f>IF(Timing!I59=YEAR(Timing!$C$12),$C$30,0)</f>
        <v>0</v>
      </c>
      <c r="J31" s="23">
        <f>IF(Timing!J59=YEAR(Timing!$C$12),$C$30,0)</f>
        <v>0</v>
      </c>
      <c r="K31" s="23">
        <f>IF(Timing!K59=YEAR(Timing!$C$12),$C$30,0)</f>
        <v>0</v>
      </c>
      <c r="L31" s="23">
        <f>IF(Timing!L59=YEAR(Timing!$C$12),$C$30,0)</f>
        <v>0</v>
      </c>
      <c r="M31" s="23">
        <f>IF(Timing!M59=YEAR(Timing!$C$12),$C$30,0)</f>
        <v>0</v>
      </c>
      <c r="N31" s="23">
        <f>IF(Timing!N59=YEAR(Timing!$C$12),$C$30,0)</f>
        <v>0</v>
      </c>
      <c r="O31" s="23">
        <f>IF(Timing!O59=YEAR(Timing!$C$12),$C$30,0)</f>
        <v>0</v>
      </c>
      <c r="P31" s="23">
        <f>IF(Timing!P59=YEAR(Timing!$C$12),$C$30,0)</f>
        <v>0</v>
      </c>
      <c r="Q31" s="23">
        <f>IF(Timing!Q59=YEAR(Timing!$C$12),$C$30,0)</f>
        <v>0</v>
      </c>
      <c r="R31" s="23">
        <f>IF(Timing!R59=YEAR(Timing!$C$12),$C$30,0)</f>
        <v>0</v>
      </c>
      <c r="S31" s="23">
        <f>IF(Timing!S59=YEAR(Timing!$C$12),$C$30,0)</f>
        <v>0</v>
      </c>
      <c r="T31" s="23">
        <f>IF(Timing!T59=YEAR(Timing!$C$12),$C$30,0)</f>
        <v>0</v>
      </c>
      <c r="U31" s="23">
        <f>IF(Timing!U59=YEAR(Timing!$C$12),$C$30,0)</f>
        <v>0</v>
      </c>
      <c r="V31" s="23">
        <f>IF(Timing!V59=YEAR(Timing!$C$12),$C$30,0)</f>
        <v>0</v>
      </c>
      <c r="W31" s="23">
        <f>IF(Timing!W59=YEAR(Timing!$C$12),$C$30,0)</f>
        <v>0</v>
      </c>
      <c r="X31" s="23">
        <f>IF(Timing!X59=YEAR(Timing!$C$12),$C$30,0)</f>
        <v>0</v>
      </c>
      <c r="Y31" s="23">
        <f>IF(Timing!Y59=YEAR(Timing!$C$12),$C$30,0)</f>
        <v>0</v>
      </c>
      <c r="Z31" s="23">
        <f>IF(Timing!Z59=YEAR(Timing!$C$12),$C$30,0)</f>
        <v>0</v>
      </c>
      <c r="AA31" s="23">
        <f>IF(Timing!AA59=YEAR(Timing!$C$12),$C$30,0)</f>
        <v>0</v>
      </c>
      <c r="AB31" s="23">
        <f>IF(Timing!AB59=YEAR(Timing!$C$12),$C$30,0)</f>
        <v>0</v>
      </c>
      <c r="AC31" s="23">
        <f>IF(Timing!AC59=YEAR(Timing!$C$12),$C$30,0)</f>
        <v>0</v>
      </c>
      <c r="AD31" s="23">
        <f>IF(Timing!AD59=YEAR(Timing!$C$12),$C$30,0)</f>
        <v>0</v>
      </c>
      <c r="AE31" s="23">
        <f>IF(Timing!AE59=YEAR(Timing!$C$12),$C$30,0)</f>
        <v>0</v>
      </c>
    </row>
    <row r="32">
      <c r="A32" s="6" t="inlineStr">
        <is>
          <t xml:space="preserve">Revenue: market premium</t>
        </is>
      </c>
      <c r="B32" s="10" t="inlineStr">
        <is>
          <t xml:space="preserve">€</t>
        </is>
      </c>
      <c r="F32" s="23">
        <f>F28+F31</f>
        <v>0</v>
      </c>
      <c r="G32" s="23">
        <f>G28+G31</f>
        <v>0</v>
      </c>
      <c r="H32" s="23">
        <f>H28+H31</f>
        <v>0</v>
      </c>
      <c r="I32" s="23">
        <f>I28+I31</f>
        <v>0</v>
      </c>
      <c r="J32" s="23">
        <f>J28+J31</f>
        <v>0</v>
      </c>
      <c r="K32" s="23">
        <f>K28+K31</f>
        <v>0</v>
      </c>
      <c r="L32" s="23">
        <f>L28+L31</f>
        <v>0</v>
      </c>
      <c r="M32" s="23">
        <f>M28+M31</f>
        <v>0</v>
      </c>
      <c r="N32" s="23">
        <f>N28+N31</f>
        <v>0</v>
      </c>
      <c r="O32" s="23">
        <f>O28+O31</f>
        <v>0</v>
      </c>
      <c r="P32" s="23">
        <f>P28+P31</f>
        <v>0</v>
      </c>
      <c r="Q32" s="23">
        <f>Q28+Q31</f>
        <v>0</v>
      </c>
      <c r="R32" s="23">
        <f>R28+R31</f>
        <v>0</v>
      </c>
      <c r="S32" s="23">
        <f>S28+S31</f>
        <v>0</v>
      </c>
      <c r="T32" s="23">
        <f>T28+T31</f>
        <v>0</v>
      </c>
      <c r="U32" s="23">
        <f>U28+U31</f>
        <v>0</v>
      </c>
      <c r="V32" s="23">
        <f>V28+V31</f>
        <v>0</v>
      </c>
      <c r="W32" s="23">
        <f>W28+W31</f>
        <v>0</v>
      </c>
      <c r="X32" s="23">
        <f>X28+X31</f>
        <v>0</v>
      </c>
      <c r="Y32" s="23">
        <f>Y28+Y31</f>
        <v>0</v>
      </c>
      <c r="Z32" s="23">
        <f>Z28+Z31</f>
        <v>0</v>
      </c>
      <c r="AA32" s="23">
        <f>AA28+AA31</f>
        <v>0</v>
      </c>
      <c r="AB32" s="23">
        <f>AB28+AB31</f>
        <v>0</v>
      </c>
      <c r="AC32" s="23">
        <f>AC28+AC31</f>
        <v>0</v>
      </c>
      <c r="AD32" s="23">
        <f>AD28+AD31</f>
        <v>0</v>
      </c>
      <c r="AE32" s="23">
        <f>AE28+AE31</f>
        <v>0</v>
      </c>
    </row>
    <row r="33">
      <c r="A33" s="6" t="inlineStr">
        <is>
          <t xml:space="preserve">Price after support (market value or PPA)</t>
        </is>
      </c>
      <c r="B33" s="10" t="inlineStr">
        <is>
          <t xml:space="preserve">€/kWh</t>
        </is>
      </c>
      <c r="F33" s="37">
        <f>IF(Inputs!$C$33="ppa",Inputs!$C$34*Timing!F76*1/1000,F16)</f>
        <v>0.079104</v>
      </c>
      <c r="G33" s="37">
        <f>IF(Inputs!$C$33="ppa",Inputs!$C$34*Timing!G76*1/1000,G16)</f>
        <v>0.06619199999999999</v>
      </c>
      <c r="H33" s="37">
        <f>IF(Inputs!$C$33="ppa",Inputs!$C$34*Timing!H76*1/1000,H16)</f>
        <v>0.06532752751200001</v>
      </c>
      <c r="I33" s="37">
        <f>IF(Inputs!$C$33="ppa",Inputs!$C$34*Timing!I76*1/1000,I16)</f>
        <v>0.06663407806223999</v>
      </c>
      <c r="J33" s="37">
        <f>IF(Inputs!$C$33="ppa",Inputs!$C$34*Timing!J76*1/1000,J16)</f>
        <v>0.0679667596234848</v>
      </c>
      <c r="K33" s="37">
        <f>IF(Inputs!$C$33="ppa",Inputs!$C$34*Timing!K76*1/1000,K16)</f>
        <v>0.0693260948159545</v>
      </c>
      <c r="L33" s="37">
        <f>IF(Inputs!$C$33="ppa",Inputs!$C$34*Timing!L76*1/1000,L16)</f>
        <v>0.0707126167122736</v>
      </c>
      <c r="M33" s="37">
        <f>IF(Inputs!$C$33="ppa",Inputs!$C$34*Timing!M76*1/1000,M16)</f>
        <v>0.07212686904651905</v>
      </c>
      <c r="N33" s="37">
        <f>IF(Inputs!$C$33="ppa",Inputs!$C$34*Timing!N76*1/1000,N16)</f>
        <v>0.07356940642744944</v>
      </c>
      <c r="O33" s="37">
        <f>IF(Inputs!$C$33="ppa",Inputs!$C$34*Timing!O76*1/1000,O16)</f>
        <v>0.07504079455599844</v>
      </c>
      <c r="P33" s="37">
        <f>IF(Inputs!$C$33="ppa",Inputs!$C$34*Timing!P76*1/1000,P16)</f>
        <v>0.0765416104471184</v>
      </c>
      <c r="Q33" s="37">
        <f>IF(Inputs!$C$33="ppa",Inputs!$C$34*Timing!Q76*1/1000,Q16)</f>
        <v>0.07807244265606075</v>
      </c>
      <c r="R33" s="37">
        <f>IF(Inputs!$C$33="ppa",Inputs!$C$34*Timing!R76*1/1000,R16)</f>
        <v>0.07963389150918197</v>
      </c>
      <c r="S33" s="37">
        <f>IF(Inputs!$C$33="ppa",Inputs!$C$34*Timing!S76*1/1000,S16)</f>
        <v>0.08122656933936562</v>
      </c>
      <c r="T33" s="37">
        <f>IF(Inputs!$C$33="ppa",Inputs!$C$34*Timing!T76*1/1000,T16)</f>
        <v>0.08285110072615294</v>
      </c>
      <c r="U33" s="37">
        <f>IF(Inputs!$C$33="ppa",Inputs!$C$34*Timing!U76*1/1000,U16)</f>
        <v>0.08450812274067597</v>
      </c>
      <c r="V33" s="37">
        <f>IF(Inputs!$C$33="ppa",Inputs!$C$34*Timing!V76*1/1000,V16)</f>
        <v>0.0861982851954895</v>
      </c>
      <c r="W33" s="37">
        <f>IF(Inputs!$C$33="ppa",Inputs!$C$34*Timing!W76*1/1000,W16)</f>
        <v>0.08792225089939928</v>
      </c>
      <c r="X33" s="37">
        <f>IF(Inputs!$C$33="ppa",Inputs!$C$34*Timing!X76*1/1000,X16)</f>
        <v>0.08968069591738728</v>
      </c>
      <c r="Y33" s="37">
        <f>IF(Inputs!$C$33="ppa",Inputs!$C$34*Timing!Y76*1/1000,Y16)</f>
        <v>0.09147430983573503</v>
      </c>
      <c r="Z33" s="37">
        <f>IF(Inputs!$C$33="ppa",Inputs!$C$34*Timing!Z76*1/1000,Z16)</f>
        <v>0.09330379603244973</v>
      </c>
      <c r="AA33" s="37">
        <f>IF(Inputs!$C$33="ppa",Inputs!$C$34*Timing!AA76*1/1000,AA16)</f>
        <v>0.09516987195309871</v>
      </c>
      <c r="AB33" s="37">
        <f>IF(Inputs!$C$33="ppa",Inputs!$C$34*Timing!AB76*1/1000,AB16)</f>
        <v>0.0970732693921607</v>
      </c>
      <c r="AC33" s="37">
        <f>IF(Inputs!$C$33="ppa",Inputs!$C$34*Timing!AC76*1/1000,AC16)</f>
        <v>0.09901473478000392</v>
      </c>
      <c r="AD33" s="37">
        <f>IF(Inputs!$C$33="ppa",Inputs!$C$34*Timing!AD76*1/1000,AD16)</f>
        <v>0.100995029475604</v>
      </c>
      <c r="AE33" s="37">
        <f>IF(Inputs!$C$33="ppa",Inputs!$C$34*Timing!AE76*1/1000,AE16)</f>
        <v>0.1030149300651161</v>
      </c>
    </row>
    <row r="34">
      <c r="A34" s="6" t="inlineStr">
        <is>
          <t xml:space="preserve">Revenue: after support</t>
        </is>
      </c>
      <c r="B34" s="10" t="inlineStr">
        <is>
          <t xml:space="preserve">€</t>
        </is>
      </c>
      <c r="F34" s="23">
        <f>IF(Inputs!$C$33="ppa",F19,F18)*F33*(1-Timing!F69)</f>
        <v>0</v>
      </c>
      <c r="G34" s="23">
        <f>IF(Inputs!$C$33="ppa",G19,G18)*G33*(1-Timing!G69)</f>
        <v>0</v>
      </c>
      <c r="H34" s="23">
        <f>IF(Inputs!$C$33="ppa",H19,H18)*H33*(1-Timing!H69)</f>
        <v>0</v>
      </c>
      <c r="I34" s="23">
        <f>IF(Inputs!$C$33="ppa",I19,I18)*I33*(1-Timing!I69)</f>
        <v>0</v>
      </c>
      <c r="J34" s="23">
        <f>IF(Inputs!$C$33="ppa",J19,J18)*J33*(1-Timing!J69)</f>
        <v>0</v>
      </c>
      <c r="K34" s="23">
        <f>IF(Inputs!$C$33="ppa",K19,K18)*K33*(1-Timing!K69)</f>
        <v>0</v>
      </c>
      <c r="L34" s="23">
        <f>IF(Inputs!$C$33="ppa",L19,L18)*L33*(1-Timing!L69)</f>
        <v>0</v>
      </c>
      <c r="M34" s="23">
        <f>IF(Inputs!$C$33="ppa",M19,M18)*M33*(1-Timing!M69)</f>
        <v>0</v>
      </c>
      <c r="N34" s="23">
        <f>IF(Inputs!$C$33="ppa",N19,N18)*N33*(1-Timing!N69)</f>
        <v>0</v>
      </c>
      <c r="O34" s="23">
        <f>IF(Inputs!$C$33="ppa",O19,O18)*O33*(1-Timing!O69)</f>
        <v>0</v>
      </c>
      <c r="P34" s="23">
        <f>IF(Inputs!$C$33="ppa",P19,P18)*P33*(1-Timing!P69)</f>
        <v>0</v>
      </c>
      <c r="Q34" s="23">
        <f>IF(Inputs!$C$33="ppa",Q19,Q18)*Q33*(1-Timing!Q69)</f>
        <v>0</v>
      </c>
      <c r="R34" s="23">
        <f>IF(Inputs!$C$33="ppa",R19,R18)*R33*(1-Timing!R69)</f>
        <v>0</v>
      </c>
      <c r="S34" s="23">
        <f>IF(Inputs!$C$33="ppa",S19,S18)*S33*(1-Timing!S69)</f>
        <v>0</v>
      </c>
      <c r="T34" s="23">
        <f>IF(Inputs!$C$33="ppa",T19,T18)*T33*(1-Timing!T69)</f>
        <v>0</v>
      </c>
      <c r="U34" s="23">
        <f>IF(Inputs!$C$33="ppa",U19,U18)*U33*(1-Timing!U69)</f>
        <v>0</v>
      </c>
      <c r="V34" s="23">
        <f>IF(Inputs!$C$33="ppa",V19,V18)*V33*(1-Timing!V69)</f>
        <v>0</v>
      </c>
      <c r="W34" s="23">
        <f>IF(Inputs!$C$33="ppa",W19,W18)*W33*(1-Timing!W69)</f>
        <v>0</v>
      </c>
      <c r="X34" s="23">
        <f>IF(Inputs!$C$33="ppa",X19,X18)*X33*(1-Timing!X69)</f>
        <v>0</v>
      </c>
      <c r="Y34" s="23">
        <f>IF(Inputs!$C$33="ppa",Y19,Y18)*Y33*(1-Timing!Y69)</f>
        <v>0</v>
      </c>
      <c r="Z34" s="23">
        <f>IF(Inputs!$C$33="ppa",Z19,Z18)*Z33*(1-Timing!Z69)</f>
        <v>0</v>
      </c>
      <c r="AA34" s="23">
        <f>IF(Inputs!$C$33="ppa",AA19,AA18)*AA33*(1-Timing!AA69)</f>
        <v>1651505.019164306</v>
      </c>
      <c r="AB34" s="23">
        <f>IF(Inputs!$C$33="ppa",AB19,AB18)*AB33*(1-Timing!AB69)</f>
        <v>7135181.488344201</v>
      </c>
      <c r="AC34" s="23">
        <f>IF(Inputs!$C$33="ppa",AC19,AC18)*AC33*(1-Timing!AC69)</f>
        <v>7263329.347874864</v>
      </c>
      <c r="AD34" s="23">
        <f>IF(Inputs!$C$33="ppa",AD19,AD18)*AD33*(1-Timing!AD69)</f>
        <v>7393778.742962697</v>
      </c>
      <c r="AE34" s="23">
        <f>IF(Inputs!$C$33="ppa",AE19,AE18)*AE33*(1-Timing!AE69)</f>
        <v>3732354.390856772</v>
      </c>
    </row>
    <row r="35">
      <c r="A35" s="41" t="inlineStr">
        <is>
          <t xml:space="preserve">Revenue</t>
        </is>
      </c>
      <c r="B35" s="10" t="inlineStr">
        <is>
          <t xml:space="preserve">€</t>
        </is>
      </c>
      <c r="F35" s="42">
        <f>F27+F32+F34</f>
        <v>3054700.5384123656</v>
      </c>
      <c r="G35" s="42">
        <f>G27+G32+G34</f>
        <v>5074222.46757984</v>
      </c>
      <c r="H35" s="42">
        <f>H27+H32+H34</f>
        <v>4997936.835827969</v>
      </c>
      <c r="I35" s="42">
        <f>I27+I32+I34</f>
        <v>5087699.781399439</v>
      </c>
      <c r="J35" s="42">
        <f>J27+J32+J34</f>
        <v>5179074.869473373</v>
      </c>
      <c r="K35" s="42">
        <f>K27+K32+K34</f>
        <v>5272091.054129116</v>
      </c>
      <c r="L35" s="42">
        <f>L27+L32+L34</f>
        <v>5366777.809461274</v>
      </c>
      <c r="M35" s="42">
        <f>M27+M32+M34</f>
        <v>5463165.138919198</v>
      </c>
      <c r="N35" s="42">
        <f>N27+N32+N34</f>
        <v>5561283.584814187</v>
      </c>
      <c r="O35" s="42">
        <f>O27+O32+O34</f>
        <v>5661164.237997452</v>
      </c>
      <c r="P35" s="42">
        <f>P27+P32+P34</f>
        <v>5762838.747711884</v>
      </c>
      <c r="Q35" s="42">
        <f>Q27+Q32+Q34</f>
        <v>5866339.331620789</v>
      </c>
      <c r="R35" s="42">
        <f>R27+R32+R34</f>
        <v>5971698.786016699</v>
      </c>
      <c r="S35" s="42">
        <f>S27+S32+S34</f>
        <v>6078950.49621356</v>
      </c>
      <c r="T35" s="42">
        <f>T27+T32+T34</f>
        <v>6188128.447125555</v>
      </c>
      <c r="U35" s="42">
        <f>U27+U32+U34</f>
        <v>6299267.234035929</v>
      </c>
      <c r="V35" s="42">
        <f>V27+V32+V34</f>
        <v>6412402.073559213</v>
      </c>
      <c r="W35" s="42">
        <f>W27+W32+W34</f>
        <v>6527568.814800337</v>
      </c>
      <c r="X35" s="42">
        <f>X27+X32+X34</f>
        <v>6644803.950714152</v>
      </c>
      <c r="Y35" s="42">
        <f>Y27+Y32+Y34</f>
        <v>6764144.629668978</v>
      </c>
      <c r="Z35" s="42">
        <f>Z27+Z32+Z34</f>
        <v>6885628.667217834</v>
      </c>
      <c r="AA35" s="42">
        <f>AA27+AA32+AA34</f>
        <v>7009294.558081065</v>
      </c>
      <c r="AB35" s="42">
        <f>AB27+AB32+AB34</f>
        <v>7135181.488344201</v>
      </c>
      <c r="AC35" s="42">
        <f>AC27+AC32+AC34</f>
        <v>7263329.347874864</v>
      </c>
      <c r="AD35" s="42">
        <f>AD27+AD32+AD34</f>
        <v>7393778.742962697</v>
      </c>
      <c r="AE35" s="42">
        <f>AE27+AE32+AE34</f>
        <v>3732354.390856772</v>
      </c>
    </row>
    <row r="36">
      <c r="A36" s="6" t="inlineStr">
        <is>
          <t xml:space="preserve">Premium advances for the year (§ 26)</t>
        </is>
      </c>
      <c r="B36" s="10" t="inlineStr">
        <is>
          <t xml:space="preserve">€</t>
        </is>
      </c>
      <c r="F36" s="23">
        <f>F20*F24</f>
        <v>0</v>
      </c>
      <c r="G36" s="23">
        <f>G20*G24</f>
        <v>0</v>
      </c>
      <c r="H36" s="23">
        <f>H20*H24</f>
        <v>0</v>
      </c>
      <c r="I36" s="23">
        <f>I20*I24</f>
        <v>0</v>
      </c>
      <c r="J36" s="23">
        <f>J20*J24</f>
        <v>0</v>
      </c>
      <c r="K36" s="23">
        <f>K20*K24</f>
        <v>0</v>
      </c>
      <c r="L36" s="23">
        <f>L20*L24</f>
        <v>0</v>
      </c>
      <c r="M36" s="23">
        <f>M20*M24</f>
        <v>0</v>
      </c>
      <c r="N36" s="23">
        <f>N20*N24</f>
        <v>0</v>
      </c>
      <c r="O36" s="23">
        <f>O20*O24</f>
        <v>0</v>
      </c>
      <c r="P36" s="23">
        <f>P20*P24</f>
        <v>0</v>
      </c>
      <c r="Q36" s="23">
        <f>Q20*Q24</f>
        <v>0</v>
      </c>
      <c r="R36" s="23">
        <f>R20*R24</f>
        <v>0</v>
      </c>
      <c r="S36" s="23">
        <f>S20*S24</f>
        <v>0</v>
      </c>
      <c r="T36" s="23">
        <f>T20*T24</f>
        <v>0</v>
      </c>
      <c r="U36" s="23">
        <f>U20*U24</f>
        <v>0</v>
      </c>
      <c r="V36" s="23">
        <f>V20*V24</f>
        <v>0</v>
      </c>
      <c r="W36" s="23">
        <f>W20*W24</f>
        <v>0</v>
      </c>
      <c r="X36" s="23">
        <f>X20*X24</f>
        <v>0</v>
      </c>
      <c r="Y36" s="23">
        <f>Y20*Y24</f>
        <v>0</v>
      </c>
      <c r="Z36" s="23">
        <f>Z20*Z24</f>
        <v>0</v>
      </c>
      <c r="AA36" s="23">
        <f>AA20*AA24</f>
        <v>0</v>
      </c>
      <c r="AB36" s="23">
        <f>AB20*AB24</f>
        <v>0</v>
      </c>
      <c r="AC36" s="23">
        <f>AC20*AC24</f>
        <v>0</v>
      </c>
      <c r="AD36" s="23">
        <f>AD20*AD24</f>
        <v>0</v>
      </c>
      <c r="AE36" s="23">
        <f>AE20*AE24</f>
        <v>0</v>
      </c>
    </row>
    <row r="37">
      <c r="A37" s="6" t="inlineStr">
        <is>
          <t xml:space="preserve">Fixed-cost basis (capacity × index × part year)</t>
        </is>
      </c>
      <c r="B37" s="10" t="inlineStr">
        <is>
          <t xml:space="preserve">kW</t>
        </is>
      </c>
      <c r="F37" s="26">
        <f>Timing!$C$28*Timing!F75*Timing!F66*1</f>
        <v>17053.25529806557</v>
      </c>
      <c r="G37" s="26">
        <f>Timing!$C$28*Timing!G75*Timing!G66*1</f>
        <v>34599.57210801</v>
      </c>
      <c r="H37" s="26">
        <f>Timing!$C$28*Timing!H75*Timing!H66*1</f>
        <v>35291.5635501702</v>
      </c>
      <c r="I37" s="26">
        <f>Timing!$C$28*Timing!I75*Timing!I66*1</f>
        <v>35997.3948211736</v>
      </c>
      <c r="J37" s="26">
        <f>Timing!$C$28*Timing!J75*Timing!J66*1</f>
        <v>36717.34271759707</v>
      </c>
      <c r="K37" s="26">
        <f>Timing!$C$28*Timing!K75*Timing!K66*1</f>
        <v>37451.68957194901</v>
      </c>
      <c r="L37" s="26">
        <f>Timing!$C$28*Timing!L75*Timing!L66*1</f>
        <v>38200.723363387995</v>
      </c>
      <c r="M37" s="26">
        <f>Timing!$C$28*Timing!M75*Timing!M66*1</f>
        <v>38964.73783065575</v>
      </c>
      <c r="N37" s="26">
        <f>Timing!$C$28*Timing!N75*Timing!N66*1</f>
        <v>39744.03258726886</v>
      </c>
      <c r="O37" s="26">
        <f>Timing!$C$28*Timing!O75*Timing!O66*1</f>
        <v>40538.91323901424</v>
      </c>
      <c r="P37" s="26">
        <f>Timing!$C$28*Timing!P75*Timing!P66*1</f>
        <v>41349.69150379453</v>
      </c>
      <c r="Q37" s="26">
        <f>Timing!$C$28*Timing!Q75*Timing!Q66*1</f>
        <v>42176.68533387042</v>
      </c>
      <c r="R37" s="26">
        <f>Timing!$C$28*Timing!R75*Timing!R66*1</f>
        <v>43020.219040547825</v>
      </c>
      <c r="S37" s="26">
        <f>Timing!$C$28*Timing!S75*Timing!S66*1</f>
        <v>43880.62342135878</v>
      </c>
      <c r="T37" s="26">
        <f>Timing!$C$28*Timing!T75*Timing!T66*1</f>
        <v>44758.23588978595</v>
      </c>
      <c r="U37" s="26">
        <f>Timing!$C$28*Timing!U75*Timing!U66*1</f>
        <v>45653.40060758168</v>
      </c>
      <c r="V37" s="26">
        <f>Timing!$C$28*Timing!V75*Timing!V66*1</f>
        <v>46566.468619733314</v>
      </c>
      <c r="W37" s="26">
        <f>Timing!$C$28*Timing!W75*Timing!W66*1</f>
        <v>47497.79799212798</v>
      </c>
      <c r="X37" s="26">
        <f>Timing!$C$28*Timing!X75*Timing!X66*1</f>
        <v>48447.75395197054</v>
      </c>
      <c r="Y37" s="26">
        <f>Timing!$C$28*Timing!Y75*Timing!Y66*1</f>
        <v>49416.709031009945</v>
      </c>
      <c r="Z37" s="26">
        <f>Timing!$C$28*Timing!Z75*Timing!Z66*1</f>
        <v>50405.043211630145</v>
      </c>
      <c r="AA37" s="26">
        <f>Timing!$C$28*Timing!AA75*Timing!AA66*1</f>
        <v>51413.14407586275</v>
      </c>
      <c r="AB37" s="26">
        <f>Timing!$C$28*Timing!AB75*Timing!AB66*1</f>
        <v>52441.40695738001</v>
      </c>
      <c r="AC37" s="26">
        <f>Timing!$C$28*Timing!AC75*Timing!AC66*1</f>
        <v>53490.23509652761</v>
      </c>
      <c r="AD37" s="26">
        <f>Timing!$C$28*Timing!AD75*Timing!AD66*1</f>
        <v>54560.039798458165</v>
      </c>
      <c r="AE37" s="26">
        <f>Timing!$C$28*Timing!AE75*Timing!AE66*1</f>
        <v>27596.916568743418</v>
      </c>
    </row>
    <row r="38">
      <c r="A38" s="6" t="inlineStr">
        <is>
          <t xml:space="preserve">Maintenance</t>
        </is>
      </c>
      <c r="B38" s="10" t="inlineStr">
        <is>
          <t xml:space="preserve">€</t>
        </is>
      </c>
      <c r="F38" s="23">
        <f>CHOOSE(Timing!F71+1,Inputs!$B$61,Inputs!$C$61,Inputs!$D$61)*F37</f>
        <v>238745.574172918</v>
      </c>
      <c r="G38" s="23">
        <f>CHOOSE(Timing!G71+1,Inputs!$B$61,Inputs!$C$61,Inputs!$D$61)*G37</f>
        <v>484394.00951213995</v>
      </c>
      <c r="H38" s="23">
        <f>CHOOSE(Timing!H71+1,Inputs!$B$61,Inputs!$C$61,Inputs!$D$61)*H37</f>
        <v>494081.8897023828</v>
      </c>
      <c r="I38" s="23">
        <f>CHOOSE(Timing!I71+1,Inputs!$B$61,Inputs!$C$61,Inputs!$D$61)*I37</f>
        <v>503963.5274964304</v>
      </c>
      <c r="J38" s="23">
        <f>CHOOSE(Timing!J71+1,Inputs!$B$61,Inputs!$C$61,Inputs!$D$61)*J37</f>
        <v>514042.798046359</v>
      </c>
      <c r="K38" s="23">
        <f>CHOOSE(Timing!K71+1,Inputs!$B$61,Inputs!$C$61,Inputs!$D$61)*K37</f>
        <v>524323.6540072862</v>
      </c>
      <c r="L38" s="23">
        <f>CHOOSE(Timing!L71+1,Inputs!$B$61,Inputs!$C$61,Inputs!$D$61)*L37</f>
        <v>534810.127087432</v>
      </c>
      <c r="M38" s="23">
        <f>CHOOSE(Timing!M71+1,Inputs!$B$61,Inputs!$C$61,Inputs!$D$61)*M37</f>
        <v>545506.3296291805</v>
      </c>
      <c r="N38" s="23">
        <f>CHOOSE(Timing!N71+1,Inputs!$B$61,Inputs!$C$61,Inputs!$D$61)*N37</f>
        <v>556416.4562217641</v>
      </c>
      <c r="O38" s="23">
        <f>CHOOSE(Timing!O71+1,Inputs!$B$61,Inputs!$C$61,Inputs!$D$61)*O37</f>
        <v>567544.7853461994</v>
      </c>
      <c r="P38" s="23">
        <f>CHOOSE(Timing!P71+1,Inputs!$B$61,Inputs!$C$61,Inputs!$D$61)*P37</f>
        <v>661595.0640607125</v>
      </c>
      <c r="Q38" s="23">
        <f>CHOOSE(Timing!Q71+1,Inputs!$B$61,Inputs!$C$61,Inputs!$D$61)*Q37</f>
        <v>674826.9653419267</v>
      </c>
      <c r="R38" s="23">
        <f>CHOOSE(Timing!R71+1,Inputs!$B$61,Inputs!$C$61,Inputs!$D$61)*R37</f>
        <v>688323.5046487652</v>
      </c>
      <c r="S38" s="23">
        <f>CHOOSE(Timing!S71+1,Inputs!$B$61,Inputs!$C$61,Inputs!$D$61)*S37</f>
        <v>702089.9747417405</v>
      </c>
      <c r="T38" s="23">
        <f>CHOOSE(Timing!T71+1,Inputs!$B$61,Inputs!$C$61,Inputs!$D$61)*T37</f>
        <v>716131.7742365752</v>
      </c>
      <c r="U38" s="23">
        <f>CHOOSE(Timing!U71+1,Inputs!$B$61,Inputs!$C$61,Inputs!$D$61)*U37</f>
        <v>730454.4097213069</v>
      </c>
      <c r="V38" s="23">
        <f>CHOOSE(Timing!V71+1,Inputs!$B$61,Inputs!$C$61,Inputs!$D$61)*V37</f>
        <v>745063.497915733</v>
      </c>
      <c r="W38" s="23">
        <f>CHOOSE(Timing!W71+1,Inputs!$B$61,Inputs!$C$61,Inputs!$D$61)*W37</f>
        <v>759964.7678740476</v>
      </c>
      <c r="X38" s="23">
        <f>CHOOSE(Timing!X71+1,Inputs!$B$61,Inputs!$C$61,Inputs!$D$61)*X37</f>
        <v>775164.0632315286</v>
      </c>
      <c r="Y38" s="23">
        <f>CHOOSE(Timing!Y71+1,Inputs!$B$61,Inputs!$C$61,Inputs!$D$61)*Y37</f>
        <v>790667.3444961591</v>
      </c>
      <c r="Z38" s="23">
        <f>CHOOSE(Timing!Z71+1,Inputs!$B$61,Inputs!$C$61,Inputs!$D$61)*Z37</f>
        <v>887128.7605246906</v>
      </c>
      <c r="AA38" s="23">
        <f>CHOOSE(Timing!AA71+1,Inputs!$B$61,Inputs!$C$61,Inputs!$D$61)*AA37</f>
        <v>904871.3357351845</v>
      </c>
      <c r="AB38" s="23">
        <f>CHOOSE(Timing!AB71+1,Inputs!$B$61,Inputs!$C$61,Inputs!$D$61)*AB37</f>
        <v>922968.7624498882</v>
      </c>
      <c r="AC38" s="23">
        <f>CHOOSE(Timing!AC71+1,Inputs!$B$61,Inputs!$C$61,Inputs!$D$61)*AC37</f>
        <v>941428.1376988861</v>
      </c>
      <c r="AD38" s="23">
        <f>CHOOSE(Timing!AD71+1,Inputs!$B$61,Inputs!$C$61,Inputs!$D$61)*AD37</f>
        <v>960256.7004528638</v>
      </c>
      <c r="AE38" s="23">
        <f>CHOOSE(Timing!AE71+1,Inputs!$B$61,Inputs!$C$61,Inputs!$D$61)*AE37</f>
        <v>485705.7316098842</v>
      </c>
    </row>
    <row r="39">
      <c r="A39" s="6" t="inlineStr">
        <is>
          <t xml:space="preserve">Management</t>
        </is>
      </c>
      <c r="B39" s="10" t="inlineStr">
        <is>
          <t xml:space="preserve">€</t>
        </is>
      </c>
      <c r="F39" s="23">
        <f>CHOOSE(Timing!F71+1,Inputs!$B$62,Inputs!$C$62,Inputs!$D$62)*F37</f>
        <v>68213.02119226228</v>
      </c>
      <c r="G39" s="23">
        <f>CHOOSE(Timing!G71+1,Inputs!$B$62,Inputs!$C$62,Inputs!$D$62)*G37</f>
        <v>138398.28843204</v>
      </c>
      <c r="H39" s="23">
        <f>CHOOSE(Timing!H71+1,Inputs!$B$62,Inputs!$C$62,Inputs!$D$62)*H37</f>
        <v>141166.2542006808</v>
      </c>
      <c r="I39" s="23">
        <f>CHOOSE(Timing!I71+1,Inputs!$B$62,Inputs!$C$62,Inputs!$D$62)*I37</f>
        <v>143989.5792846944</v>
      </c>
      <c r="J39" s="23">
        <f>CHOOSE(Timing!J71+1,Inputs!$B$62,Inputs!$C$62,Inputs!$D$62)*J37</f>
        <v>146869.3708703883</v>
      </c>
      <c r="K39" s="23">
        <f>CHOOSE(Timing!K71+1,Inputs!$B$62,Inputs!$C$62,Inputs!$D$62)*K37</f>
        <v>149806.75828779605</v>
      </c>
      <c r="L39" s="23">
        <f>CHOOSE(Timing!L71+1,Inputs!$B$62,Inputs!$C$62,Inputs!$D$62)*L37</f>
        <v>152802.89345355198</v>
      </c>
      <c r="M39" s="23">
        <f>CHOOSE(Timing!M71+1,Inputs!$B$62,Inputs!$C$62,Inputs!$D$62)*M37</f>
        <v>155858.951322623</v>
      </c>
      <c r="N39" s="23">
        <f>CHOOSE(Timing!N71+1,Inputs!$B$62,Inputs!$C$62,Inputs!$D$62)*N37</f>
        <v>158976.13034907545</v>
      </c>
      <c r="O39" s="23">
        <f>CHOOSE(Timing!O71+1,Inputs!$B$62,Inputs!$C$62,Inputs!$D$62)*O37</f>
        <v>162155.65295605696</v>
      </c>
      <c r="P39" s="23">
        <f>CHOOSE(Timing!P71+1,Inputs!$B$62,Inputs!$C$62,Inputs!$D$62)*P37</f>
        <v>206748.45751897263</v>
      </c>
      <c r="Q39" s="23">
        <f>CHOOSE(Timing!Q71+1,Inputs!$B$62,Inputs!$C$62,Inputs!$D$62)*Q37</f>
        <v>210883.42666935208</v>
      </c>
      <c r="R39" s="23">
        <f>CHOOSE(Timing!R71+1,Inputs!$B$62,Inputs!$C$62,Inputs!$D$62)*R37</f>
        <v>215101.09520273912</v>
      </c>
      <c r="S39" s="23">
        <f>CHOOSE(Timing!S71+1,Inputs!$B$62,Inputs!$C$62,Inputs!$D$62)*S37</f>
        <v>219403.1171067939</v>
      </c>
      <c r="T39" s="23">
        <f>CHOOSE(Timing!T71+1,Inputs!$B$62,Inputs!$C$62,Inputs!$D$62)*T37</f>
        <v>223791.17944892976</v>
      </c>
      <c r="U39" s="23">
        <f>CHOOSE(Timing!U71+1,Inputs!$B$62,Inputs!$C$62,Inputs!$D$62)*U37</f>
        <v>228267.0030379084</v>
      </c>
      <c r="V39" s="23">
        <f>CHOOSE(Timing!V71+1,Inputs!$B$62,Inputs!$C$62,Inputs!$D$62)*V37</f>
        <v>232832.34309866658</v>
      </c>
      <c r="W39" s="23">
        <f>CHOOSE(Timing!W71+1,Inputs!$B$62,Inputs!$C$62,Inputs!$D$62)*W37</f>
        <v>237488.98996063988</v>
      </c>
      <c r="X39" s="23">
        <f>CHOOSE(Timing!X71+1,Inputs!$B$62,Inputs!$C$62,Inputs!$D$62)*X37</f>
        <v>242238.7697598527</v>
      </c>
      <c r="Y39" s="23">
        <f>CHOOSE(Timing!Y71+1,Inputs!$B$62,Inputs!$C$62,Inputs!$D$62)*Y37</f>
        <v>247083.5451550497</v>
      </c>
      <c r="Z39" s="23">
        <f>CHOOSE(Timing!Z71+1,Inputs!$B$62,Inputs!$C$62,Inputs!$D$62)*Z37</f>
        <v>252025.21605815072</v>
      </c>
      <c r="AA39" s="23">
        <f>CHOOSE(Timing!AA71+1,Inputs!$B$62,Inputs!$C$62,Inputs!$D$62)*AA37</f>
        <v>257065.72037931375</v>
      </c>
      <c r="AB39" s="23">
        <f>CHOOSE(Timing!AB71+1,Inputs!$B$62,Inputs!$C$62,Inputs!$D$62)*AB37</f>
        <v>262207.03478690004</v>
      </c>
      <c r="AC39" s="23">
        <f>CHOOSE(Timing!AC71+1,Inputs!$B$62,Inputs!$C$62,Inputs!$D$62)*AC37</f>
        <v>267451.17548263806</v>
      </c>
      <c r="AD39" s="23">
        <f>CHOOSE(Timing!AD71+1,Inputs!$B$62,Inputs!$C$62,Inputs!$D$62)*AD37</f>
        <v>272800.1989922908</v>
      </c>
      <c r="AE39" s="23">
        <f>CHOOSE(Timing!AE71+1,Inputs!$B$62,Inputs!$C$62,Inputs!$D$62)*AE37</f>
        <v>137984.5828437171</v>
      </c>
    </row>
    <row r="40">
      <c r="A40" s="6" t="inlineStr">
        <is>
          <t xml:space="preserve">Insurance</t>
        </is>
      </c>
      <c r="B40" s="10" t="inlineStr">
        <is>
          <t xml:space="preserve">€</t>
        </is>
      </c>
      <c r="F40" s="23">
        <f>CHOOSE(Timing!F71+1,Inputs!$B$63,Inputs!$C$63,Inputs!$D$63)*F37</f>
        <v>17053.25529806557</v>
      </c>
      <c r="G40" s="23">
        <f>CHOOSE(Timing!G71+1,Inputs!$B$63,Inputs!$C$63,Inputs!$D$63)*G37</f>
        <v>34599.57210801</v>
      </c>
      <c r="H40" s="23">
        <f>CHOOSE(Timing!H71+1,Inputs!$B$63,Inputs!$C$63,Inputs!$D$63)*H37</f>
        <v>35291.5635501702</v>
      </c>
      <c r="I40" s="23">
        <f>CHOOSE(Timing!I71+1,Inputs!$B$63,Inputs!$C$63,Inputs!$D$63)*I37</f>
        <v>35997.3948211736</v>
      </c>
      <c r="J40" s="23">
        <f>CHOOSE(Timing!J71+1,Inputs!$B$63,Inputs!$C$63,Inputs!$D$63)*J37</f>
        <v>36717.34271759707</v>
      </c>
      <c r="K40" s="23">
        <f>CHOOSE(Timing!K71+1,Inputs!$B$63,Inputs!$C$63,Inputs!$D$63)*K37</f>
        <v>37451.68957194901</v>
      </c>
      <c r="L40" s="23">
        <f>CHOOSE(Timing!L71+1,Inputs!$B$63,Inputs!$C$63,Inputs!$D$63)*L37</f>
        <v>38200.723363387995</v>
      </c>
      <c r="M40" s="23">
        <f>CHOOSE(Timing!M71+1,Inputs!$B$63,Inputs!$C$63,Inputs!$D$63)*M37</f>
        <v>38964.73783065575</v>
      </c>
      <c r="N40" s="23">
        <f>CHOOSE(Timing!N71+1,Inputs!$B$63,Inputs!$C$63,Inputs!$D$63)*N37</f>
        <v>39744.03258726886</v>
      </c>
      <c r="O40" s="23">
        <f>CHOOSE(Timing!O71+1,Inputs!$B$63,Inputs!$C$63,Inputs!$D$63)*O37</f>
        <v>40538.91323901424</v>
      </c>
      <c r="P40" s="23">
        <f>CHOOSE(Timing!P71+1,Inputs!$B$63,Inputs!$C$63,Inputs!$D$63)*P37</f>
        <v>41349.69150379453</v>
      </c>
      <c r="Q40" s="23">
        <f>CHOOSE(Timing!Q71+1,Inputs!$B$63,Inputs!$C$63,Inputs!$D$63)*Q37</f>
        <v>42176.68533387042</v>
      </c>
      <c r="R40" s="23">
        <f>CHOOSE(Timing!R71+1,Inputs!$B$63,Inputs!$C$63,Inputs!$D$63)*R37</f>
        <v>43020.219040547825</v>
      </c>
      <c r="S40" s="23">
        <f>CHOOSE(Timing!S71+1,Inputs!$B$63,Inputs!$C$63,Inputs!$D$63)*S37</f>
        <v>43880.62342135878</v>
      </c>
      <c r="T40" s="23">
        <f>CHOOSE(Timing!T71+1,Inputs!$B$63,Inputs!$C$63,Inputs!$D$63)*T37</f>
        <v>44758.23588978595</v>
      </c>
      <c r="U40" s="23">
        <f>CHOOSE(Timing!U71+1,Inputs!$B$63,Inputs!$C$63,Inputs!$D$63)*U37</f>
        <v>45653.40060758168</v>
      </c>
      <c r="V40" s="23">
        <f>CHOOSE(Timing!V71+1,Inputs!$B$63,Inputs!$C$63,Inputs!$D$63)*V37</f>
        <v>46566.468619733314</v>
      </c>
      <c r="W40" s="23">
        <f>CHOOSE(Timing!W71+1,Inputs!$B$63,Inputs!$C$63,Inputs!$D$63)*W37</f>
        <v>47497.79799212798</v>
      </c>
      <c r="X40" s="23">
        <f>CHOOSE(Timing!X71+1,Inputs!$B$63,Inputs!$C$63,Inputs!$D$63)*X37</f>
        <v>48447.75395197054</v>
      </c>
      <c r="Y40" s="23">
        <f>CHOOSE(Timing!Y71+1,Inputs!$B$63,Inputs!$C$63,Inputs!$D$63)*Y37</f>
        <v>49416.709031009945</v>
      </c>
      <c r="Z40" s="23">
        <f>CHOOSE(Timing!Z71+1,Inputs!$B$63,Inputs!$C$63,Inputs!$D$63)*Z37</f>
        <v>50405.043211630145</v>
      </c>
      <c r="AA40" s="23">
        <f>CHOOSE(Timing!AA71+1,Inputs!$B$63,Inputs!$C$63,Inputs!$D$63)*AA37</f>
        <v>51413.14407586275</v>
      </c>
      <c r="AB40" s="23">
        <f>CHOOSE(Timing!AB71+1,Inputs!$B$63,Inputs!$C$63,Inputs!$D$63)*AB37</f>
        <v>52441.40695738001</v>
      </c>
      <c r="AC40" s="23">
        <f>CHOOSE(Timing!AC71+1,Inputs!$B$63,Inputs!$C$63,Inputs!$D$63)*AC37</f>
        <v>53490.23509652761</v>
      </c>
      <c r="AD40" s="23">
        <f>CHOOSE(Timing!AD71+1,Inputs!$B$63,Inputs!$C$63,Inputs!$D$63)*AD37</f>
        <v>54560.039798458165</v>
      </c>
      <c r="AE40" s="23">
        <f>CHOOSE(Timing!AE71+1,Inputs!$B$63,Inputs!$C$63,Inputs!$D$63)*AE37</f>
        <v>27596.916568743418</v>
      </c>
    </row>
    <row r="41">
      <c r="A41" s="6" t="inlineStr">
        <is>
          <t xml:space="preserve">Other</t>
        </is>
      </c>
      <c r="B41" s="10" t="inlineStr">
        <is>
          <t xml:space="preserve">€</t>
        </is>
      </c>
      <c r="F41" s="23">
        <f>CHOOSE(Timing!F71+1,Inputs!$B$64,Inputs!$C$64,Inputs!$D$64)*F37</f>
        <v>102319.53178839342</v>
      </c>
      <c r="G41" s="23">
        <f>CHOOSE(Timing!G71+1,Inputs!$B$64,Inputs!$C$64,Inputs!$D$64)*G37</f>
        <v>207597.43264805997</v>
      </c>
      <c r="H41" s="23">
        <f>CHOOSE(Timing!H71+1,Inputs!$B$64,Inputs!$C$64,Inputs!$D$64)*H37</f>
        <v>211749.3813010212</v>
      </c>
      <c r="I41" s="23">
        <f>CHOOSE(Timing!I71+1,Inputs!$B$64,Inputs!$C$64,Inputs!$D$64)*I37</f>
        <v>215984.3689270416</v>
      </c>
      <c r="J41" s="23">
        <f>CHOOSE(Timing!J71+1,Inputs!$B$64,Inputs!$C$64,Inputs!$D$64)*J37</f>
        <v>220304.05630558243</v>
      </c>
      <c r="K41" s="23">
        <f>CHOOSE(Timing!K71+1,Inputs!$B$64,Inputs!$C$64,Inputs!$D$64)*K37</f>
        <v>224710.13743169408</v>
      </c>
      <c r="L41" s="23">
        <f>CHOOSE(Timing!L71+1,Inputs!$B$64,Inputs!$C$64,Inputs!$D$64)*L37</f>
        <v>229204.34018032797</v>
      </c>
      <c r="M41" s="23">
        <f>CHOOSE(Timing!M71+1,Inputs!$B$64,Inputs!$C$64,Inputs!$D$64)*M37</f>
        <v>233788.4269839345</v>
      </c>
      <c r="N41" s="23">
        <f>CHOOSE(Timing!N71+1,Inputs!$B$64,Inputs!$C$64,Inputs!$D$64)*N37</f>
        <v>238464.1955236132</v>
      </c>
      <c r="O41" s="23">
        <f>CHOOSE(Timing!O71+1,Inputs!$B$64,Inputs!$C$64,Inputs!$D$64)*O37</f>
        <v>243233.47943408543</v>
      </c>
      <c r="P41" s="23">
        <f>CHOOSE(Timing!P71+1,Inputs!$B$64,Inputs!$C$64,Inputs!$D$64)*P37</f>
        <v>248098.14902276717</v>
      </c>
      <c r="Q41" s="23">
        <f>CHOOSE(Timing!Q71+1,Inputs!$B$64,Inputs!$C$64,Inputs!$D$64)*Q37</f>
        <v>253060.11200322252</v>
      </c>
      <c r="R41" s="23">
        <f>CHOOSE(Timing!R71+1,Inputs!$B$64,Inputs!$C$64,Inputs!$D$64)*R37</f>
        <v>258121.31424328696</v>
      </c>
      <c r="S41" s="23">
        <f>CHOOSE(Timing!S71+1,Inputs!$B$64,Inputs!$C$64,Inputs!$D$64)*S37</f>
        <v>263283.7405281527</v>
      </c>
      <c r="T41" s="23">
        <f>CHOOSE(Timing!T71+1,Inputs!$B$64,Inputs!$C$64,Inputs!$D$64)*T37</f>
        <v>268549.4153387157</v>
      </c>
      <c r="U41" s="23">
        <f>CHOOSE(Timing!U71+1,Inputs!$B$64,Inputs!$C$64,Inputs!$D$64)*U37</f>
        <v>273920.40364549006</v>
      </c>
      <c r="V41" s="23">
        <f>CHOOSE(Timing!V71+1,Inputs!$B$64,Inputs!$C$64,Inputs!$D$64)*V37</f>
        <v>279398.81171839987</v>
      </c>
      <c r="W41" s="23">
        <f>CHOOSE(Timing!W71+1,Inputs!$B$64,Inputs!$C$64,Inputs!$D$64)*W37</f>
        <v>284986.78795276786</v>
      </c>
      <c r="X41" s="23">
        <f>CHOOSE(Timing!X71+1,Inputs!$B$64,Inputs!$C$64,Inputs!$D$64)*X37</f>
        <v>290686.5237118232</v>
      </c>
      <c r="Y41" s="23">
        <f>CHOOSE(Timing!Y71+1,Inputs!$B$64,Inputs!$C$64,Inputs!$D$64)*Y37</f>
        <v>296500.2541860597</v>
      </c>
      <c r="Z41" s="23">
        <f>CHOOSE(Timing!Z71+1,Inputs!$B$64,Inputs!$C$64,Inputs!$D$64)*Z37</f>
        <v>302430.2592697809</v>
      </c>
      <c r="AA41" s="23">
        <f>CHOOSE(Timing!AA71+1,Inputs!$B$64,Inputs!$C$64,Inputs!$D$64)*AA37</f>
        <v>308478.8644551765</v>
      </c>
      <c r="AB41" s="23">
        <f>CHOOSE(Timing!AB71+1,Inputs!$B$64,Inputs!$C$64,Inputs!$D$64)*AB37</f>
        <v>314648.44174428005</v>
      </c>
      <c r="AC41" s="23">
        <f>CHOOSE(Timing!AC71+1,Inputs!$B$64,Inputs!$C$64,Inputs!$D$64)*AC37</f>
        <v>320941.4105791657</v>
      </c>
      <c r="AD41" s="23">
        <f>CHOOSE(Timing!AD71+1,Inputs!$B$64,Inputs!$C$64,Inputs!$D$64)*AD37</f>
        <v>327360.238790749</v>
      </c>
      <c r="AE41" s="23">
        <f>CHOOSE(Timing!AE71+1,Inputs!$B$64,Inputs!$C$64,Inputs!$D$64)*AE37</f>
        <v>165581.49941246051</v>
      </c>
    </row>
    <row r="42">
      <c r="A42" s="6" t="inlineStr">
        <is>
          <t xml:space="preserve">Land lease on revenue</t>
        </is>
      </c>
      <c r="B42" s="10" t="inlineStr">
        <is>
          <t xml:space="preserve">€</t>
        </is>
      </c>
      <c r="F42" s="23">
        <f>Inputs!$C$65*F35</f>
        <v>305470.0538412366</v>
      </c>
      <c r="G42" s="23">
        <f>Inputs!$C$65*G35</f>
        <v>507422.246757984</v>
      </c>
      <c r="H42" s="23">
        <f>Inputs!$C$65*H35</f>
        <v>499793.68358279695</v>
      </c>
      <c r="I42" s="23">
        <f>Inputs!$C$65*I35</f>
        <v>508769.9781399439</v>
      </c>
      <c r="J42" s="23">
        <f>Inputs!$C$65*J35</f>
        <v>517907.4869473373</v>
      </c>
      <c r="K42" s="23">
        <f>Inputs!$C$65*K35</f>
        <v>527209.1054129116</v>
      </c>
      <c r="L42" s="23">
        <f>Inputs!$C$65*L35</f>
        <v>536677.7809461275</v>
      </c>
      <c r="M42" s="23">
        <f>Inputs!$C$65*M35</f>
        <v>546316.5138919199</v>
      </c>
      <c r="N42" s="23">
        <f>Inputs!$C$65*N35</f>
        <v>556128.3584814187</v>
      </c>
      <c r="O42" s="23">
        <f>Inputs!$C$65*O35</f>
        <v>566116.4237997452</v>
      </c>
      <c r="P42" s="23">
        <f>Inputs!$C$65*P35</f>
        <v>576283.8747711884</v>
      </c>
      <c r="Q42" s="23">
        <f>Inputs!$C$65*Q35</f>
        <v>586633.933162079</v>
      </c>
      <c r="R42" s="23">
        <f>Inputs!$C$65*R35</f>
        <v>597169.8786016699</v>
      </c>
      <c r="S42" s="23">
        <f>Inputs!$C$65*S35</f>
        <v>607895.0496213561</v>
      </c>
      <c r="T42" s="23">
        <f>Inputs!$C$65*T35</f>
        <v>618812.8447125555</v>
      </c>
      <c r="U42" s="23">
        <f>Inputs!$C$65*U35</f>
        <v>629926.723403593</v>
      </c>
      <c r="V42" s="23">
        <f>Inputs!$C$65*V35</f>
        <v>641240.2073559214</v>
      </c>
      <c r="W42" s="23">
        <f>Inputs!$C$65*W35</f>
        <v>652756.8814800337</v>
      </c>
      <c r="X42" s="23">
        <f>Inputs!$C$65*X35</f>
        <v>664480.3950714152</v>
      </c>
      <c r="Y42" s="23">
        <f>Inputs!$C$65*Y35</f>
        <v>676414.4629668979</v>
      </c>
      <c r="Z42" s="23">
        <f>Inputs!$C$65*Z35</f>
        <v>688562.8667217834</v>
      </c>
      <c r="AA42" s="23">
        <f>Inputs!$C$65*AA35</f>
        <v>700929.4558081066</v>
      </c>
      <c r="AB42" s="23">
        <f>Inputs!$C$65*AB35</f>
        <v>713518.1488344201</v>
      </c>
      <c r="AC42" s="23">
        <f>Inputs!$C$65*AC35</f>
        <v>726332.9347874864</v>
      </c>
      <c r="AD42" s="23">
        <f>Inputs!$C$65*AD35</f>
        <v>739377.8742962697</v>
      </c>
      <c r="AE42" s="23">
        <f>Inputs!$C$65*AE35</f>
        <v>373235.43908567727</v>
      </c>
    </row>
    <row r="43">
      <c r="A43" s="6" t="inlineStr">
        <is>
          <t xml:space="preserve">Land lease minimum</t>
        </is>
      </c>
      <c r="B43" s="10" t="inlineStr">
        <is>
          <t xml:space="preserve">€</t>
        </is>
      </c>
      <c r="F43" s="23">
        <f>Inputs!$C$66*Inputs!$C$6*Timing!F76*Timing!F66</f>
        <v>184140.53879781417</v>
      </c>
      <c r="G43" s="23">
        <f>Inputs!$C$66*Inputs!$C$6*Timing!G76*Timing!G66</f>
        <v>373605.14099999995</v>
      </c>
      <c r="H43" s="23">
        <f>Inputs!$C$66*Inputs!$C$6*Timing!H76*Timing!H66</f>
        <v>381077.24382000003</v>
      </c>
      <c r="I43" s="23">
        <f>Inputs!$C$66*Inputs!$C$6*Timing!I76*Timing!I66</f>
        <v>388698.78869639995</v>
      </c>
      <c r="J43" s="23">
        <f>Inputs!$C$66*Inputs!$C$6*Timing!J76*Timing!J66</f>
        <v>396472.764470328</v>
      </c>
      <c r="K43" s="23">
        <f>Inputs!$C$66*Inputs!$C$6*Timing!K76*Timing!K66</f>
        <v>404402.2197597346</v>
      </c>
      <c r="L43" s="23">
        <f>Inputs!$C$66*Inputs!$C$6*Timing!L76*Timing!L66</f>
        <v>412490.26415492926</v>
      </c>
      <c r="M43" s="23">
        <f>Inputs!$C$66*Inputs!$C$6*Timing!M76*Timing!M66</f>
        <v>420740.0694380278</v>
      </c>
      <c r="N43" s="23">
        <f>Inputs!$C$66*Inputs!$C$6*Timing!N76*Timing!N66</f>
        <v>429154.87082678836</v>
      </c>
      <c r="O43" s="23">
        <f>Inputs!$C$66*Inputs!$C$6*Timing!O76*Timing!O66</f>
        <v>437737.9682433241</v>
      </c>
      <c r="P43" s="23">
        <f>Inputs!$C$66*Inputs!$C$6*Timing!P76*Timing!P66</f>
        <v>446492.72760819056</v>
      </c>
      <c r="Q43" s="23">
        <f>Inputs!$C$66*Inputs!$C$6*Timing!Q76*Timing!Q66</f>
        <v>455422.58216035436</v>
      </c>
      <c r="R43" s="23">
        <f>Inputs!$C$66*Inputs!$C$6*Timing!R76*Timing!R66</f>
        <v>464531.0338035615</v>
      </c>
      <c r="S43" s="23">
        <f>Inputs!$C$66*Inputs!$C$6*Timing!S76*Timing!S66</f>
        <v>473821.6544796327</v>
      </c>
      <c r="T43" s="23">
        <f>Inputs!$C$66*Inputs!$C$6*Timing!T76*Timing!T66</f>
        <v>483298.08756922535</v>
      </c>
      <c r="U43" s="23">
        <f>Inputs!$C$66*Inputs!$C$6*Timing!U76*Timing!U66</f>
        <v>492964.04932060983</v>
      </c>
      <c r="V43" s="23">
        <f>Inputs!$C$66*Inputs!$C$6*Timing!V76*Timing!V66</f>
        <v>502823.3303070221</v>
      </c>
      <c r="W43" s="23">
        <f>Inputs!$C$66*Inputs!$C$6*Timing!W76*Timing!W66</f>
        <v>512879.7969131625</v>
      </c>
      <c r="X43" s="23">
        <f>Inputs!$C$66*Inputs!$C$6*Timing!X76*Timing!X66</f>
        <v>523137.39285142574</v>
      </c>
      <c r="Y43" s="23">
        <f>Inputs!$C$66*Inputs!$C$6*Timing!Y76*Timing!Y66</f>
        <v>533600.1407084543</v>
      </c>
      <c r="Z43" s="23">
        <f>Inputs!$C$66*Inputs!$C$6*Timing!Z76*Timing!Z66</f>
        <v>544272.1435226233</v>
      </c>
      <c r="AA43" s="23">
        <f>Inputs!$C$66*Inputs!$C$6*Timing!AA76*Timing!AA66</f>
        <v>555157.5863930759</v>
      </c>
      <c r="AB43" s="23">
        <f>Inputs!$C$66*Inputs!$C$6*Timing!AB76*Timing!AB66</f>
        <v>566260.7381209374</v>
      </c>
      <c r="AC43" s="23">
        <f>Inputs!$C$66*Inputs!$C$6*Timing!AC76*Timing!AC66</f>
        <v>577585.9528833561</v>
      </c>
      <c r="AD43" s="23">
        <f>Inputs!$C$66*Inputs!$C$6*Timing!AD76*Timing!AD66</f>
        <v>589137.6719410233</v>
      </c>
      <c r="AE43" s="23">
        <f>Inputs!$C$66*Inputs!$C$6*Timing!AE76*Timing!AE66</f>
        <v>297990.6766952102</v>
      </c>
    </row>
    <row r="44">
      <c r="A44" s="6" t="inlineStr">
        <is>
          <t xml:space="preserve">Land lease</t>
        </is>
      </c>
      <c r="B44" s="10" t="inlineStr">
        <is>
          <t xml:space="preserve">€</t>
        </is>
      </c>
      <c r="F44" s="23">
        <f>MAX(F42,F43)</f>
        <v>305470.0538412366</v>
      </c>
      <c r="G44" s="23">
        <f>MAX(G42,G43)</f>
        <v>507422.246757984</v>
      </c>
      <c r="H44" s="23">
        <f>MAX(H42,H43)</f>
        <v>499793.68358279695</v>
      </c>
      <c r="I44" s="23">
        <f>MAX(I42,I43)</f>
        <v>508769.9781399439</v>
      </c>
      <c r="J44" s="23">
        <f>MAX(J42,J43)</f>
        <v>517907.4869473373</v>
      </c>
      <c r="K44" s="23">
        <f>MAX(K42,K43)</f>
        <v>527209.1054129116</v>
      </c>
      <c r="L44" s="23">
        <f>MAX(L42,L43)</f>
        <v>536677.7809461275</v>
      </c>
      <c r="M44" s="23">
        <f>MAX(M42,M43)</f>
        <v>546316.5138919199</v>
      </c>
      <c r="N44" s="23">
        <f>MAX(N42,N43)</f>
        <v>556128.3584814187</v>
      </c>
      <c r="O44" s="23">
        <f>MAX(O42,O43)</f>
        <v>566116.4237997452</v>
      </c>
      <c r="P44" s="23">
        <f>MAX(P42,P43)</f>
        <v>576283.8747711884</v>
      </c>
      <c r="Q44" s="23">
        <f>MAX(Q42,Q43)</f>
        <v>586633.933162079</v>
      </c>
      <c r="R44" s="23">
        <f>MAX(R42,R43)</f>
        <v>597169.8786016699</v>
      </c>
      <c r="S44" s="23">
        <f>MAX(S42,S43)</f>
        <v>607895.0496213561</v>
      </c>
      <c r="T44" s="23">
        <f>MAX(T42,T43)</f>
        <v>618812.8447125555</v>
      </c>
      <c r="U44" s="23">
        <f>MAX(U42,U43)</f>
        <v>629926.723403593</v>
      </c>
      <c r="V44" s="23">
        <f>MAX(V42,V43)</f>
        <v>641240.2073559214</v>
      </c>
      <c r="W44" s="23">
        <f>MAX(W42,W43)</f>
        <v>652756.8814800337</v>
      </c>
      <c r="X44" s="23">
        <f>MAX(X42,X43)</f>
        <v>664480.3950714152</v>
      </c>
      <c r="Y44" s="23">
        <f>MAX(Y42,Y43)</f>
        <v>676414.4629668979</v>
      </c>
      <c r="Z44" s="23">
        <f>MAX(Z42,Z43)</f>
        <v>688562.8667217834</v>
      </c>
      <c r="AA44" s="23">
        <f>MAX(AA42,AA43)</f>
        <v>700929.4558081066</v>
      </c>
      <c r="AB44" s="23">
        <f>MAX(AB42,AB43)</f>
        <v>713518.1488344201</v>
      </c>
      <c r="AC44" s="23">
        <f>MAX(AC42,AC43)</f>
        <v>726332.9347874864</v>
      </c>
      <c r="AD44" s="23">
        <f>MAX(AD42,AD43)</f>
        <v>739377.8742962697</v>
      </c>
      <c r="AE44" s="23">
        <f>MAX(AE42,AE43)</f>
        <v>373235.43908567727</v>
      </c>
    </row>
    <row r="45">
      <c r="A45" s="6" t="inlineStr">
        <is>
          <t xml:space="preserve">Direct marketing</t>
        </is>
      </c>
      <c r="B45" s="10" t="inlineStr">
        <is>
          <t xml:space="preserve">€</t>
        </is>
      </c>
      <c r="F45" s="23">
        <f>Inputs!$C$32*Timing!F76/100*F19</f>
        <v>76783.59206431439</v>
      </c>
      <c r="G45" s="23">
        <f>Inputs!$C$32*Timing!G76/100*G19</f>
        <v>155475.65700147257</v>
      </c>
      <c r="H45" s="23">
        <f>Inputs!$C$32*Timing!H76/100*H19</f>
        <v>158267.99980121903</v>
      </c>
      <c r="I45" s="23">
        <f>Inputs!$C$32*Timing!I76/100*I19</f>
        <v>161110.4930776489</v>
      </c>
      <c r="J45" s="23">
        <f>Inputs!$C$32*Timing!J76/100*J19</f>
        <v>164004.03753332346</v>
      </c>
      <c r="K45" s="23">
        <f>Inputs!$C$32*Timing!K76/100*K19</f>
        <v>166949.550047422</v>
      </c>
      <c r="L45" s="23">
        <f>Inputs!$C$32*Timing!L76/100*L19</f>
        <v>169947.9639662737</v>
      </c>
      <c r="M45" s="23">
        <f>Inputs!$C$32*Timing!M76/100*M19</f>
        <v>173000.22939910795</v>
      </c>
      <c r="N45" s="23">
        <f>Inputs!$C$32*Timing!N76/100*N19</f>
        <v>176107.31351911588</v>
      </c>
      <c r="O45" s="23">
        <f>Inputs!$C$32*Timing!O76/100*O19</f>
        <v>179270.20086991927</v>
      </c>
      <c r="P45" s="23">
        <f>Inputs!$C$32*Timing!P76/100*P19</f>
        <v>182489.89367754298</v>
      </c>
      <c r="Q45" s="23">
        <f>Inputs!$C$32*Timing!Q76/100*Q19</f>
        <v>185767.41216799163</v>
      </c>
      <c r="R45" s="23">
        <f>Inputs!$C$32*Timing!R76/100*R19</f>
        <v>189103.7948905288</v>
      </c>
      <c r="S45" s="23">
        <f>Inputs!$C$32*Timing!S76/100*S19</f>
        <v>192500.09904676268</v>
      </c>
      <c r="T45" s="23">
        <f>Inputs!$C$32*Timing!T76/100*T19</f>
        <v>195957.40082564254</v>
      </c>
      <c r="U45" s="23">
        <f>Inputs!$C$32*Timing!U76/100*U19</f>
        <v>199476.7957444711</v>
      </c>
      <c r="V45" s="23">
        <f>Inputs!$C$32*Timing!V76/100*V19</f>
        <v>203059.39899604174</v>
      </c>
      <c r="W45" s="23">
        <f>Inputs!$C$32*Timing!W76/100*W19</f>
        <v>206706.34580201068</v>
      </c>
      <c r="X45" s="23">
        <f>Inputs!$C$32*Timing!X76/100*X19</f>
        <v>210418.79177261482</v>
      </c>
      <c r="Y45" s="23">
        <f>Inputs!$C$32*Timing!Y76/100*Y19</f>
        <v>214197.91327285094</v>
      </c>
      <c r="Z45" s="23">
        <f>Inputs!$C$32*Timing!Z76/100*Z19</f>
        <v>218044.90779523135</v>
      </c>
      <c r="AA45" s="23">
        <f>Inputs!$C$32*Timing!AA76/100*AA19</f>
        <v>221960.99433923376</v>
      </c>
      <c r="AB45" s="23">
        <f>Inputs!$C$32*Timing!AB76/100*AB19</f>
        <v>225947.41379756638</v>
      </c>
      <c r="AC45" s="23">
        <f>Inputs!$C$32*Timing!AC76/100*AC19</f>
        <v>230005.42934937068</v>
      </c>
      <c r="AD45" s="23">
        <f>Inputs!$C$32*Timing!AD76/100*AD19</f>
        <v>234136.32686048537</v>
      </c>
      <c r="AE45" s="23">
        <f>Inputs!$C$32*Timing!AE76/100*AE19</f>
        <v>118191.2223771311</v>
      </c>
    </row>
    <row r="46">
      <c r="A46" s="6" t="inlineStr">
        <is>
          <t xml:space="preserve">Municipal payment (§ 6)</t>
        </is>
      </c>
      <c r="B46" s="10" t="inlineStr">
        <is>
          <t xml:space="preserve">€</t>
        </is>
      </c>
      <c r="F46" s="23">
        <f>Inputs!$C$38/100*F18*(Timing!F69+IF(Inputs!$C$39,1-Timing!F69,0))</f>
        <v>77232.51765807964</v>
      </c>
      <c r="G46" s="23">
        <f>Inputs!$C$38/100*G18*(Timing!G69+IF(Inputs!$C$39,1-Timing!G69,0))</f>
        <v>153318.3003257143</v>
      </c>
      <c r="H46" s="23">
        <f>Inputs!$C$38/100*H18*(Timing!H69+IF(Inputs!$C$39,1-Timing!H69,0))</f>
        <v>153011.66372506288</v>
      </c>
      <c r="I46" s="23">
        <f>Inputs!$C$38/100*I18*(Timing!I69+IF(Inputs!$C$39,1-Timing!I69,0))</f>
        <v>152705.6403976128</v>
      </c>
      <c r="J46" s="23">
        <f>Inputs!$C$38/100*J18*(Timing!J69+IF(Inputs!$C$39,1-Timing!J69,0))</f>
        <v>152400.22911681753</v>
      </c>
      <c r="K46" s="23">
        <f>Inputs!$C$38/100*K18*(Timing!K69+IF(Inputs!$C$39,1-Timing!K69,0))</f>
        <v>152095.4286585839</v>
      </c>
      <c r="L46" s="23">
        <f>Inputs!$C$38/100*L18*(Timing!L69+IF(Inputs!$C$39,1-Timing!L69,0))</f>
        <v>151791.23780126675</v>
      </c>
      <c r="M46" s="23">
        <f>Inputs!$C$38/100*M18*(Timing!M69+IF(Inputs!$C$39,1-Timing!M69,0))</f>
        <v>151487.6553256642</v>
      </c>
      <c r="N46" s="23">
        <f>Inputs!$C$38/100*N18*(Timing!N69+IF(Inputs!$C$39,1-Timing!N69,0))</f>
        <v>151184.68001501285</v>
      </c>
      <c r="O46" s="23">
        <f>Inputs!$C$38/100*O18*(Timing!O69+IF(Inputs!$C$39,1-Timing!O69,0))</f>
        <v>150882.31065498287</v>
      </c>
      <c r="P46" s="23">
        <f>Inputs!$C$38/100*P18*(Timing!P69+IF(Inputs!$C$39,1-Timing!P69,0))</f>
        <v>150580.54603367287</v>
      </c>
      <c r="Q46" s="23">
        <f>Inputs!$C$38/100*Q18*(Timing!Q69+IF(Inputs!$C$39,1-Timing!Q69,0))</f>
        <v>150279.38494160553</v>
      </c>
      <c r="R46" s="23">
        <f>Inputs!$C$38/100*R18*(Timing!R69+IF(Inputs!$C$39,1-Timing!R69,0))</f>
        <v>149978.82617172232</v>
      </c>
      <c r="S46" s="23">
        <f>Inputs!$C$38/100*S18*(Timing!S69+IF(Inputs!$C$39,1-Timing!S69,0))</f>
        <v>149678.8685193789</v>
      </c>
      <c r="T46" s="23">
        <f>Inputs!$C$38/100*T18*(Timing!T69+IF(Inputs!$C$39,1-Timing!T69,0))</f>
        <v>149379.5107823401</v>
      </c>
      <c r="U46" s="23">
        <f>Inputs!$C$38/100*U18*(Timing!U69+IF(Inputs!$C$39,1-Timing!U69,0))</f>
        <v>149080.75176077546</v>
      </c>
      <c r="V46" s="23">
        <f>Inputs!$C$38/100*V18*(Timing!V69+IF(Inputs!$C$39,1-Timing!V69,0))</f>
        <v>148782.59025725388</v>
      </c>
      <c r="W46" s="23">
        <f>Inputs!$C$38/100*W18*(Timing!W69+IF(Inputs!$C$39,1-Timing!W69,0))</f>
        <v>148485.02507673937</v>
      </c>
      <c r="X46" s="23">
        <f>Inputs!$C$38/100*X18*(Timing!X69+IF(Inputs!$C$39,1-Timing!X69,0))</f>
        <v>148188.0550265859</v>
      </c>
      <c r="Y46" s="23">
        <f>Inputs!$C$38/100*Y18*(Timing!Y69+IF(Inputs!$C$39,1-Timing!Y69,0))</f>
        <v>147891.67891653272</v>
      </c>
      <c r="Z46" s="23">
        <f>Inputs!$C$38/100*Z18*(Timing!Z69+IF(Inputs!$C$39,1-Timing!Z69,0))</f>
        <v>147595.89555869967</v>
      </c>
      <c r="AA46" s="23">
        <f>Inputs!$C$38/100*AA18*(Timing!AA69+IF(Inputs!$C$39,1-Timing!AA69,0))</f>
        <v>147300.70376758228</v>
      </c>
      <c r="AB46" s="23">
        <f>Inputs!$C$38/100*AB18*(Timing!AB69+IF(Inputs!$C$39,1-Timing!AB69,0))</f>
        <v>147006.1023600471</v>
      </c>
      <c r="AC46" s="23">
        <f>Inputs!$C$38/100*AC18*(Timing!AC69+IF(Inputs!$C$39,1-Timing!AC69,0))</f>
        <v>146712.09015532702</v>
      </c>
      <c r="AD46" s="23">
        <f>Inputs!$C$38/100*AD18*(Timing!AD69+IF(Inputs!$C$39,1-Timing!AD69,0))</f>
        <v>146418.66597501637</v>
      </c>
      <c r="AE46" s="23">
        <f>Inputs!$C$38/100*AE18*(Timing!AE69+IF(Inputs!$C$39,1-Timing!AE69,0))</f>
        <v>72462.39721752057</v>
      </c>
    </row>
    <row r="47">
      <c r="A47" s="6" t="inlineStr">
        <is>
          <t xml:space="preserve">Guarantee fee</t>
        </is>
      </c>
      <c r="B47" s="10" t="inlineStr">
        <is>
          <t xml:space="preserve">€</t>
        </is>
      </c>
      <c r="F47" s="23">
        <f>Timing!$C$33*Inputs!$C$68*Timing!F66</f>
        <v>4995.901639344263</v>
      </c>
      <c r="G47" s="23">
        <f>Timing!$C$33*Inputs!$C$68*Timing!G66</f>
        <v>9937.5</v>
      </c>
      <c r="H47" s="23">
        <f>Timing!$C$33*Inputs!$C$68*Timing!H66</f>
        <v>9937.5</v>
      </c>
      <c r="I47" s="23">
        <f>Timing!$C$33*Inputs!$C$68*Timing!I66</f>
        <v>9937.5</v>
      </c>
      <c r="J47" s="23">
        <f>Timing!$C$33*Inputs!$C$68*Timing!J66</f>
        <v>9937.5</v>
      </c>
      <c r="K47" s="23">
        <f>Timing!$C$33*Inputs!$C$68*Timing!K66</f>
        <v>9937.5</v>
      </c>
      <c r="L47" s="23">
        <f>Timing!$C$33*Inputs!$C$68*Timing!L66</f>
        <v>9937.5</v>
      </c>
      <c r="M47" s="23">
        <f>Timing!$C$33*Inputs!$C$68*Timing!M66</f>
        <v>9937.5</v>
      </c>
      <c r="N47" s="23">
        <f>Timing!$C$33*Inputs!$C$68*Timing!N66</f>
        <v>9937.5</v>
      </c>
      <c r="O47" s="23">
        <f>Timing!$C$33*Inputs!$C$68*Timing!O66</f>
        <v>9937.5</v>
      </c>
      <c r="P47" s="23">
        <f>Timing!$C$33*Inputs!$C$68*Timing!P66</f>
        <v>9937.5</v>
      </c>
      <c r="Q47" s="23">
        <f>Timing!$C$33*Inputs!$C$68*Timing!Q66</f>
        <v>9937.5</v>
      </c>
      <c r="R47" s="23">
        <f>Timing!$C$33*Inputs!$C$68*Timing!R66</f>
        <v>9937.5</v>
      </c>
      <c r="S47" s="23">
        <f>Timing!$C$33*Inputs!$C$68*Timing!S66</f>
        <v>9937.5</v>
      </c>
      <c r="T47" s="23">
        <f>Timing!$C$33*Inputs!$C$68*Timing!T66</f>
        <v>9937.5</v>
      </c>
      <c r="U47" s="23">
        <f>Timing!$C$33*Inputs!$C$68*Timing!U66</f>
        <v>9937.5</v>
      </c>
      <c r="V47" s="23">
        <f>Timing!$C$33*Inputs!$C$68*Timing!V66</f>
        <v>9937.5</v>
      </c>
      <c r="W47" s="23">
        <f>Timing!$C$33*Inputs!$C$68*Timing!W66</f>
        <v>9937.5</v>
      </c>
      <c r="X47" s="23">
        <f>Timing!$C$33*Inputs!$C$68*Timing!X66</f>
        <v>9937.5</v>
      </c>
      <c r="Y47" s="23">
        <f>Timing!$C$33*Inputs!$C$68*Timing!Y66</f>
        <v>9937.5</v>
      </c>
      <c r="Z47" s="23">
        <f>Timing!$C$33*Inputs!$C$68*Timing!Z66</f>
        <v>9937.5</v>
      </c>
      <c r="AA47" s="23">
        <f>Timing!$C$33*Inputs!$C$68*Timing!AA66</f>
        <v>9937.5</v>
      </c>
      <c r="AB47" s="23">
        <f>Timing!$C$33*Inputs!$C$68*Timing!AB66</f>
        <v>9937.5</v>
      </c>
      <c r="AC47" s="23">
        <f>Timing!$C$33*Inputs!$C$68*Timing!AC66</f>
        <v>9937.5</v>
      </c>
      <c r="AD47" s="23">
        <f>Timing!$C$33*Inputs!$C$68*Timing!AD66</f>
        <v>9937.5</v>
      </c>
      <c r="AE47" s="23">
        <f>Timing!$C$33*Inputs!$C$68*Timing!AE66</f>
        <v>4927.91095890411</v>
      </c>
    </row>
    <row r="48">
      <c r="A48" s="6" t="inlineStr">
        <is>
          <t xml:space="preserve">Generator grid fee</t>
        </is>
      </c>
      <c r="B48" s="10" t="inlineStr">
        <is>
          <t xml:space="preserve">€</t>
        </is>
      </c>
      <c r="F48" s="23">
        <f>Inputs!$C$71*Timing!$C$28*Timing!F76*Timing!F66*1</f>
        <v>0</v>
      </c>
      <c r="G48" s="23">
        <f>Inputs!$C$71*Timing!$C$28*Timing!G76*Timing!G66*1</f>
        <v>0</v>
      </c>
      <c r="H48" s="23">
        <f>Inputs!$C$71*Timing!$C$28*Timing!H76*Timing!H66*1</f>
        <v>0</v>
      </c>
      <c r="I48" s="23">
        <f>Inputs!$C$71*Timing!$C$28*Timing!I76*Timing!I66*1</f>
        <v>0</v>
      </c>
      <c r="J48" s="23">
        <f>Inputs!$C$71*Timing!$C$28*Timing!J76*Timing!J66*1</f>
        <v>0</v>
      </c>
      <c r="K48" s="23">
        <f>Inputs!$C$71*Timing!$C$28*Timing!K76*Timing!K66*1</f>
        <v>0</v>
      </c>
      <c r="L48" s="23">
        <f>Inputs!$C$71*Timing!$C$28*Timing!L76*Timing!L66*1</f>
        <v>0</v>
      </c>
      <c r="M48" s="23">
        <f>Inputs!$C$71*Timing!$C$28*Timing!M76*Timing!M66*1</f>
        <v>0</v>
      </c>
      <c r="N48" s="23">
        <f>Inputs!$C$71*Timing!$C$28*Timing!N76*Timing!N66*1</f>
        <v>0</v>
      </c>
      <c r="O48" s="23">
        <f>Inputs!$C$71*Timing!$C$28*Timing!O76*Timing!O66*1</f>
        <v>0</v>
      </c>
      <c r="P48" s="23">
        <f>Inputs!$C$71*Timing!$C$28*Timing!P76*Timing!P66*1</f>
        <v>0</v>
      </c>
      <c r="Q48" s="23">
        <f>Inputs!$C$71*Timing!$C$28*Timing!Q76*Timing!Q66*1</f>
        <v>0</v>
      </c>
      <c r="R48" s="23">
        <f>Inputs!$C$71*Timing!$C$28*Timing!R76*Timing!R66*1</f>
        <v>0</v>
      </c>
      <c r="S48" s="23">
        <f>Inputs!$C$71*Timing!$C$28*Timing!S76*Timing!S66*1</f>
        <v>0</v>
      </c>
      <c r="T48" s="23">
        <f>Inputs!$C$71*Timing!$C$28*Timing!T76*Timing!T66*1</f>
        <v>0</v>
      </c>
      <c r="U48" s="23">
        <f>Inputs!$C$71*Timing!$C$28*Timing!U76*Timing!U66*1</f>
        <v>0</v>
      </c>
      <c r="V48" s="23">
        <f>Inputs!$C$71*Timing!$C$28*Timing!V76*Timing!V66*1</f>
        <v>0</v>
      </c>
      <c r="W48" s="23">
        <f>Inputs!$C$71*Timing!$C$28*Timing!W76*Timing!W66*1</f>
        <v>0</v>
      </c>
      <c r="X48" s="23">
        <f>Inputs!$C$71*Timing!$C$28*Timing!X76*Timing!X66*1</f>
        <v>0</v>
      </c>
      <c r="Y48" s="23">
        <f>Inputs!$C$71*Timing!$C$28*Timing!Y76*Timing!Y66*1</f>
        <v>0</v>
      </c>
      <c r="Z48" s="23">
        <f>Inputs!$C$71*Timing!$C$28*Timing!Z76*Timing!Z66*1</f>
        <v>0</v>
      </c>
      <c r="AA48" s="23">
        <f>Inputs!$C$71*Timing!$C$28*Timing!AA76*Timing!AA66*1</f>
        <v>0</v>
      </c>
      <c r="AB48" s="23">
        <f>Inputs!$C$71*Timing!$C$28*Timing!AB76*Timing!AB66*1</f>
        <v>0</v>
      </c>
      <c r="AC48" s="23">
        <f>Inputs!$C$71*Timing!$C$28*Timing!AC76*Timing!AC66*1</f>
        <v>0</v>
      </c>
      <c r="AD48" s="23">
        <f>Inputs!$C$71*Timing!$C$28*Timing!AD76*Timing!AD66*1</f>
        <v>0</v>
      </c>
      <c r="AE48" s="23">
        <f>Inputs!$C$71*Timing!$C$28*Timing!AE76*Timing!AE66*1</f>
        <v>0</v>
      </c>
    </row>
    <row r="49">
      <c r="A49" s="41" t="inlineStr">
        <is>
          <t xml:space="preserve">Operating costs</t>
        </is>
      </c>
      <c r="B49" s="10" t="inlineStr">
        <is>
          <t xml:space="preserve">€</t>
        </is>
      </c>
      <c r="F49" s="42">
        <f>F38+F39+F40+F41+F44+F45+F46+F47+F48</f>
        <v>890813.4476546141</v>
      </c>
      <c r="G49" s="42">
        <f>G38+G39+G40+G41+G44+G45+G46+G47+G48</f>
        <v>1691143.0067854207</v>
      </c>
      <c r="H49" s="42">
        <f>H38+H39+H40+H41+H44+H45+H46+H47+H48</f>
        <v>1703299.935863334</v>
      </c>
      <c r="I49" s="42">
        <f>I38+I39+I40+I41+I44+I45+I46+I47+I48</f>
        <v>1732458.4821445455</v>
      </c>
      <c r="J49" s="42">
        <f>J38+J39+J40+J41+J44+J45+J46+J47+J48</f>
        <v>1762182.821537405</v>
      </c>
      <c r="K49" s="42">
        <f>K38+K39+K40+K41+K44+K45+K46+K47+K48</f>
        <v>1792483.823417643</v>
      </c>
      <c r="L49" s="42">
        <f>L38+L39+L40+L41+L44+L45+L46+L47+L48</f>
        <v>1823372.566798368</v>
      </c>
      <c r="M49" s="42">
        <f>M38+M39+M40+M41+M44+M45+M46+M47+M48</f>
        <v>1854860.3443830856</v>
      </c>
      <c r="N49" s="42">
        <f>N38+N39+N40+N41+N44+N45+N46+N47+N48</f>
        <v>1886958.6666972688</v>
      </c>
      <c r="O49" s="42">
        <f>O38+O39+O40+O41+O44+O45+O46+O47+O48</f>
        <v>1919679.2663000035</v>
      </c>
      <c r="P49" s="42">
        <f>P38+P39+P40+P41+P44+P45+P46+P47+P48</f>
        <v>2077083.1765886513</v>
      </c>
      <c r="Q49" s="42">
        <f>Q38+Q39+Q40+Q41+Q44+Q45+Q46+Q47+Q48</f>
        <v>2113565.419620048</v>
      </c>
      <c r="R49" s="42">
        <f>R38+R39+R40+R41+R44+R45+R46+R47+R48</f>
        <v>2150756.1327992603</v>
      </c>
      <c r="S49" s="42">
        <f>S38+S39+S40+S41+S44+S45+S46+S47+S48</f>
        <v>2188668.9729855433</v>
      </c>
      <c r="T49" s="42">
        <f>T38+T39+T40+T41+T44+T45+T46+T47+T48</f>
        <v>2227317.861234545</v>
      </c>
      <c r="U49" s="42">
        <f>U38+U39+U40+U41+U44+U45+U46+U47+U48</f>
        <v>2266716.987921127</v>
      </c>
      <c r="V49" s="42">
        <f>V38+V39+V40+V41+V44+V45+V46+V47+V48</f>
        <v>2306880.81796175</v>
      </c>
      <c r="W49" s="42">
        <f>W38+W39+W40+W41+W44+W45+W46+W47+W48</f>
        <v>2347824.096138367</v>
      </c>
      <c r="X49" s="42">
        <f>X38+X39+X40+X41+X44+X45+X46+X47+X48</f>
        <v>2389561.8525257907</v>
      </c>
      <c r="Y49" s="42">
        <f>Y38+Y39+Y40+Y41+Y44+Y45+Y46+Y47+Y48</f>
        <v>2432109.40802456</v>
      </c>
      <c r="Z49" s="42">
        <f>Z38+Z39+Z40+Z41+Z44+Z45+Z46+Z47+Z48</f>
        <v>2556130.4491399666</v>
      </c>
      <c r="AA49" s="42">
        <f>AA38+AA39+AA40+AA41+AA44+AA45+AA46+AA47+AA48</f>
        <v>2601957.71856046</v>
      </c>
      <c r="AB49" s="42">
        <f>AB38+AB39+AB40+AB41+AB44+AB45+AB46+AB47+AB48</f>
        <v>2648674.810930481</v>
      </c>
      <c r="AC49" s="42">
        <f>AC38+AC39+AC40+AC41+AC44+AC45+AC46+AC47+AC48</f>
        <v>2696298.913149402</v>
      </c>
      <c r="AD49" s="42">
        <f>AD38+AD39+AD40+AD41+AD44+AD45+AD46+AD47+AD48</f>
        <v>2744847.545166134</v>
      </c>
      <c r="AE49" s="42">
        <f>AE38+AE39+AE40+AE41+AE44+AE45+AE46+AE47+AE48</f>
        <v>1385685.700074038</v>
      </c>
    </row>
    <row r="50">
      <c r="A50" s="6" t="inlineStr">
        <is>
          <t xml:space="preserve">§ 6 refund (up to 0.2 ct/kWh, years with a premium)</t>
        </is>
      </c>
      <c r="B50" s="10" t="inlineStr">
        <is>
          <t xml:space="preserve">€</t>
        </is>
      </c>
      <c r="F50" s="23">
        <f>Timing!$C$32*F20*F25</f>
        <v>0</v>
      </c>
      <c r="G50" s="23">
        <f>Timing!$C$32*G20*G25</f>
        <v>0</v>
      </c>
      <c r="H50" s="23">
        <f>Timing!$C$32*H20*H25</f>
        <v>0</v>
      </c>
      <c r="I50" s="23">
        <f>Timing!$C$32*I20*I25</f>
        <v>0</v>
      </c>
      <c r="J50" s="23">
        <f>Timing!$C$32*J20*J25</f>
        <v>0</v>
      </c>
      <c r="K50" s="23">
        <f>Timing!$C$32*K20*K25</f>
        <v>0</v>
      </c>
      <c r="L50" s="23">
        <f>Timing!$C$32*L20*L25</f>
        <v>0</v>
      </c>
      <c r="M50" s="23">
        <f>Timing!$C$32*M20*M25</f>
        <v>0</v>
      </c>
      <c r="N50" s="23">
        <f>Timing!$C$32*N20*N25</f>
        <v>0</v>
      </c>
      <c r="O50" s="23">
        <f>Timing!$C$32*O20*O25</f>
        <v>0</v>
      </c>
      <c r="P50" s="23">
        <f>Timing!$C$32*P20*P25</f>
        <v>0</v>
      </c>
      <c r="Q50" s="23">
        <f>Timing!$C$32*Q20*Q25</f>
        <v>0</v>
      </c>
      <c r="R50" s="23">
        <f>Timing!$C$32*R20*R25</f>
        <v>0</v>
      </c>
      <c r="S50" s="23">
        <f>Timing!$C$32*S20*S25</f>
        <v>0</v>
      </c>
      <c r="T50" s="23">
        <f>Timing!$C$32*T20*T25</f>
        <v>0</v>
      </c>
      <c r="U50" s="23">
        <f>Timing!$C$32*U20*U25</f>
        <v>0</v>
      </c>
      <c r="V50" s="23">
        <f>Timing!$C$32*V20*V25</f>
        <v>0</v>
      </c>
      <c r="W50" s="23">
        <f>Timing!$C$32*W20*W25</f>
        <v>0</v>
      </c>
      <c r="X50" s="23">
        <f>Timing!$C$32*X20*X25</f>
        <v>0</v>
      </c>
      <c r="Y50" s="23">
        <f>Timing!$C$32*Y20*Y25</f>
        <v>0</v>
      </c>
      <c r="Z50" s="23">
        <f>Timing!$C$32*Z20*Z25</f>
        <v>0</v>
      </c>
      <c r="AA50" s="23">
        <f>Timing!$C$32*AA20*AA25</f>
        <v>0</v>
      </c>
      <c r="AB50" s="23">
        <f>Timing!$C$32*AB20*AB25</f>
        <v>0</v>
      </c>
      <c r="AC50" s="23">
        <f>Timing!$C$32*AC20*AC25</f>
        <v>0</v>
      </c>
      <c r="AD50" s="23">
        <f>Timing!$C$32*AD20*AD25</f>
        <v>0</v>
      </c>
      <c r="AE50" s="23">
        <f>Timing!$C$32*AE20*AE25</f>
        <v>0</v>
      </c>
    </row>
    <row r="51">
      <c r="A51" s="41" t="inlineStr">
        <is>
          <t xml:space="preserve">EBITDA</t>
        </is>
      </c>
      <c r="B51" s="10" t="inlineStr">
        <is>
          <t xml:space="preserve">€</t>
        </is>
      </c>
      <c r="F51" s="42">
        <f>F35+F50-F49</f>
        <v>2163887.0907577514</v>
      </c>
      <c r="G51" s="42">
        <f>G35+G50-G49</f>
        <v>3383079.460794419</v>
      </c>
      <c r="H51" s="42">
        <f>H35+H50-H49</f>
        <v>3294636.8999646353</v>
      </c>
      <c r="I51" s="42">
        <f>I35+I50-I49</f>
        <v>3355241.2992548933</v>
      </c>
      <c r="J51" s="42">
        <f>J35+J50-J49</f>
        <v>3416892.0479359673</v>
      </c>
      <c r="K51" s="42">
        <f>K35+K50-K49</f>
        <v>3479607.230711473</v>
      </c>
      <c r="L51" s="42">
        <f>L35+L50-L49</f>
        <v>3543405.242662906</v>
      </c>
      <c r="M51" s="42">
        <f>M35+M50-M49</f>
        <v>3608304.7945361123</v>
      </c>
      <c r="N51" s="42">
        <f>N35+N50-N49</f>
        <v>3674324.9181169183</v>
      </c>
      <c r="O51" s="42">
        <f>O35+O50-O49</f>
        <v>3741484.9716974483</v>
      </c>
      <c r="P51" s="42">
        <f>P35+P50-P49</f>
        <v>3685755.5711232326</v>
      </c>
      <c r="Q51" s="42">
        <f>Q35+Q50-Q49</f>
        <v>3752773.9120007413</v>
      </c>
      <c r="R51" s="42">
        <f>R35+R50-R49</f>
        <v>3820942.6532174386</v>
      </c>
      <c r="S51" s="42">
        <f>S35+S50-S49</f>
        <v>3890281.5232280167</v>
      </c>
      <c r="T51" s="42">
        <f>T35+T50-T49</f>
        <v>3960810.5858910102</v>
      </c>
      <c r="U51" s="42">
        <f>U35+U50-U49</f>
        <v>4032550.2461148016</v>
      </c>
      <c r="V51" s="42">
        <f>V35+V50-V49</f>
        <v>4105521.2555974633</v>
      </c>
      <c r="W51" s="42">
        <f>W35+W50-W49</f>
        <v>4179744.71866197</v>
      </c>
      <c r="X51" s="42">
        <f>X35+X50-X49</f>
        <v>4255242.098188361</v>
      </c>
      <c r="Y51" s="42">
        <f>Y35+Y50-Y49</f>
        <v>4332035.221644418</v>
      </c>
      <c r="Z51" s="42">
        <f>Z35+Z50-Z49</f>
        <v>4329498.218077867</v>
      </c>
      <c r="AA51" s="42">
        <f>AA35+AA50-AA49</f>
        <v>4407336.839520605</v>
      </c>
      <c r="AB51" s="42">
        <f>AB35+AB50-AB49</f>
        <v>4486506.67741372</v>
      </c>
      <c r="AC51" s="42">
        <f>AC35+AC50-AC49</f>
        <v>4567030.4347254615</v>
      </c>
      <c r="AD51" s="42">
        <f>AD35+AD50-AD49</f>
        <v>4648931.197796563</v>
      </c>
      <c r="AE51" s="42">
        <f>AE35+AE50-AE49</f>
        <v>2346668.690782734</v>
      </c>
    </row>
    <row r="52">
      <c r="A52" s="6" t="inlineStr">
        <is>
          <t xml:space="preserve">Market and PPA sales billed</t>
        </is>
      </c>
      <c r="B52" s="10" t="inlineStr">
        <is>
          <t xml:space="preserve">€</t>
        </is>
      </c>
      <c r="F52" s="23">
        <f>F27+F34</f>
        <v>3054700.5384123656</v>
      </c>
      <c r="G52" s="23">
        <f>G27+G34</f>
        <v>5074222.46757984</v>
      </c>
      <c r="H52" s="23">
        <f>H27+H34</f>
        <v>4997936.835827969</v>
      </c>
      <c r="I52" s="23">
        <f>I27+I34</f>
        <v>5087699.781399439</v>
      </c>
      <c r="J52" s="23">
        <f>J27+J34</f>
        <v>5179074.869473373</v>
      </c>
      <c r="K52" s="23">
        <f>K27+K34</f>
        <v>5272091.054129116</v>
      </c>
      <c r="L52" s="23">
        <f>L27+L34</f>
        <v>5366777.809461274</v>
      </c>
      <c r="M52" s="23">
        <f>M27+M34</f>
        <v>5463165.138919198</v>
      </c>
      <c r="N52" s="23">
        <f>N27+N34</f>
        <v>5561283.584814187</v>
      </c>
      <c r="O52" s="23">
        <f>O27+O34</f>
        <v>5661164.237997452</v>
      </c>
      <c r="P52" s="23">
        <f>P27+P34</f>
        <v>5762838.747711884</v>
      </c>
      <c r="Q52" s="23">
        <f>Q27+Q34</f>
        <v>5866339.331620789</v>
      </c>
      <c r="R52" s="23">
        <f>R27+R34</f>
        <v>5971698.786016699</v>
      </c>
      <c r="S52" s="23">
        <f>S27+S34</f>
        <v>6078950.49621356</v>
      </c>
      <c r="T52" s="23">
        <f>T27+T34</f>
        <v>6188128.447125555</v>
      </c>
      <c r="U52" s="23">
        <f>U27+U34</f>
        <v>6299267.234035929</v>
      </c>
      <c r="V52" s="23">
        <f>V27+V34</f>
        <v>6412402.073559213</v>
      </c>
      <c r="W52" s="23">
        <f>W27+W34</f>
        <v>6527568.814800337</v>
      </c>
      <c r="X52" s="23">
        <f>X27+X34</f>
        <v>6644803.950714152</v>
      </c>
      <c r="Y52" s="23">
        <f>Y27+Y34</f>
        <v>6764144.629668978</v>
      </c>
      <c r="Z52" s="23">
        <f>Z27+Z34</f>
        <v>6885628.667217834</v>
      </c>
      <c r="AA52" s="23">
        <f>AA27+AA34</f>
        <v>7009294.558081065</v>
      </c>
      <c r="AB52" s="23">
        <f>AB27+AB34</f>
        <v>7135181.488344201</v>
      </c>
      <c r="AC52" s="23">
        <f>AC27+AC34</f>
        <v>7263329.347874864</v>
      </c>
      <c r="AD52" s="23">
        <f>AD27+AD34</f>
        <v>7393778.742962697</v>
      </c>
      <c r="AE52" s="23">
        <f>AE27+AE34</f>
        <v>3732354.390856772</v>
      </c>
    </row>
    <row r="53">
      <c r="A53" s="6" t="inlineStr">
        <is>
          <t xml:space="preserve">Premium and § 6 refund still due after the advances</t>
        </is>
      </c>
      <c r="B53" s="10" t="inlineStr">
        <is>
          <t xml:space="preserve">€</t>
        </is>
      </c>
      <c r="F53" s="23">
        <f>F32-F36+F50</f>
        <v>0</v>
      </c>
      <c r="G53" s="23">
        <f>G32-G36+G50</f>
        <v>0</v>
      </c>
      <c r="H53" s="23">
        <f>H32-H36+H50</f>
        <v>0</v>
      </c>
      <c r="I53" s="23">
        <f>I32-I36+I50</f>
        <v>0</v>
      </c>
      <c r="J53" s="23">
        <f>J32-J36+J50</f>
        <v>0</v>
      </c>
      <c r="K53" s="23">
        <f>K32-K36+K50</f>
        <v>0</v>
      </c>
      <c r="L53" s="23">
        <f>L32-L36+L50</f>
        <v>0</v>
      </c>
      <c r="M53" s="23">
        <f>M32-M36+M50</f>
        <v>0</v>
      </c>
      <c r="N53" s="23">
        <f>N32-N36+N50</f>
        <v>0</v>
      </c>
      <c r="O53" s="23">
        <f>O32-O36+O50</f>
        <v>0</v>
      </c>
      <c r="P53" s="23">
        <f>P32-P36+P50</f>
        <v>0</v>
      </c>
      <c r="Q53" s="23">
        <f>Q32-Q36+Q50</f>
        <v>0</v>
      </c>
      <c r="R53" s="23">
        <f>R32-R36+R50</f>
        <v>0</v>
      </c>
      <c r="S53" s="23">
        <f>S32-S36+S50</f>
        <v>0</v>
      </c>
      <c r="T53" s="23">
        <f>T32-T36+T50</f>
        <v>0</v>
      </c>
      <c r="U53" s="23">
        <f>U32-U36+U50</f>
        <v>0</v>
      </c>
      <c r="V53" s="23">
        <f>V32-V36+V50</f>
        <v>0</v>
      </c>
      <c r="W53" s="23">
        <f>W32-W36+W50</f>
        <v>0</v>
      </c>
      <c r="X53" s="23">
        <f>X32-X36+X50</f>
        <v>0</v>
      </c>
      <c r="Y53" s="23">
        <f>Y32-Y36+Y50</f>
        <v>0</v>
      </c>
      <c r="Z53" s="23">
        <f>Z32-Z36+Z50</f>
        <v>0</v>
      </c>
      <c r="AA53" s="23">
        <f>AA32-AA36+AA50</f>
        <v>0</v>
      </c>
      <c r="AB53" s="23">
        <f>AB32-AB36+AB50</f>
        <v>0</v>
      </c>
      <c r="AC53" s="23">
        <f>AC32-AC36+AC50</f>
        <v>0</v>
      </c>
      <c r="AD53" s="23">
        <f>AD32-AD36+AD50</f>
        <v>0</v>
      </c>
      <c r="AE53" s="23">
        <f>AE32-AE36+AE50</f>
        <v>0</v>
      </c>
    </row>
    <row r="54">
      <c r="A54" s="6" t="inlineStr">
        <is>
          <t xml:space="preserve">Receivables: market sales</t>
        </is>
      </c>
      <c r="B54" s="10" t="inlineStr">
        <is>
          <t xml:space="preserve">€</t>
        </is>
      </c>
      <c r="F54" s="23">
        <f>IF(Timing!F72=1,0,IF(Timing!F64&gt;0,MIN(F52,F52/Timing!F64*Inputs!$C$36),0))</f>
        <v>498049.00082810305</v>
      </c>
      <c r="G54" s="23">
        <f>IF(Timing!G72=1,0,IF(Timing!G64&gt;0,MIN(G52,G52/Timing!G64*Inputs!$C$36),0))</f>
        <v>417059.38089697313</v>
      </c>
      <c r="H54" s="23">
        <f>IF(Timing!H72=1,0,IF(Timing!H64&gt;0,MIN(H52,H52/Timing!H64*Inputs!$C$36),0))</f>
        <v>410789.32897216186</v>
      </c>
      <c r="I54" s="23">
        <f>IF(Timing!I72=1,0,IF(Timing!I64&gt;0,MIN(I52,I52/Timing!I64*Inputs!$C$36),0))</f>
        <v>418167.10532050184</v>
      </c>
      <c r="J54" s="23">
        <f>IF(Timing!J72=1,0,IF(Timing!J64&gt;0,MIN(J52,J52/Timing!J64*Inputs!$C$36),0))</f>
        <v>424514.33356339124</v>
      </c>
      <c r="K54" s="23">
        <f>IF(Timing!K72=1,0,IF(Timing!K64&gt;0,MIN(K52,K52/Timing!K64*Inputs!$C$36),0))</f>
        <v>433322.5523941739</v>
      </c>
      <c r="L54" s="23">
        <f>IF(Timing!L72=1,0,IF(Timing!L64&gt;0,MIN(L52,L52/Timing!L64*Inputs!$C$36),0))</f>
        <v>441105.02543517324</v>
      </c>
      <c r="M54" s="23">
        <f>IF(Timing!M72=1,0,IF(Timing!M64&gt;0,MIN(M52,M52/Timing!M64*Inputs!$C$36),0))</f>
        <v>449027.2716919889</v>
      </c>
      <c r="N54" s="23">
        <f>IF(Timing!N72=1,0,IF(Timing!N64&gt;0,MIN(N52,N52/Timing!N64*Inputs!$C$36),0))</f>
        <v>455842.9167880481</v>
      </c>
      <c r="O54" s="23">
        <f>IF(Timing!O72=1,0,IF(Timing!O64&gt;0,MIN(O52,O52/Timing!O64*Inputs!$C$36),0))</f>
        <v>465301.17024636595</v>
      </c>
      <c r="P54" s="23">
        <f>IF(Timing!P72=1,0,IF(Timing!P64&gt;0,MIN(P52,P52/Timing!P64*Inputs!$C$36),0))</f>
        <v>473657.9792639904</v>
      </c>
      <c r="Q54" s="23">
        <f>IF(Timing!Q72=1,0,IF(Timing!Q64&gt;0,MIN(Q52,Q52/Timing!Q64*Inputs!$C$36),0))</f>
        <v>482164.8765715717</v>
      </c>
      <c r="R54" s="23">
        <f>IF(Timing!R72=1,0,IF(Timing!R64&gt;0,MIN(R52,R52/Timing!R64*Inputs!$C$36),0))</f>
        <v>489483.5070505491</v>
      </c>
      <c r="S54" s="23">
        <f>IF(Timing!S72=1,0,IF(Timing!S64&gt;0,MIN(S52,S52/Timing!S64*Inputs!$C$36),0))</f>
        <v>499639.7668120734</v>
      </c>
      <c r="T54" s="23">
        <f>IF(Timing!T72=1,0,IF(Timing!T64&gt;0,MIN(T52,T52/Timing!T64*Inputs!$C$36),0))</f>
        <v>508613.2970240182</v>
      </c>
      <c r="U54" s="23">
        <f>IF(Timing!U72=1,0,IF(Timing!U64&gt;0,MIN(U52,U52/Timing!U64*Inputs!$C$36),0))</f>
        <v>517747.99183856946</v>
      </c>
      <c r="V54" s="23">
        <f>IF(Timing!V72=1,0,IF(Timing!V64&gt;0,MIN(V52,V52/Timing!V64*Inputs!$C$36),0))</f>
        <v>525606.7273409191</v>
      </c>
      <c r="W54" s="23">
        <f>IF(Timing!W72=1,0,IF(Timing!W64&gt;0,MIN(W52,W52/Timing!W64*Inputs!$C$36),0))</f>
        <v>536512.5053260551</v>
      </c>
      <c r="X54" s="23">
        <f>IF(Timing!X72=1,0,IF(Timing!X64&gt;0,MIN(X52,X52/Timing!X64*Inputs!$C$36),0))</f>
        <v>546148.2699217112</v>
      </c>
      <c r="Y54" s="23">
        <f>IF(Timing!Y72=1,0,IF(Timing!Y64&gt;0,MIN(Y52,Y52/Timing!Y64*Inputs!$C$36),0))</f>
        <v>555957.0928495051</v>
      </c>
      <c r="Z54" s="23">
        <f>IF(Timing!Z72=1,0,IF(Timing!Z64&gt;0,MIN(Z52,Z52/Timing!Z64*Inputs!$C$36),0))</f>
        <v>564395.7923949044</v>
      </c>
      <c r="AA54" s="23">
        <f>IF(Timing!AA72=1,0,IF(Timing!AA64&gt;0,MIN(AA52,AA52/Timing!AA64*Inputs!$C$36),0))</f>
        <v>576106.4020340602</v>
      </c>
      <c r="AB54" s="23">
        <f>IF(Timing!AB72=1,0,IF(Timing!AB64&gt;0,MIN(AB52,AB52/Timing!AB64*Inputs!$C$36),0))</f>
        <v>586453.2730145918</v>
      </c>
      <c r="AC54" s="23">
        <f>IF(Timing!AC72=1,0,IF(Timing!AC64&gt;0,MIN(AC52,AC52/Timing!AC64*Inputs!$C$36),0))</f>
        <v>596985.973797934</v>
      </c>
      <c r="AD54" s="23">
        <f>IF(Timing!AD72=1,0,IF(Timing!AD64&gt;0,MIN(AD52,AD52/Timing!AD64*Inputs!$C$36),0))</f>
        <v>606047.437947762</v>
      </c>
      <c r="AE54" s="23">
        <f>IF(Timing!AE72=1,0,IF(Timing!AE64&gt;0,MIN(AE52,AE52/Timing!AE64*Inputs!$C$36),0))</f>
        <v>0</v>
      </c>
    </row>
    <row r="55">
      <c r="A55" s="6" t="inlineStr">
        <is>
          <t xml:space="preserve">Receivables: December advance (paid on 15 January)</t>
        </is>
      </c>
      <c r="B55" s="10" t="inlineStr">
        <is>
          <t xml:space="preserve">€</t>
        </is>
      </c>
      <c r="F55" s="23">
        <f>IF(OR(Timing!F72=1,Timing!$C$31=0,Timing!$C$11&lt;=DATE(Timing!F59,12,1)),0,F36/Timing!F67)</f>
        <v>0</v>
      </c>
      <c r="G55" s="23">
        <f>IF(OR(Timing!G72=1,Timing!$C$31=0,Timing!$C$11&lt;=DATE(Timing!G59,12,1)),0,G36/Timing!G67)</f>
        <v>0</v>
      </c>
      <c r="H55" s="23">
        <f>IF(OR(Timing!H72=1,Timing!$C$31=0,Timing!$C$11&lt;=DATE(Timing!H59,12,1)),0,H36/Timing!H67)</f>
        <v>0</v>
      </c>
      <c r="I55" s="23">
        <f>IF(OR(Timing!I72=1,Timing!$C$31=0,Timing!$C$11&lt;=DATE(Timing!I59,12,1)),0,I36/Timing!I67)</f>
        <v>0</v>
      </c>
      <c r="J55" s="23">
        <f>IF(OR(Timing!J72=1,Timing!$C$31=0,Timing!$C$11&lt;=DATE(Timing!J59,12,1)),0,J36/Timing!J67)</f>
        <v>0</v>
      </c>
      <c r="K55" s="23">
        <f>IF(OR(Timing!K72=1,Timing!$C$31=0,Timing!$C$11&lt;=DATE(Timing!K59,12,1)),0,K36/Timing!K67)</f>
        <v>0</v>
      </c>
      <c r="L55" s="23">
        <f>IF(OR(Timing!L72=1,Timing!$C$31=0,Timing!$C$11&lt;=DATE(Timing!L59,12,1)),0,L36/Timing!L67)</f>
        <v>0</v>
      </c>
      <c r="M55" s="23">
        <f>IF(OR(Timing!M72=1,Timing!$C$31=0,Timing!$C$11&lt;=DATE(Timing!M59,12,1)),0,M36/Timing!M67)</f>
        <v>0</v>
      </c>
      <c r="N55" s="23">
        <f>IF(OR(Timing!N72=1,Timing!$C$31=0,Timing!$C$11&lt;=DATE(Timing!N59,12,1)),0,N36/Timing!N67)</f>
        <v>0</v>
      </c>
      <c r="O55" s="23">
        <f>IF(OR(Timing!O72=1,Timing!$C$31=0,Timing!$C$11&lt;=DATE(Timing!O59,12,1)),0,O36/Timing!O67)</f>
        <v>0</v>
      </c>
      <c r="P55" s="23">
        <f>IF(OR(Timing!P72=1,Timing!$C$31=0,Timing!$C$11&lt;=DATE(Timing!P59,12,1)),0,P36/Timing!P67)</f>
        <v>0</v>
      </c>
      <c r="Q55" s="23">
        <f>IF(OR(Timing!Q72=1,Timing!$C$31=0,Timing!$C$11&lt;=DATE(Timing!Q59,12,1)),0,Q36/Timing!Q67)</f>
        <v>0</v>
      </c>
      <c r="R55" s="23">
        <f>IF(OR(Timing!R72=1,Timing!$C$31=0,Timing!$C$11&lt;=DATE(Timing!R59,12,1)),0,R36/Timing!R67)</f>
        <v>0</v>
      </c>
      <c r="S55" s="23">
        <f>IF(OR(Timing!S72=1,Timing!$C$31=0,Timing!$C$11&lt;=DATE(Timing!S59,12,1)),0,S36/Timing!S67)</f>
        <v>0</v>
      </c>
      <c r="T55" s="23">
        <f>IF(OR(Timing!T72=1,Timing!$C$31=0,Timing!$C$11&lt;=DATE(Timing!T59,12,1)),0,T36/Timing!T67)</f>
        <v>0</v>
      </c>
      <c r="U55" s="23">
        <f>IF(OR(Timing!U72=1,Timing!$C$31=0,Timing!$C$11&lt;=DATE(Timing!U59,12,1)),0,U36/Timing!U67)</f>
        <v>0</v>
      </c>
      <c r="V55" s="23">
        <f>IF(OR(Timing!V72=1,Timing!$C$31=0,Timing!$C$11&lt;=DATE(Timing!V59,12,1)),0,V36/Timing!V67)</f>
        <v>0</v>
      </c>
      <c r="W55" s="23">
        <f>IF(OR(Timing!W72=1,Timing!$C$31=0,Timing!$C$11&lt;=DATE(Timing!W59,12,1)),0,W36/Timing!W67)</f>
        <v>0</v>
      </c>
      <c r="X55" s="23">
        <f>IF(OR(Timing!X72=1,Timing!$C$31=0,Timing!$C$11&lt;=DATE(Timing!X59,12,1)),0,X36/Timing!X67)</f>
        <v>0</v>
      </c>
      <c r="Y55" s="23">
        <f>IF(OR(Timing!Y72=1,Timing!$C$31=0,Timing!$C$11&lt;=DATE(Timing!Y59,12,1)),0,Y36/Timing!Y67)</f>
        <v>0</v>
      </c>
      <c r="Z55" s="23">
        <f>IF(OR(Timing!Z72=1,Timing!$C$31=0,Timing!$C$11&lt;=DATE(Timing!Z59,12,1)),0,Z36/Timing!Z67)</f>
        <v>0</v>
      </c>
      <c r="AA55" s="23">
        <f>IF(OR(Timing!AA72=1,Timing!$C$31=0,Timing!$C$11&lt;=DATE(Timing!AA59,12,1)),0,AA36/Timing!AA67)</f>
        <v>0</v>
      </c>
      <c r="AB55" s="23">
        <f>IF(OR(Timing!AB72=1,Timing!$C$31=0,Timing!$C$11&lt;=DATE(Timing!AB59,12,1)),0,AB36/Timing!AB67)</f>
        <v>0</v>
      </c>
      <c r="AC55" s="23">
        <f>IF(OR(Timing!AC72=1,Timing!$C$31=0,Timing!$C$11&lt;=DATE(Timing!AC59,12,1)),0,AC36/Timing!AC67)</f>
        <v>0</v>
      </c>
      <c r="AD55" s="23">
        <f>IF(OR(Timing!AD72=1,Timing!$C$31=0,Timing!$C$11&lt;=DATE(Timing!AD59,12,1)),0,AD36/Timing!AD67)</f>
        <v>0</v>
      </c>
      <c r="AE55" s="23">
        <f>IF(OR(Timing!AE72=1,Timing!$C$31=0,Timing!$C$11&lt;=DATE(Timing!AE59,12,1)),0,AE36/Timing!AE67)</f>
        <v>0</v>
      </c>
    </row>
    <row r="56">
      <c r="A56" s="6" t="inlineStr">
        <is>
          <t xml:space="preserve">Receivables: premium and § 6 refund awaiting the final settlement</t>
        </is>
      </c>
      <c r="B56" s="10" t="inlineStr">
        <is>
          <t xml:space="preserve">€</t>
        </is>
      </c>
      <c r="F56" s="23">
        <f>IF(OR(Timing!F72=1,Timing!$C$31=0),0,SUMIFS($F$53:$AE$53,Timing!$F$59:$AE$59,"&gt;"&amp;(Timing!F59-Timing!$C$31),Timing!$F$59:$AE$59,"&lt;="&amp;Timing!F59))</f>
        <v>0</v>
      </c>
      <c r="G56" s="23">
        <f>IF(OR(Timing!G72=1,Timing!$C$31=0),0,SUMIFS($F$53:$AE$53,Timing!$F$59:$AE$59,"&gt;"&amp;(Timing!G59-Timing!$C$31),Timing!$F$59:$AE$59,"&lt;="&amp;Timing!G59))</f>
        <v>0</v>
      </c>
      <c r="H56" s="23">
        <f>IF(OR(Timing!H72=1,Timing!$C$31=0),0,SUMIFS($F$53:$AE$53,Timing!$F$59:$AE$59,"&gt;"&amp;(Timing!H59-Timing!$C$31),Timing!$F$59:$AE$59,"&lt;="&amp;Timing!H59))</f>
        <v>0</v>
      </c>
      <c r="I56" s="23">
        <f>IF(OR(Timing!I72=1,Timing!$C$31=0),0,SUMIFS($F$53:$AE$53,Timing!$F$59:$AE$59,"&gt;"&amp;(Timing!I59-Timing!$C$31),Timing!$F$59:$AE$59,"&lt;="&amp;Timing!I59))</f>
        <v>0</v>
      </c>
      <c r="J56" s="23">
        <f>IF(OR(Timing!J72=1,Timing!$C$31=0),0,SUMIFS($F$53:$AE$53,Timing!$F$59:$AE$59,"&gt;"&amp;(Timing!J59-Timing!$C$31),Timing!$F$59:$AE$59,"&lt;="&amp;Timing!J59))</f>
        <v>0</v>
      </c>
      <c r="K56" s="23">
        <f>IF(OR(Timing!K72=1,Timing!$C$31=0),0,SUMIFS($F$53:$AE$53,Timing!$F$59:$AE$59,"&gt;"&amp;(Timing!K59-Timing!$C$31),Timing!$F$59:$AE$59,"&lt;="&amp;Timing!K59))</f>
        <v>0</v>
      </c>
      <c r="L56" s="23">
        <f>IF(OR(Timing!L72=1,Timing!$C$31=0),0,SUMIFS($F$53:$AE$53,Timing!$F$59:$AE$59,"&gt;"&amp;(Timing!L59-Timing!$C$31),Timing!$F$59:$AE$59,"&lt;="&amp;Timing!L59))</f>
        <v>0</v>
      </c>
      <c r="M56" s="23">
        <f>IF(OR(Timing!M72=1,Timing!$C$31=0),0,SUMIFS($F$53:$AE$53,Timing!$F$59:$AE$59,"&gt;"&amp;(Timing!M59-Timing!$C$31),Timing!$F$59:$AE$59,"&lt;="&amp;Timing!M59))</f>
        <v>0</v>
      </c>
      <c r="N56" s="23">
        <f>IF(OR(Timing!N72=1,Timing!$C$31=0),0,SUMIFS($F$53:$AE$53,Timing!$F$59:$AE$59,"&gt;"&amp;(Timing!N59-Timing!$C$31),Timing!$F$59:$AE$59,"&lt;="&amp;Timing!N59))</f>
        <v>0</v>
      </c>
      <c r="O56" s="23">
        <f>IF(OR(Timing!O72=1,Timing!$C$31=0),0,SUMIFS($F$53:$AE$53,Timing!$F$59:$AE$59,"&gt;"&amp;(Timing!O59-Timing!$C$31),Timing!$F$59:$AE$59,"&lt;="&amp;Timing!O59))</f>
        <v>0</v>
      </c>
      <c r="P56" s="23">
        <f>IF(OR(Timing!P72=1,Timing!$C$31=0),0,SUMIFS($F$53:$AE$53,Timing!$F$59:$AE$59,"&gt;"&amp;(Timing!P59-Timing!$C$31),Timing!$F$59:$AE$59,"&lt;="&amp;Timing!P59))</f>
        <v>0</v>
      </c>
      <c r="Q56" s="23">
        <f>IF(OR(Timing!Q72=1,Timing!$C$31=0),0,SUMIFS($F$53:$AE$53,Timing!$F$59:$AE$59,"&gt;"&amp;(Timing!Q59-Timing!$C$31),Timing!$F$59:$AE$59,"&lt;="&amp;Timing!Q59))</f>
        <v>0</v>
      </c>
      <c r="R56" s="23">
        <f>IF(OR(Timing!R72=1,Timing!$C$31=0),0,SUMIFS($F$53:$AE$53,Timing!$F$59:$AE$59,"&gt;"&amp;(Timing!R59-Timing!$C$31),Timing!$F$59:$AE$59,"&lt;="&amp;Timing!R59))</f>
        <v>0</v>
      </c>
      <c r="S56" s="23">
        <f>IF(OR(Timing!S72=1,Timing!$C$31=0),0,SUMIFS($F$53:$AE$53,Timing!$F$59:$AE$59,"&gt;"&amp;(Timing!S59-Timing!$C$31),Timing!$F$59:$AE$59,"&lt;="&amp;Timing!S59))</f>
        <v>0</v>
      </c>
      <c r="T56" s="23">
        <f>IF(OR(Timing!T72=1,Timing!$C$31=0),0,SUMIFS($F$53:$AE$53,Timing!$F$59:$AE$59,"&gt;"&amp;(Timing!T59-Timing!$C$31),Timing!$F$59:$AE$59,"&lt;="&amp;Timing!T59))</f>
        <v>0</v>
      </c>
      <c r="U56" s="23">
        <f>IF(OR(Timing!U72=1,Timing!$C$31=0),0,SUMIFS($F$53:$AE$53,Timing!$F$59:$AE$59,"&gt;"&amp;(Timing!U59-Timing!$C$31),Timing!$F$59:$AE$59,"&lt;="&amp;Timing!U59))</f>
        <v>0</v>
      </c>
      <c r="V56" s="23">
        <f>IF(OR(Timing!V72=1,Timing!$C$31=0),0,SUMIFS($F$53:$AE$53,Timing!$F$59:$AE$59,"&gt;"&amp;(Timing!V59-Timing!$C$31),Timing!$F$59:$AE$59,"&lt;="&amp;Timing!V59))</f>
        <v>0</v>
      </c>
      <c r="W56" s="23">
        <f>IF(OR(Timing!W72=1,Timing!$C$31=0),0,SUMIFS($F$53:$AE$53,Timing!$F$59:$AE$59,"&gt;"&amp;(Timing!W59-Timing!$C$31),Timing!$F$59:$AE$59,"&lt;="&amp;Timing!W59))</f>
        <v>0</v>
      </c>
      <c r="X56" s="23">
        <f>IF(OR(Timing!X72=1,Timing!$C$31=0),0,SUMIFS($F$53:$AE$53,Timing!$F$59:$AE$59,"&gt;"&amp;(Timing!X59-Timing!$C$31),Timing!$F$59:$AE$59,"&lt;="&amp;Timing!X59))</f>
        <v>0</v>
      </c>
      <c r="Y56" s="23">
        <f>IF(OR(Timing!Y72=1,Timing!$C$31=0),0,SUMIFS($F$53:$AE$53,Timing!$F$59:$AE$59,"&gt;"&amp;(Timing!Y59-Timing!$C$31),Timing!$F$59:$AE$59,"&lt;="&amp;Timing!Y59))</f>
        <v>0</v>
      </c>
      <c r="Z56" s="23">
        <f>IF(OR(Timing!Z72=1,Timing!$C$31=0),0,SUMIFS($F$53:$AE$53,Timing!$F$59:$AE$59,"&gt;"&amp;(Timing!Z59-Timing!$C$31),Timing!$F$59:$AE$59,"&lt;="&amp;Timing!Z59))</f>
        <v>0</v>
      </c>
      <c r="AA56" s="23">
        <f>IF(OR(Timing!AA72=1,Timing!$C$31=0),0,SUMIFS($F$53:$AE$53,Timing!$F$59:$AE$59,"&gt;"&amp;(Timing!AA59-Timing!$C$31),Timing!$F$59:$AE$59,"&lt;="&amp;Timing!AA59))</f>
        <v>0</v>
      </c>
      <c r="AB56" s="23">
        <f>IF(OR(Timing!AB72=1,Timing!$C$31=0),0,SUMIFS($F$53:$AE$53,Timing!$F$59:$AE$59,"&gt;"&amp;(Timing!AB59-Timing!$C$31),Timing!$F$59:$AE$59,"&lt;="&amp;Timing!AB59))</f>
        <v>0</v>
      </c>
      <c r="AC56" s="23">
        <f>IF(OR(Timing!AC72=1,Timing!$C$31=0),0,SUMIFS($F$53:$AE$53,Timing!$F$59:$AE$59,"&gt;"&amp;(Timing!AC59-Timing!$C$31),Timing!$F$59:$AE$59,"&lt;="&amp;Timing!AC59))</f>
        <v>0</v>
      </c>
      <c r="AD56" s="23">
        <f>IF(OR(Timing!AD72=1,Timing!$C$31=0),0,SUMIFS($F$53:$AE$53,Timing!$F$59:$AE$59,"&gt;"&amp;(Timing!AD59-Timing!$C$31),Timing!$F$59:$AE$59,"&lt;="&amp;Timing!AD59))</f>
        <v>0</v>
      </c>
      <c r="AE56" s="23">
        <f>IF(OR(Timing!AE72=1,Timing!$C$31=0),0,SUMIFS($F$53:$AE$53,Timing!$F$59:$AE$59,"&gt;"&amp;(Timing!AE59-Timing!$C$31),Timing!$F$59:$AE$59,"&lt;="&amp;Timing!AE59))</f>
        <v>0</v>
      </c>
    </row>
    <row r="57">
      <c r="A57" s="6" t="inlineStr">
        <is>
          <t xml:space="preserve">Receivables: premium</t>
        </is>
      </c>
      <c r="B57" s="10" t="inlineStr">
        <is>
          <t xml:space="preserve">€</t>
        </is>
      </c>
      <c r="F57" s="23">
        <f>F55+F56</f>
        <v>0</v>
      </c>
      <c r="G57" s="23">
        <f>G55+G56</f>
        <v>0</v>
      </c>
      <c r="H57" s="23">
        <f>H55+H56</f>
        <v>0</v>
      </c>
      <c r="I57" s="23">
        <f>I55+I56</f>
        <v>0</v>
      </c>
      <c r="J57" s="23">
        <f>J55+J56</f>
        <v>0</v>
      </c>
      <c r="K57" s="23">
        <f>K55+K56</f>
        <v>0</v>
      </c>
      <c r="L57" s="23">
        <f>L55+L56</f>
        <v>0</v>
      </c>
      <c r="M57" s="23">
        <f>M55+M56</f>
        <v>0</v>
      </c>
      <c r="N57" s="23">
        <f>N55+N56</f>
        <v>0</v>
      </c>
      <c r="O57" s="23">
        <f>O55+O56</f>
        <v>0</v>
      </c>
      <c r="P57" s="23">
        <f>P55+P56</f>
        <v>0</v>
      </c>
      <c r="Q57" s="23">
        <f>Q55+Q56</f>
        <v>0</v>
      </c>
      <c r="R57" s="23">
        <f>R55+R56</f>
        <v>0</v>
      </c>
      <c r="S57" s="23">
        <f>S55+S56</f>
        <v>0</v>
      </c>
      <c r="T57" s="23">
        <f>T55+T56</f>
        <v>0</v>
      </c>
      <c r="U57" s="23">
        <f>U55+U56</f>
        <v>0</v>
      </c>
      <c r="V57" s="23">
        <f>V55+V56</f>
        <v>0</v>
      </c>
      <c r="W57" s="23">
        <f>W55+W56</f>
        <v>0</v>
      </c>
      <c r="X57" s="23">
        <f>X55+X56</f>
        <v>0</v>
      </c>
      <c r="Y57" s="23">
        <f>Y55+Y56</f>
        <v>0</v>
      </c>
      <c r="Z57" s="23">
        <f>Z55+Z56</f>
        <v>0</v>
      </c>
      <c r="AA57" s="23">
        <f>AA55+AA56</f>
        <v>0</v>
      </c>
      <c r="AB57" s="23">
        <f>AB55+AB56</f>
        <v>0</v>
      </c>
      <c r="AC57" s="23">
        <f>AC55+AC56</f>
        <v>0</v>
      </c>
      <c r="AD57" s="23">
        <f>AD55+AD56</f>
        <v>0</v>
      </c>
      <c r="AE57" s="23">
        <f>AE55+AE56</f>
        <v>0</v>
      </c>
    </row>
    <row r="58">
      <c r="A58" s="41" t="inlineStr">
        <is>
          <t xml:space="preserve">Receivables at year end</t>
        </is>
      </c>
      <c r="B58" s="10" t="inlineStr">
        <is>
          <t xml:space="preserve">€</t>
        </is>
      </c>
      <c r="E58" s="23">
        <f>$C$60</f>
        <v>498049.00082810305</v>
      </c>
      <c r="F58" s="42">
        <f>F54+F57</f>
        <v>498049.00082810305</v>
      </c>
      <c r="G58" s="42">
        <f>G54+G57</f>
        <v>417059.38089697313</v>
      </c>
      <c r="H58" s="42">
        <f>H54+H57</f>
        <v>410789.32897216186</v>
      </c>
      <c r="I58" s="42">
        <f>I54+I57</f>
        <v>418167.10532050184</v>
      </c>
      <c r="J58" s="42">
        <f>J54+J57</f>
        <v>424514.33356339124</v>
      </c>
      <c r="K58" s="42">
        <f>K54+K57</f>
        <v>433322.5523941739</v>
      </c>
      <c r="L58" s="42">
        <f>L54+L57</f>
        <v>441105.02543517324</v>
      </c>
      <c r="M58" s="42">
        <f>M54+M57</f>
        <v>449027.2716919889</v>
      </c>
      <c r="N58" s="42">
        <f>N54+N57</f>
        <v>455842.9167880481</v>
      </c>
      <c r="O58" s="42">
        <f>O54+O57</f>
        <v>465301.17024636595</v>
      </c>
      <c r="P58" s="42">
        <f>P54+P57</f>
        <v>473657.9792639904</v>
      </c>
      <c r="Q58" s="42">
        <f>Q54+Q57</f>
        <v>482164.8765715717</v>
      </c>
      <c r="R58" s="42">
        <f>R54+R57</f>
        <v>489483.5070505491</v>
      </c>
      <c r="S58" s="42">
        <f>S54+S57</f>
        <v>499639.7668120734</v>
      </c>
      <c r="T58" s="42">
        <f>T54+T57</f>
        <v>508613.2970240182</v>
      </c>
      <c r="U58" s="42">
        <f>U54+U57</f>
        <v>517747.99183856946</v>
      </c>
      <c r="V58" s="42">
        <f>V54+V57</f>
        <v>525606.7273409191</v>
      </c>
      <c r="W58" s="42">
        <f>W54+W57</f>
        <v>536512.5053260551</v>
      </c>
      <c r="X58" s="42">
        <f>X54+X57</f>
        <v>546148.2699217112</v>
      </c>
      <c r="Y58" s="42">
        <f>Y54+Y57</f>
        <v>555957.0928495051</v>
      </c>
      <c r="Z58" s="42">
        <f>Z54+Z57</f>
        <v>564395.7923949044</v>
      </c>
      <c r="AA58" s="42">
        <f>AA54+AA57</f>
        <v>576106.4020340602</v>
      </c>
      <c r="AB58" s="42">
        <f>AB54+AB57</f>
        <v>586453.2730145918</v>
      </c>
      <c r="AC58" s="42">
        <f>AC54+AC57</f>
        <v>596985.973797934</v>
      </c>
      <c r="AD58" s="42">
        <f>AD54+AD57</f>
        <v>606047.437947762</v>
      </c>
      <c r="AE58" s="42">
        <f>AE54+AE57</f>
        <v>0</v>
      </c>
    </row>
    <row r="59">
      <c r="A59" s="6" t="inlineStr">
        <is>
          <t xml:space="preserve">Change in working capital</t>
        </is>
      </c>
      <c r="B59" s="10" t="inlineStr">
        <is>
          <t xml:space="preserve">€</t>
        </is>
      </c>
      <c r="F59" s="23">
        <f>F58-E58</f>
        <v>0</v>
      </c>
      <c r="G59" s="23">
        <f>G58-F58</f>
        <v>-80989.61993112991</v>
      </c>
      <c r="H59" s="23">
        <f>H58-G58</f>
        <v>-6270.051924811269</v>
      </c>
      <c r="I59" s="23">
        <f>I58-H58</f>
        <v>7377.776348339976</v>
      </c>
      <c r="J59" s="23">
        <f>J58-I58</f>
        <v>6347.228242889396</v>
      </c>
      <c r="K59" s="23">
        <f>K58-J58</f>
        <v>8808.218830782687</v>
      </c>
      <c r="L59" s="23">
        <f>L58-K58</f>
        <v>7782.473040999321</v>
      </c>
      <c r="M59" s="23">
        <f>M58-L58</f>
        <v>7922.246256815677</v>
      </c>
      <c r="N59" s="23">
        <f>N58-M58</f>
        <v>6815.64509605919</v>
      </c>
      <c r="O59" s="23">
        <f>O58-N58</f>
        <v>9458.253458317835</v>
      </c>
      <c r="P59" s="23">
        <f>P58-O58</f>
        <v>8356.809017624473</v>
      </c>
      <c r="Q59" s="23">
        <f>Q58-P58</f>
        <v>8506.897307581268</v>
      </c>
      <c r="R59" s="23">
        <f>R58-Q58</f>
        <v>7318.6304789774</v>
      </c>
      <c r="S59" s="23">
        <f>S58-R58</f>
        <v>10156.259761524328</v>
      </c>
      <c r="T59" s="23">
        <f>T58-S58</f>
        <v>8973.530211944773</v>
      </c>
      <c r="U59" s="23">
        <f>U58-T58</f>
        <v>9134.694814551272</v>
      </c>
      <c r="V59" s="23">
        <f>V58-U58</f>
        <v>7858.73550234962</v>
      </c>
      <c r="W59" s="23">
        <f>W58-V58</f>
        <v>10905.777985136025</v>
      </c>
      <c r="X59" s="23">
        <f>X58-W58</f>
        <v>9635.764595656074</v>
      </c>
      <c r="Y59" s="23">
        <f>Y58-X58</f>
        <v>9808.822927793954</v>
      </c>
      <c r="Z59" s="23">
        <f>Z58-Y58</f>
        <v>8438.699545399286</v>
      </c>
      <c r="AA59" s="23">
        <f>AA58-Z58</f>
        <v>11710.609639155795</v>
      </c>
      <c r="AB59" s="23">
        <f>AB58-AA58</f>
        <v>10346.87098053156</v>
      </c>
      <c r="AC59" s="23">
        <f>AC58-AB58</f>
        <v>10532.70078334224</v>
      </c>
      <c r="AD59" s="23">
        <f>AD58-AC58</f>
        <v>9061.464149827952</v>
      </c>
      <c r="AE59" s="23">
        <f>AE58-AD58</f>
        <v>-606047.437947762</v>
      </c>
    </row>
    <row r="60">
      <c r="A60" s="6" t="inlineStr">
        <is>
          <t xml:space="preserve">Start-up liquidity: base receivables at the end of the first year</t>
        </is>
      </c>
      <c r="B60" s="10" t="inlineStr">
        <is>
          <t xml:space="preserve">€</t>
        </is>
      </c>
      <c r="C60" s="23">
        <f>MAX(0,F58)</f>
        <v>498049.00082810305</v>
      </c>
      <c r="D60" s="2" t="inlineStr">
        <is>
          <t xml:space="preserve">funded at COD; the same amount in every case</t>
        </is>
      </c>
    </row>
    <row r="62">
      <c r="A62" s="5" t="inlineStr">
        <is>
          <t xml:space="preserve">P90 1-yr</t>
        </is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>
      <c r="A63" s="6" t="inlineStr">
        <is>
          <t xml:space="preserve">Lender's floor: revenue counted up to the AW (1 = yes)</t>
        </is>
      </c>
      <c r="C63" s="23">
        <v>0</v>
      </c>
    </row>
    <row r="64">
      <c r="A64" s="6" t="inlineStr">
        <is>
          <t xml:space="preserve">Two-sided premium in this case (1 = yes)</t>
        </is>
      </c>
      <c r="C64" s="23">
        <f>IF(AND($C$63=0,Inputs!$C$35),1,0)</f>
        <v>0</v>
      </c>
    </row>
    <row r="65">
      <c r="A65" s="6" t="inlineStr">
        <is>
          <t xml:space="preserve">Site quality until the first § 36h review</t>
        </is>
      </c>
      <c r="C65" s="43">
        <f>Inputs!$C$16</f>
        <v>0.68</v>
      </c>
    </row>
    <row r="66">
      <c r="A66" s="6" t="inlineStr">
        <is>
          <t xml:space="preserve">Site quality after the reviews</t>
        </is>
      </c>
      <c r="C66" s="24">
        <f>Inputs!$C$16</f>
        <v>0.68</v>
      </c>
      <c r="D66" s="2" t="inlineStr">
        <is>
          <t xml:space="preserve">no review in this case</t>
        </is>
      </c>
    </row>
    <row r="67">
      <c r="A67" s="6" t="inlineStr">
        <is>
          <t xml:space="preserve">Correction factor until the first review</t>
        </is>
      </c>
      <c r="C67" s="44">
        <f>IF($C$65*100&lt;=IF(Inputs!$C$17,Inputs!$C$187,Inputs!$C$188),IF(Inputs!$C$17,Inputs!$C$185,Inputs!$C$184),IF($C$65*100&gt;=Inputs!$C$189,Inputs!$C$186,INDEX(Inputs!$B$173:$B$183,MATCH($C$65*100,Inputs!$A$173:$A$183,1))+($C$65*100-INDEX(Inputs!$A$173:$A$183,MATCH($C$65*100,Inputs!$A$173:$A$183,1)))/(INDEX(Inputs!$A$173:$A$183,MATCH($C$65*100,Inputs!$A$173:$A$183,1)+1)-INDEX(Inputs!$A$173:$A$183,MATCH($C$65*100,Inputs!$A$173:$A$183,1)))*(INDEX(Inputs!$B$173:$B$183,MATCH($C$65*100,Inputs!$A$173:$A$183,1)+1)-INDEX(Inputs!$B$173:$B$183,MATCH($C$65*100,Inputs!$A$173:$A$183,1)))))</f>
        <v>1.316</v>
      </c>
    </row>
    <row r="68">
      <c r="A68" s="6" t="inlineStr">
        <is>
          <t xml:space="preserve">Correction factor after the reviews</t>
        </is>
      </c>
      <c r="C68" s="44">
        <f>IF($C$66*100&lt;=IF(Inputs!$C$17,Inputs!$C$187,Inputs!$C$188),IF(Inputs!$C$17,Inputs!$C$185,Inputs!$C$184),IF($C$66*100&gt;=Inputs!$C$189,Inputs!$C$186,INDEX(Inputs!$B$173:$B$183,MATCH($C$66*100,Inputs!$A$173:$A$183,1))+($C$66*100-INDEX(Inputs!$A$173:$A$183,MATCH($C$66*100,Inputs!$A$173:$A$183,1)))/(INDEX(Inputs!$A$173:$A$183,MATCH($C$66*100,Inputs!$A$173:$A$183,1)+1)-INDEX(Inputs!$A$173:$A$183,MATCH($C$66*100,Inputs!$A$173:$A$183,1)))*(INDEX(Inputs!$B$173:$B$183,MATCH($C$66*100,Inputs!$A$173:$A$183,1)+1)-INDEX(Inputs!$B$173:$B$183,MATCH($C$66*100,Inputs!$A$173:$A$183,1)))))</f>
        <v>1.316</v>
      </c>
    </row>
    <row r="69">
      <c r="A69" s="6" t="inlineStr">
        <is>
          <t xml:space="preserve">AW until the first review (rounded to 0.01 ct)</t>
        </is>
      </c>
      <c r="B69" s="10" t="inlineStr">
        <is>
          <t xml:space="preserve">€/kWh</t>
        </is>
      </c>
      <c r="C69" s="21">
        <f>ROUND(Inputs!$C$27*$C$67,2)/100</f>
        <v>0.063</v>
      </c>
    </row>
    <row r="70">
      <c r="A70" s="6" t="inlineStr">
        <is>
          <t xml:space="preserve">AW after the reviews</t>
        </is>
      </c>
      <c r="B70" s="10" t="inlineStr">
        <is>
          <t xml:space="preserve">€/kWh</t>
        </is>
      </c>
      <c r="C70" s="21">
        <f>ROUND(Inputs!$C$27*$C$68,2)/100</f>
        <v>0.063</v>
      </c>
    </row>
    <row r="71">
      <c r="A71" s="6" t="inlineStr">
        <is>
          <t xml:space="preserve">Baseload price</t>
        </is>
      </c>
      <c r="B71" s="10" t="inlineStr">
        <is>
          <t xml:space="preserve">€/MWh</t>
        </is>
      </c>
      <c r="E71" s="26">
        <f>IF(COUNTIF(Inputs!$A$42:$A$44,Timing!$C$15-1)&gt;0,SUMIFS(Inputs!$B$42:$B$44,Inputs!$A$42:$A$44,Timing!$C$15-1),Inputs!$C$30*Timing!E76)*1</f>
        <v>128.37</v>
      </c>
      <c r="F71" s="26">
        <f>IF(COUNTIF(Inputs!$A$42:$A$44,Timing!F59)&gt;0,SUMIFS(Inputs!$B$42:$B$44,Inputs!$A$42:$A$44,Timing!F59),Inputs!$C$30*Timing!F76)*1</f>
        <v>98.88</v>
      </c>
      <c r="G71" s="26">
        <f>IF(COUNTIF(Inputs!$A$42:$A$44,Timing!G59)&gt;0,SUMIFS(Inputs!$B$42:$B$44,Inputs!$A$42:$A$44,Timing!G59),Inputs!$C$30*Timing!G76)*1</f>
        <v>82.74</v>
      </c>
      <c r="H71" s="26">
        <f>IF(COUNTIF(Inputs!$A$42:$A$44,Timing!H59)&gt;0,SUMIFS(Inputs!$B$42:$B$44,Inputs!$A$42:$A$44,Timing!H59),Inputs!$C$30*Timing!H76)*1</f>
        <v>81.65940939000001</v>
      </c>
      <c r="I71" s="26">
        <f>IF(COUNTIF(Inputs!$A$42:$A$44,Timing!I59)&gt;0,SUMIFS(Inputs!$B$42:$B$44,Inputs!$A$42:$A$44,Timing!I59),Inputs!$C$30*Timing!I76)*1</f>
        <v>83.2925975778</v>
      </c>
      <c r="J71" s="26">
        <f>IF(COUNTIF(Inputs!$A$42:$A$44,Timing!J59)&gt;0,SUMIFS(Inputs!$B$42:$B$44,Inputs!$A$42:$A$44,Timing!J59),Inputs!$C$30*Timing!J76)*1</f>
        <v>84.95844952935599</v>
      </c>
      <c r="K71" s="26">
        <f>IF(COUNTIF(Inputs!$A$42:$A$44,Timing!K59)&gt;0,SUMIFS(Inputs!$B$42:$B$44,Inputs!$A$42:$A$44,Timing!K59),Inputs!$C$30*Timing!K76)*1</f>
        <v>86.65761851994313</v>
      </c>
      <c r="L71" s="26">
        <f>IF(COUNTIF(Inputs!$A$42:$A$44,Timing!L59)&gt;0,SUMIFS(Inputs!$B$42:$B$44,Inputs!$A$42:$A$44,Timing!L59),Inputs!$C$30*Timing!L76)*1</f>
        <v>88.39077089034198</v>
      </c>
      <c r="M71" s="26">
        <f>IF(COUNTIF(Inputs!$A$42:$A$44,Timing!M59)&gt;0,SUMIFS(Inputs!$B$42:$B$44,Inputs!$A$42:$A$44,Timing!M59),Inputs!$C$30*Timing!M76)*1</f>
        <v>90.15858630814881</v>
      </c>
      <c r="N71" s="26">
        <f>IF(COUNTIF(Inputs!$A$42:$A$44,Timing!N59)&gt;0,SUMIFS(Inputs!$B$42:$B$44,Inputs!$A$42:$A$44,Timing!N59),Inputs!$C$30*Timing!N76)*1</f>
        <v>91.96175803431179</v>
      </c>
      <c r="O71" s="26">
        <f>IF(COUNTIF(Inputs!$A$42:$A$44,Timing!O59)&gt;0,SUMIFS(Inputs!$B$42:$B$44,Inputs!$A$42:$A$44,Timing!O59),Inputs!$C$30*Timing!O76)*1</f>
        <v>93.80099319499803</v>
      </c>
      <c r="P71" s="26">
        <f>IF(COUNTIF(Inputs!$A$42:$A$44,Timing!P59)&gt;0,SUMIFS(Inputs!$B$42:$B$44,Inputs!$A$42:$A$44,Timing!P59),Inputs!$C$30*Timing!P76)*1</f>
        <v>95.67701305889798</v>
      </c>
      <c r="Q71" s="26">
        <f>IF(COUNTIF(Inputs!$A$42:$A$44,Timing!Q59)&gt;0,SUMIFS(Inputs!$B$42:$B$44,Inputs!$A$42:$A$44,Timing!Q59),Inputs!$C$30*Timing!Q76)*1</f>
        <v>97.59055332007594</v>
      </c>
      <c r="R71" s="26">
        <f>IF(COUNTIF(Inputs!$A$42:$A$44,Timing!R59)&gt;0,SUMIFS(Inputs!$B$42:$B$44,Inputs!$A$42:$A$44,Timing!R59),Inputs!$C$30*Timing!R76)*1</f>
        <v>99.54236438647747</v>
      </c>
      <c r="S71" s="26">
        <f>IF(COUNTIF(Inputs!$A$42:$A$44,Timing!S59)&gt;0,SUMIFS(Inputs!$B$42:$B$44,Inputs!$A$42:$A$44,Timing!S59),Inputs!$C$30*Timing!S76)*1</f>
        <v>101.53321167420701</v>
      </c>
      <c r="T71" s="26">
        <f>IF(COUNTIF(Inputs!$A$42:$A$44,Timing!T59)&gt;0,SUMIFS(Inputs!$B$42:$B$44,Inputs!$A$42:$A$44,Timing!T59),Inputs!$C$30*Timing!T76)*1</f>
        <v>103.56387590769116</v>
      </c>
      <c r="U71" s="26">
        <f>IF(COUNTIF(Inputs!$A$42:$A$44,Timing!U59)&gt;0,SUMIFS(Inputs!$B$42:$B$44,Inputs!$A$42:$A$44,Timing!U59),Inputs!$C$30*Timing!U76)*1</f>
        <v>105.63515342584496</v>
      </c>
      <c r="V71" s="26">
        <f>IF(COUNTIF(Inputs!$A$42:$A$44,Timing!V59)&gt;0,SUMIFS(Inputs!$B$42:$B$44,Inputs!$A$42:$A$44,Timing!V59),Inputs!$C$30*Timing!V76)*1</f>
        <v>107.74785649436187</v>
      </c>
      <c r="W71" s="26">
        <f>IF(COUNTIF(Inputs!$A$42:$A$44,Timing!W59)&gt;0,SUMIFS(Inputs!$B$42:$B$44,Inputs!$A$42:$A$44,Timing!W59),Inputs!$C$30*Timing!W76)*1</f>
        <v>109.9028136242491</v>
      </c>
      <c r="X71" s="26">
        <f>IF(COUNTIF(Inputs!$A$42:$A$44,Timing!X59)&gt;0,SUMIFS(Inputs!$B$42:$B$44,Inputs!$A$42:$A$44,Timing!X59),Inputs!$C$30*Timing!X76)*1</f>
        <v>112.1008698967341</v>
      </c>
      <c r="Y71" s="26">
        <f>IF(COUNTIF(Inputs!$A$42:$A$44,Timing!Y59)&gt;0,SUMIFS(Inputs!$B$42:$B$44,Inputs!$A$42:$A$44,Timing!Y59),Inputs!$C$30*Timing!Y76)*1</f>
        <v>114.34288729466878</v>
      </c>
      <c r="Z71" s="26">
        <f>IF(COUNTIF(Inputs!$A$42:$A$44,Timing!Z59)&gt;0,SUMIFS(Inputs!$B$42:$B$44,Inputs!$A$42:$A$44,Timing!Z59),Inputs!$C$30*Timing!Z76)*1</f>
        <v>116.62974504056216</v>
      </c>
      <c r="AA71" s="26">
        <f>IF(COUNTIF(Inputs!$A$42:$A$44,Timing!AA59)&gt;0,SUMIFS(Inputs!$B$42:$B$44,Inputs!$A$42:$A$44,Timing!AA59),Inputs!$C$30*Timing!AA76)*1</f>
        <v>118.9623399413734</v>
      </c>
      <c r="AB71" s="26">
        <f>IF(COUNTIF(Inputs!$A$42:$A$44,Timing!AB59)&gt;0,SUMIFS(Inputs!$B$42:$B$44,Inputs!$A$42:$A$44,Timing!AB59),Inputs!$C$30*Timing!AB76)*1</f>
        <v>121.34158674020087</v>
      </c>
      <c r="AC71" s="26">
        <f>IF(COUNTIF(Inputs!$A$42:$A$44,Timing!AC59)&gt;0,SUMIFS(Inputs!$B$42:$B$44,Inputs!$A$42:$A$44,Timing!AC59),Inputs!$C$30*Timing!AC76)*1</f>
        <v>123.76841847500489</v>
      </c>
      <c r="AD71" s="26">
        <f>IF(COUNTIF(Inputs!$A$42:$A$44,Timing!AD59)&gt;0,SUMIFS(Inputs!$B$42:$B$44,Inputs!$A$42:$A$44,Timing!AD59),Inputs!$C$30*Timing!AD76)*1</f>
        <v>126.243786844505</v>
      </c>
      <c r="AE71" s="26">
        <f>IF(COUNTIF(Inputs!$A$42:$A$44,Timing!AE59)&gt;0,SUMIFS(Inputs!$B$42:$B$44,Inputs!$A$42:$A$44,Timing!AE59),Inputs!$C$30*Timing!AE76)*1</f>
        <v>128.76866258139512</v>
      </c>
    </row>
    <row r="72">
      <c r="A72" s="6" t="inlineStr">
        <is>
          <t xml:space="preserve">Market value of wind (JW)</t>
        </is>
      </c>
      <c r="B72" s="10" t="inlineStr">
        <is>
          <t xml:space="preserve">€/kWh</t>
        </is>
      </c>
      <c r="E72" s="37">
        <f>E71*Inputs!$C$31/1000</f>
        <v>0.10269600000000001</v>
      </c>
      <c r="F72" s="37">
        <f>F71*Inputs!$C$31/1000</f>
        <v>0.079104</v>
      </c>
      <c r="G72" s="37">
        <f>G71*Inputs!$C$31/1000</f>
        <v>0.06619199999999999</v>
      </c>
      <c r="H72" s="37">
        <f>H71*Inputs!$C$31/1000</f>
        <v>0.06532752751200001</v>
      </c>
      <c r="I72" s="37">
        <f>I71*Inputs!$C$31/1000</f>
        <v>0.06663407806223999</v>
      </c>
      <c r="J72" s="37">
        <f>J71*Inputs!$C$31/1000</f>
        <v>0.0679667596234848</v>
      </c>
      <c r="K72" s="37">
        <f>K71*Inputs!$C$31/1000</f>
        <v>0.0693260948159545</v>
      </c>
      <c r="L72" s="37">
        <f>L71*Inputs!$C$31/1000</f>
        <v>0.0707126167122736</v>
      </c>
      <c r="M72" s="37">
        <f>M71*Inputs!$C$31/1000</f>
        <v>0.07212686904651905</v>
      </c>
      <c r="N72" s="37">
        <f>N71*Inputs!$C$31/1000</f>
        <v>0.07356940642744944</v>
      </c>
      <c r="O72" s="37">
        <f>O71*Inputs!$C$31/1000</f>
        <v>0.07504079455599844</v>
      </c>
      <c r="P72" s="37">
        <f>P71*Inputs!$C$31/1000</f>
        <v>0.0765416104471184</v>
      </c>
      <c r="Q72" s="37">
        <f>Q71*Inputs!$C$31/1000</f>
        <v>0.07807244265606075</v>
      </c>
      <c r="R72" s="37">
        <f>R71*Inputs!$C$31/1000</f>
        <v>0.07963389150918197</v>
      </c>
      <c r="S72" s="37">
        <f>S71*Inputs!$C$31/1000</f>
        <v>0.08122656933936562</v>
      </c>
      <c r="T72" s="37">
        <f>T71*Inputs!$C$31/1000</f>
        <v>0.08285110072615294</v>
      </c>
      <c r="U72" s="37">
        <f>U71*Inputs!$C$31/1000</f>
        <v>0.08450812274067597</v>
      </c>
      <c r="V72" s="37">
        <f>V71*Inputs!$C$31/1000</f>
        <v>0.0861982851954895</v>
      </c>
      <c r="W72" s="37">
        <f>W71*Inputs!$C$31/1000</f>
        <v>0.08792225089939928</v>
      </c>
      <c r="X72" s="37">
        <f>X71*Inputs!$C$31/1000</f>
        <v>0.08968069591738728</v>
      </c>
      <c r="Y72" s="37">
        <f>Y71*Inputs!$C$31/1000</f>
        <v>0.09147430983573503</v>
      </c>
      <c r="Z72" s="37">
        <f>Z71*Inputs!$C$31/1000</f>
        <v>0.09330379603244973</v>
      </c>
      <c r="AA72" s="37">
        <f>AA71*Inputs!$C$31/1000</f>
        <v>0.09516987195309871</v>
      </c>
      <c r="AB72" s="37">
        <f>AB71*Inputs!$C$31/1000</f>
        <v>0.0970732693921607</v>
      </c>
      <c r="AC72" s="37">
        <f>AC71*Inputs!$C$31/1000</f>
        <v>0.09901473478000392</v>
      </c>
      <c r="AD72" s="37">
        <f>AD71*Inputs!$C$31/1000</f>
        <v>0.100995029475604</v>
      </c>
      <c r="AE72" s="37">
        <f>AE71*Inputs!$C$31/1000</f>
        <v>0.1030149300651161</v>
      </c>
    </row>
    <row r="73">
      <c r="A73" s="6" t="inlineStr">
        <is>
          <t xml:space="preserve">Market value of the year before (basis of the advances, § 26)</t>
        </is>
      </c>
      <c r="B73" s="10" t="inlineStr">
        <is>
          <t xml:space="preserve">€/kWh</t>
        </is>
      </c>
      <c r="F73" s="37">
        <f>E72</f>
        <v>0.10269600000000001</v>
      </c>
      <c r="G73" s="37">
        <f>F72</f>
        <v>0.079104</v>
      </c>
      <c r="H73" s="37">
        <f>G72</f>
        <v>0.06619199999999999</v>
      </c>
      <c r="I73" s="37">
        <f>H72</f>
        <v>0.06532752751200001</v>
      </c>
      <c r="J73" s="37">
        <f>I72</f>
        <v>0.06663407806223999</v>
      </c>
      <c r="K73" s="37">
        <f>J72</f>
        <v>0.0679667596234848</v>
      </c>
      <c r="L73" s="37">
        <f>K72</f>
        <v>0.0693260948159545</v>
      </c>
      <c r="M73" s="37">
        <f>L72</f>
        <v>0.0707126167122736</v>
      </c>
      <c r="N73" s="37">
        <f>M72</f>
        <v>0.07212686904651905</v>
      </c>
      <c r="O73" s="37">
        <f>N72</f>
        <v>0.07356940642744944</v>
      </c>
      <c r="P73" s="37">
        <f>O72</f>
        <v>0.07504079455599844</v>
      </c>
      <c r="Q73" s="37">
        <f>P72</f>
        <v>0.0765416104471184</v>
      </c>
      <c r="R73" s="37">
        <f>Q72</f>
        <v>0.07807244265606075</v>
      </c>
      <c r="S73" s="37">
        <f>R72</f>
        <v>0.07963389150918197</v>
      </c>
      <c r="T73" s="37">
        <f>S72</f>
        <v>0.08122656933936562</v>
      </c>
      <c r="U73" s="37">
        <f>T72</f>
        <v>0.08285110072615294</v>
      </c>
      <c r="V73" s="37">
        <f>U72</f>
        <v>0.08450812274067597</v>
      </c>
      <c r="W73" s="37">
        <f>V72</f>
        <v>0.0861982851954895</v>
      </c>
      <c r="X73" s="37">
        <f>W72</f>
        <v>0.08792225089939928</v>
      </c>
      <c r="Y73" s="37">
        <f>X72</f>
        <v>0.08968069591738728</v>
      </c>
      <c r="Z73" s="37">
        <f>Y72</f>
        <v>0.09147430983573503</v>
      </c>
      <c r="AA73" s="37">
        <f>Z72</f>
        <v>0.09330379603244973</v>
      </c>
      <c r="AB73" s="37">
        <f>AA72</f>
        <v>0.09516987195309871</v>
      </c>
      <c r="AC73" s="37">
        <f>AB72</f>
        <v>0.0970732693921607</v>
      </c>
      <c r="AD73" s="37">
        <f>AC72</f>
        <v>0.09901473478000392</v>
      </c>
      <c r="AE73" s="37">
        <f>AD72</f>
        <v>0.100995029475604</v>
      </c>
    </row>
    <row r="74">
      <c r="A74" s="6" t="inlineStr">
        <is>
          <t xml:space="preserve">Output</t>
        </is>
      </c>
      <c r="B74" s="10" t="inlineStr">
        <is>
          <t xml:space="preserve">kWh</t>
        </is>
      </c>
      <c r="F74" s="23">
        <f>Timing!$C$28*Timing!$C$29*Timing!F66*Timing!F73*Inputs!$C$107</f>
        <v>32281462.372681748</v>
      </c>
      <c r="G74" s="23">
        <f>Timing!$C$28*Timing!$C$29*Timing!G66*Timing!G73*Inputs!$C$107</f>
        <v>64083615.20622129</v>
      </c>
      <c r="H74" s="23">
        <f>Timing!$C$28*Timing!$C$29*Timing!H66*Timing!H73*Inputs!$C$107</f>
        <v>63955447.975808844</v>
      </c>
      <c r="I74" s="23">
        <f>Timing!$C$28*Timing!$C$29*Timing!I66*Timing!I73*Inputs!$C$107</f>
        <v>63827537.07985724</v>
      </c>
      <c r="J74" s="23">
        <f>Timing!$C$28*Timing!$C$29*Timing!J66*Timing!J73*Inputs!$C$107</f>
        <v>63699882.00569751</v>
      </c>
      <c r="K74" s="23">
        <f>Timing!$C$28*Timing!$C$29*Timing!K66*Timing!K73*Inputs!$C$107</f>
        <v>63572482.24168612</v>
      </c>
      <c r="L74" s="23">
        <f>Timing!$C$28*Timing!$C$29*Timing!L66*Timing!L73*Inputs!$C$107</f>
        <v>63445337.27720275</v>
      </c>
      <c r="M74" s="23">
        <f>Timing!$C$28*Timing!$C$29*Timing!M66*Timing!M73*Inputs!$C$107</f>
        <v>63318446.60264834</v>
      </c>
      <c r="N74" s="23">
        <f>Timing!$C$28*Timing!$C$29*Timing!N66*Timing!N73*Inputs!$C$107</f>
        <v>63191809.70944304</v>
      </c>
      <c r="O74" s="23">
        <f>Timing!$C$28*Timing!$C$29*Timing!O66*Timing!O73*Inputs!$C$107</f>
        <v>63065426.090024166</v>
      </c>
      <c r="P74" s="23">
        <f>Timing!$C$28*Timing!$C$29*Timing!P66*Timing!P73*Inputs!$C$107</f>
        <v>62939295.2378441</v>
      </c>
      <c r="Q74" s="23">
        <f>Timing!$C$28*Timing!$C$29*Timing!Q66*Timing!Q73*Inputs!$C$107</f>
        <v>62813416.64736842</v>
      </c>
      <c r="R74" s="23">
        <f>Timing!$C$28*Timing!$C$29*Timing!R66*Timing!R73*Inputs!$C$107</f>
        <v>62687789.81407368</v>
      </c>
      <c r="S74" s="23">
        <f>Timing!$C$28*Timing!$C$29*Timing!S66*Timing!S73*Inputs!$C$107</f>
        <v>62562414.23444555</v>
      </c>
      <c r="T74" s="23">
        <f>Timing!$C$28*Timing!$C$29*Timing!T66*Timing!T73*Inputs!$C$107</f>
        <v>62437289.405976646</v>
      </c>
      <c r="U74" s="23">
        <f>Timing!$C$28*Timing!$C$29*Timing!U66*Timing!U73*Inputs!$C$107</f>
        <v>62312414.827164695</v>
      </c>
      <c r="V74" s="23">
        <f>Timing!$C$28*Timing!$C$29*Timing!V66*Timing!V73*Inputs!$C$107</f>
        <v>62187789.99751036</v>
      </c>
      <c r="W74" s="23">
        <f>Timing!$C$28*Timing!$C$29*Timing!W66*Timing!W73*Inputs!$C$107</f>
        <v>62063414.41751534</v>
      </c>
      <c r="X74" s="23">
        <f>Timing!$C$28*Timing!$C$29*Timing!X66*Timing!X73*Inputs!$C$107</f>
        <v>61939287.58868031</v>
      </c>
      <c r="Y74" s="23">
        <f>Timing!$C$28*Timing!$C$29*Timing!Y66*Timing!Y73*Inputs!$C$107</f>
        <v>61815409.01350295</v>
      </c>
      <c r="Z74" s="23">
        <f>Timing!$C$28*Timing!$C$29*Timing!Z66*Timing!Z73*Inputs!$C$107</f>
        <v>61691778.19547594</v>
      </c>
      <c r="AA74" s="23">
        <f>Timing!$C$28*Timing!$C$29*Timing!AA66*Timing!AA73*Inputs!$C$107</f>
        <v>61568394.639084995</v>
      </c>
      <c r="AB74" s="23">
        <f>Timing!$C$28*Timing!$C$29*Timing!AB66*Timing!AB73*Inputs!$C$107</f>
        <v>61445257.84980682</v>
      </c>
      <c r="AC74" s="23">
        <f>Timing!$C$28*Timing!$C$29*Timing!AC66*Timing!AC73*Inputs!$C$107</f>
        <v>61322367.33410722</v>
      </c>
      <c r="AD74" s="23">
        <f>Timing!$C$28*Timing!$C$29*Timing!AD66*Timing!AD73*Inputs!$C$107</f>
        <v>61199722.599438995</v>
      </c>
      <c r="AE74" s="23">
        <f>Timing!$C$28*Timing!$C$29*Timing!AE66*Timing!AE73*Inputs!$C$107</f>
        <v>30287658.879225925</v>
      </c>
    </row>
    <row r="75">
      <c r="A75" s="6" t="inlineStr">
        <is>
          <t xml:space="preserve">Output sold (not curtailed at negative prices)</t>
        </is>
      </c>
      <c r="B75" s="10" t="inlineStr">
        <is>
          <t xml:space="preserve">kWh</t>
        </is>
      </c>
      <c r="F75" s="23">
        <f>F74*(1-Inputs!$C$23)</f>
        <v>30667389.25404766</v>
      </c>
      <c r="G75" s="23">
        <f>G74*(1-Inputs!$C$23)</f>
        <v>60879434.44591022</v>
      </c>
      <c r="H75" s="23">
        <f>H74*(1-Inputs!$C$23)</f>
        <v>60757675.5770184</v>
      </c>
      <c r="I75" s="23">
        <f>I74*(1-Inputs!$C$23)</f>
        <v>60636160.22586437</v>
      </c>
      <c r="J75" s="23">
        <f>J74*(1-Inputs!$C$23)</f>
        <v>60514887.90541263</v>
      </c>
      <c r="K75" s="23">
        <f>K74*(1-Inputs!$C$23)</f>
        <v>60393858.129601814</v>
      </c>
      <c r="L75" s="23">
        <f>L74*(1-Inputs!$C$23)</f>
        <v>60273070.41334261</v>
      </c>
      <c r="M75" s="23">
        <f>M74*(1-Inputs!$C$23)</f>
        <v>60152524.27251592</v>
      </c>
      <c r="N75" s="23">
        <f>N74*(1-Inputs!$C$23)</f>
        <v>60032219.22397088</v>
      </c>
      <c r="O75" s="23">
        <f>O74*(1-Inputs!$C$23)</f>
        <v>59912154.78552295</v>
      </c>
      <c r="P75" s="23">
        <f>P74*(1-Inputs!$C$23)</f>
        <v>59792330.475951895</v>
      </c>
      <c r="Q75" s="23">
        <f>Q74*(1-Inputs!$C$23)</f>
        <v>59672745.815</v>
      </c>
      <c r="R75" s="23">
        <f>R74*(1-Inputs!$C$23)</f>
        <v>59553400.323369995</v>
      </c>
      <c r="S75" s="23">
        <f>S74*(1-Inputs!$C$23)</f>
        <v>59434293.52272327</v>
      </c>
      <c r="T75" s="23">
        <f>T74*(1-Inputs!$C$23)</f>
        <v>59315424.93567781</v>
      </c>
      <c r="U75" s="23">
        <f>U74*(1-Inputs!$C$23)</f>
        <v>59196794.08580646</v>
      </c>
      <c r="V75" s="23">
        <f>V74*(1-Inputs!$C$23)</f>
        <v>59078400.497634836</v>
      </c>
      <c r="W75" s="23">
        <f>W74*(1-Inputs!$C$23)</f>
        <v>58960243.69663957</v>
      </c>
      <c r="X75" s="23">
        <f>X74*(1-Inputs!$C$23)</f>
        <v>58842323.20924629</v>
      </c>
      <c r="Y75" s="23">
        <f>Y74*(1-Inputs!$C$23)</f>
        <v>58724638.562827796</v>
      </c>
      <c r="Z75" s="23">
        <f>Z74*(1-Inputs!$C$23)</f>
        <v>58607189.28570215</v>
      </c>
      <c r="AA75" s="23">
        <f>AA74*(1-Inputs!$C$23)</f>
        <v>58489974.90713074</v>
      </c>
      <c r="AB75" s="23">
        <f>AB74*(1-Inputs!$C$23)</f>
        <v>58372994.95731648</v>
      </c>
      <c r="AC75" s="23">
        <f>AC74*(1-Inputs!$C$23)</f>
        <v>58256248.967401855</v>
      </c>
      <c r="AD75" s="23">
        <f>AD74*(1-Inputs!$C$23)</f>
        <v>58139736.469467044</v>
      </c>
      <c r="AE75" s="23">
        <f>AE74*(1-Inputs!$C$23)</f>
        <v>28773275.93526463</v>
      </c>
    </row>
    <row r="76">
      <c r="A76" s="6" t="inlineStr">
        <is>
          <t xml:space="preserve">Output eligible for the premium</t>
        </is>
      </c>
      <c r="B76" s="10" t="inlineStr">
        <is>
          <t xml:space="preserve">kWh</t>
        </is>
      </c>
      <c r="F76" s="23">
        <f>F75*Timing!F69</f>
        <v>30667389.25404766</v>
      </c>
      <c r="G76" s="23">
        <f>G75*Timing!G69</f>
        <v>60879434.44591022</v>
      </c>
      <c r="H76" s="23">
        <f>H75*Timing!H69</f>
        <v>60757675.5770184</v>
      </c>
      <c r="I76" s="23">
        <f>I75*Timing!I69</f>
        <v>60636160.22586437</v>
      </c>
      <c r="J76" s="23">
        <f>J75*Timing!J69</f>
        <v>60514887.90541263</v>
      </c>
      <c r="K76" s="23">
        <f>K75*Timing!K69</f>
        <v>60393858.129601814</v>
      </c>
      <c r="L76" s="23">
        <f>L75*Timing!L69</f>
        <v>60273070.41334261</v>
      </c>
      <c r="M76" s="23">
        <f>M75*Timing!M69</f>
        <v>60152524.27251592</v>
      </c>
      <c r="N76" s="23">
        <f>N75*Timing!N69</f>
        <v>60032219.22397088</v>
      </c>
      <c r="O76" s="23">
        <f>O75*Timing!O69</f>
        <v>59912154.78552295</v>
      </c>
      <c r="P76" s="23">
        <f>P75*Timing!P69</f>
        <v>59792330.475951895</v>
      </c>
      <c r="Q76" s="23">
        <f>Q75*Timing!Q69</f>
        <v>59672745.815</v>
      </c>
      <c r="R76" s="23">
        <f>R75*Timing!R69</f>
        <v>59553400.323369995</v>
      </c>
      <c r="S76" s="23">
        <f>S75*Timing!S69</f>
        <v>59434293.52272327</v>
      </c>
      <c r="T76" s="23">
        <f>T75*Timing!T69</f>
        <v>59315424.93567781</v>
      </c>
      <c r="U76" s="23">
        <f>U75*Timing!U69</f>
        <v>59196794.08580646</v>
      </c>
      <c r="V76" s="23">
        <f>V75*Timing!V69</f>
        <v>59078400.497634836</v>
      </c>
      <c r="W76" s="23">
        <f>W75*Timing!W69</f>
        <v>58960243.69663957</v>
      </c>
      <c r="X76" s="23">
        <f>X75*Timing!X69</f>
        <v>58842323.20924629</v>
      </c>
      <c r="Y76" s="23">
        <f>Y75*Timing!Y69</f>
        <v>58724638.562827796</v>
      </c>
      <c r="Z76" s="23">
        <f>Z75*Timing!Z69</f>
        <v>58607189.28570215</v>
      </c>
      <c r="AA76" s="23">
        <f>AA75*Timing!AA69</f>
        <v>44708775.33997117</v>
      </c>
      <c r="AB76" s="23">
        <f>AB75*Timing!AB69</f>
        <v>0</v>
      </c>
      <c r="AC76" s="23">
        <f>AC75*Timing!AC69</f>
        <v>0</v>
      </c>
      <c r="AD76" s="23">
        <f>AD75*Timing!AD69</f>
        <v>0</v>
      </c>
      <c r="AE76" s="23">
        <f>AE75*Timing!AE69</f>
        <v>0</v>
      </c>
    </row>
    <row r="77">
      <c r="A77" s="6" t="inlineStr">
        <is>
          <t xml:space="preserve">Premium per kWh at the first AW</t>
        </is>
      </c>
      <c r="B77" s="10" t="inlineStr">
        <is>
          <t xml:space="preserve">€/kWh</t>
        </is>
      </c>
      <c r="F77" s="37">
        <f>IF($C$64=1,$C$69-F72,MAX(0,$C$69-F72))</f>
        <v>0</v>
      </c>
      <c r="G77" s="37">
        <f>IF($C$64=1,$C$69-G72,MAX(0,$C$69-G72))</f>
        <v>0</v>
      </c>
      <c r="H77" s="37">
        <f>IF($C$64=1,$C$69-H72,MAX(0,$C$69-H72))</f>
        <v>0</v>
      </c>
      <c r="I77" s="37">
        <f>IF($C$64=1,$C$69-I72,MAX(0,$C$69-I72))</f>
        <v>0</v>
      </c>
      <c r="J77" s="37">
        <f>IF($C$64=1,$C$69-J72,MAX(0,$C$69-J72))</f>
        <v>0</v>
      </c>
      <c r="K77" s="37">
        <f>IF($C$64=1,$C$69-K72,MAX(0,$C$69-K72))</f>
        <v>0</v>
      </c>
      <c r="L77" s="37">
        <f>IF($C$64=1,$C$69-L72,MAX(0,$C$69-L72))</f>
        <v>0</v>
      </c>
      <c r="M77" s="37">
        <f>IF($C$64=1,$C$69-M72,MAX(0,$C$69-M72))</f>
        <v>0</v>
      </c>
      <c r="N77" s="37">
        <f>IF($C$64=1,$C$69-N72,MAX(0,$C$69-N72))</f>
        <v>0</v>
      </c>
      <c r="O77" s="37">
        <f>IF($C$64=1,$C$69-O72,MAX(0,$C$69-O72))</f>
        <v>0</v>
      </c>
      <c r="P77" s="37">
        <f>IF($C$64=1,$C$69-P72,MAX(0,$C$69-P72))</f>
        <v>0</v>
      </c>
      <c r="Q77" s="37">
        <f>IF($C$64=1,$C$69-Q72,MAX(0,$C$69-Q72))</f>
        <v>0</v>
      </c>
      <c r="R77" s="37">
        <f>IF($C$64=1,$C$69-R72,MAX(0,$C$69-R72))</f>
        <v>0</v>
      </c>
      <c r="S77" s="37">
        <f>IF($C$64=1,$C$69-S72,MAX(0,$C$69-S72))</f>
        <v>0</v>
      </c>
      <c r="T77" s="37">
        <f>IF($C$64=1,$C$69-T72,MAX(0,$C$69-T72))</f>
        <v>0</v>
      </c>
      <c r="U77" s="37">
        <f>IF($C$64=1,$C$69-U72,MAX(0,$C$69-U72))</f>
        <v>0</v>
      </c>
      <c r="V77" s="37">
        <f>IF($C$64=1,$C$69-V72,MAX(0,$C$69-V72))</f>
        <v>0</v>
      </c>
      <c r="W77" s="37">
        <f>IF($C$64=1,$C$69-W72,MAX(0,$C$69-W72))</f>
        <v>0</v>
      </c>
      <c r="X77" s="37">
        <f>IF($C$64=1,$C$69-X72,MAX(0,$C$69-X72))</f>
        <v>0</v>
      </c>
      <c r="Y77" s="37">
        <f>IF($C$64=1,$C$69-Y72,MAX(0,$C$69-Y72))</f>
        <v>0</v>
      </c>
      <c r="Z77" s="37">
        <f>IF($C$64=1,$C$69-Z72,MAX(0,$C$69-Z72))</f>
        <v>0</v>
      </c>
      <c r="AA77" s="37">
        <f>IF($C$64=1,$C$69-AA72,MAX(0,$C$69-AA72))</f>
        <v>0</v>
      </c>
      <c r="AB77" s="37">
        <f>IF($C$64=1,$C$69-AB72,MAX(0,$C$69-AB72))</f>
        <v>0</v>
      </c>
      <c r="AC77" s="37">
        <f>IF($C$64=1,$C$69-AC72,MAX(0,$C$69-AC72))</f>
        <v>0</v>
      </c>
      <c r="AD77" s="37">
        <f>IF($C$64=1,$C$69-AD72,MAX(0,$C$69-AD72))</f>
        <v>0</v>
      </c>
      <c r="AE77" s="37">
        <f>IF($C$64=1,$C$69-AE72,MAX(0,$C$69-AE72))</f>
        <v>0</v>
      </c>
    </row>
    <row r="78">
      <c r="A78" s="6" t="inlineStr">
        <is>
          <t xml:space="preserve">Premium per kWh at the reviewed AW</t>
        </is>
      </c>
      <c r="B78" s="10" t="inlineStr">
        <is>
          <t xml:space="preserve">€/kWh</t>
        </is>
      </c>
      <c r="F78" s="37">
        <f>IF($C$64=1,$C$70-F72,MAX(0,$C$70-F72))</f>
        <v>0</v>
      </c>
      <c r="G78" s="37">
        <f>IF($C$64=1,$C$70-G72,MAX(0,$C$70-G72))</f>
        <v>0</v>
      </c>
      <c r="H78" s="37">
        <f>IF($C$64=1,$C$70-H72,MAX(0,$C$70-H72))</f>
        <v>0</v>
      </c>
      <c r="I78" s="37">
        <f>IF($C$64=1,$C$70-I72,MAX(0,$C$70-I72))</f>
        <v>0</v>
      </c>
      <c r="J78" s="37">
        <f>IF($C$64=1,$C$70-J72,MAX(0,$C$70-J72))</f>
        <v>0</v>
      </c>
      <c r="K78" s="37">
        <f>IF($C$64=1,$C$70-K72,MAX(0,$C$70-K72))</f>
        <v>0</v>
      </c>
      <c r="L78" s="37">
        <f>IF($C$64=1,$C$70-L72,MAX(0,$C$70-L72))</f>
        <v>0</v>
      </c>
      <c r="M78" s="37">
        <f>IF($C$64=1,$C$70-M72,MAX(0,$C$70-M72))</f>
        <v>0</v>
      </c>
      <c r="N78" s="37">
        <f>IF($C$64=1,$C$70-N72,MAX(0,$C$70-N72))</f>
        <v>0</v>
      </c>
      <c r="O78" s="37">
        <f>IF($C$64=1,$C$70-O72,MAX(0,$C$70-O72))</f>
        <v>0</v>
      </c>
      <c r="P78" s="37">
        <f>IF($C$64=1,$C$70-P72,MAX(0,$C$70-P72))</f>
        <v>0</v>
      </c>
      <c r="Q78" s="37">
        <f>IF($C$64=1,$C$70-Q72,MAX(0,$C$70-Q72))</f>
        <v>0</v>
      </c>
      <c r="R78" s="37">
        <f>IF($C$64=1,$C$70-R72,MAX(0,$C$70-R72))</f>
        <v>0</v>
      </c>
      <c r="S78" s="37">
        <f>IF($C$64=1,$C$70-S72,MAX(0,$C$70-S72))</f>
        <v>0</v>
      </c>
      <c r="T78" s="37">
        <f>IF($C$64=1,$C$70-T72,MAX(0,$C$70-T72))</f>
        <v>0</v>
      </c>
      <c r="U78" s="37">
        <f>IF($C$64=1,$C$70-U72,MAX(0,$C$70-U72))</f>
        <v>0</v>
      </c>
      <c r="V78" s="37">
        <f>IF($C$64=1,$C$70-V72,MAX(0,$C$70-V72))</f>
        <v>0</v>
      </c>
      <c r="W78" s="37">
        <f>IF($C$64=1,$C$70-W72,MAX(0,$C$70-W72))</f>
        <v>0</v>
      </c>
      <c r="X78" s="37">
        <f>IF($C$64=1,$C$70-X72,MAX(0,$C$70-X72))</f>
        <v>0</v>
      </c>
      <c r="Y78" s="37">
        <f>IF($C$64=1,$C$70-Y72,MAX(0,$C$70-Y72))</f>
        <v>0</v>
      </c>
      <c r="Z78" s="37">
        <f>IF($C$64=1,$C$70-Z72,MAX(0,$C$70-Z72))</f>
        <v>0</v>
      </c>
      <c r="AA78" s="37">
        <f>IF($C$64=1,$C$70-AA72,MAX(0,$C$70-AA72))</f>
        <v>0</v>
      </c>
      <c r="AB78" s="37">
        <f>IF($C$64=1,$C$70-AB72,MAX(0,$C$70-AB72))</f>
        <v>0</v>
      </c>
      <c r="AC78" s="37">
        <f>IF($C$64=1,$C$70-AC72,MAX(0,$C$70-AC72))</f>
        <v>0</v>
      </c>
      <c r="AD78" s="37">
        <f>IF($C$64=1,$C$70-AD72,MAX(0,$C$70-AD72))</f>
        <v>0</v>
      </c>
      <c r="AE78" s="37">
        <f>IF($C$64=1,$C$70-AE72,MAX(0,$C$70-AE72))</f>
        <v>0</v>
      </c>
    </row>
    <row r="79">
      <c r="A79" s="6" t="inlineStr">
        <is>
          <t xml:space="preserve">Market premium per kWh (Anlage 1 EEG)</t>
        </is>
      </c>
      <c r="B79" s="10" t="inlineStr">
        <is>
          <t xml:space="preserve">€/kWh</t>
        </is>
      </c>
      <c r="F79" s="37">
        <f>Timing!F77*F77+(Timing!F78+Timing!F79+Timing!F80)*F78</f>
        <v>0</v>
      </c>
      <c r="G79" s="37">
        <f>Timing!G77*G77+(Timing!G78+Timing!G79+Timing!G80)*G78</f>
        <v>0</v>
      </c>
      <c r="H79" s="37">
        <f>Timing!H77*H77+(Timing!H78+Timing!H79+Timing!H80)*H78</f>
        <v>0</v>
      </c>
      <c r="I79" s="37">
        <f>Timing!I77*I77+(Timing!I78+Timing!I79+Timing!I80)*I78</f>
        <v>0</v>
      </c>
      <c r="J79" s="37">
        <f>Timing!J77*J77+(Timing!J78+Timing!J79+Timing!J80)*J78</f>
        <v>0</v>
      </c>
      <c r="K79" s="37">
        <f>Timing!K77*K77+(Timing!K78+Timing!K79+Timing!K80)*K78</f>
        <v>0</v>
      </c>
      <c r="L79" s="37">
        <f>Timing!L77*L77+(Timing!L78+Timing!L79+Timing!L80)*L78</f>
        <v>0</v>
      </c>
      <c r="M79" s="37">
        <f>Timing!M77*M77+(Timing!M78+Timing!M79+Timing!M80)*M78</f>
        <v>0</v>
      </c>
      <c r="N79" s="37">
        <f>Timing!N77*N77+(Timing!N78+Timing!N79+Timing!N80)*N78</f>
        <v>0</v>
      </c>
      <c r="O79" s="37">
        <f>Timing!O77*O77+(Timing!O78+Timing!O79+Timing!O80)*O78</f>
        <v>0</v>
      </c>
      <c r="P79" s="37">
        <f>Timing!P77*P77+(Timing!P78+Timing!P79+Timing!P80)*P78</f>
        <v>0</v>
      </c>
      <c r="Q79" s="37">
        <f>Timing!Q77*Q77+(Timing!Q78+Timing!Q79+Timing!Q80)*Q78</f>
        <v>0</v>
      </c>
      <c r="R79" s="37">
        <f>Timing!R77*R77+(Timing!R78+Timing!R79+Timing!R80)*R78</f>
        <v>0</v>
      </c>
      <c r="S79" s="37">
        <f>Timing!S77*S77+(Timing!S78+Timing!S79+Timing!S80)*S78</f>
        <v>0</v>
      </c>
      <c r="T79" s="37">
        <f>Timing!T77*T77+(Timing!T78+Timing!T79+Timing!T80)*T78</f>
        <v>0</v>
      </c>
      <c r="U79" s="37">
        <f>Timing!U77*U77+(Timing!U78+Timing!U79+Timing!U80)*U78</f>
        <v>0</v>
      </c>
      <c r="V79" s="37">
        <f>Timing!V77*V77+(Timing!V78+Timing!V79+Timing!V80)*V78</f>
        <v>0</v>
      </c>
      <c r="W79" s="37">
        <f>Timing!W77*W77+(Timing!W78+Timing!W79+Timing!W80)*W78</f>
        <v>0</v>
      </c>
      <c r="X79" s="37">
        <f>Timing!X77*X77+(Timing!X78+Timing!X79+Timing!X80)*X78</f>
        <v>0</v>
      </c>
      <c r="Y79" s="37">
        <f>Timing!Y77*Y77+(Timing!Y78+Timing!Y79+Timing!Y80)*Y78</f>
        <v>0</v>
      </c>
      <c r="Z79" s="37">
        <f>Timing!Z77*Z77+(Timing!Z78+Timing!Z79+Timing!Z80)*Z78</f>
        <v>0</v>
      </c>
      <c r="AA79" s="37">
        <f>Timing!AA77*AA77+(Timing!AA78+Timing!AA79+Timing!AA80)*AA78</f>
        <v>0</v>
      </c>
      <c r="AB79" s="37">
        <f>Timing!AB77*AB77+(Timing!AB78+Timing!AB79+Timing!AB80)*AB78</f>
        <v>0</v>
      </c>
      <c r="AC79" s="37">
        <f>Timing!AC77*AC77+(Timing!AC78+Timing!AC79+Timing!AC80)*AC78</f>
        <v>0</v>
      </c>
      <c r="AD79" s="37">
        <f>Timing!AD77*AD77+(Timing!AD78+Timing!AD79+Timing!AD80)*AD78</f>
        <v>0</v>
      </c>
      <c r="AE79" s="37">
        <f>Timing!AE77*AE77+(Timing!AE78+Timing!AE79+Timing!AE80)*AE78</f>
        <v>0</v>
      </c>
    </row>
    <row r="80">
      <c r="A80" s="6" t="inlineStr">
        <is>
          <t xml:space="preserve">Advance per kWh (previous year's market value, never negative)</t>
        </is>
      </c>
      <c r="B80" s="10" t="inlineStr">
        <is>
          <t xml:space="preserve">€/kWh</t>
        </is>
      </c>
      <c r="F80" s="37">
        <f>Timing!F77*MAX(0,$C$69-F73)+(Timing!F78+Timing!F79+Timing!F80)*MAX(0,$C$70-F73)</f>
        <v>0</v>
      </c>
      <c r="G80" s="37">
        <f>Timing!G77*MAX(0,$C$69-G73)+(Timing!G78+Timing!G79+Timing!G80)*MAX(0,$C$70-G73)</f>
        <v>0</v>
      </c>
      <c r="H80" s="37">
        <f>Timing!H77*MAX(0,$C$69-H73)+(Timing!H78+Timing!H79+Timing!H80)*MAX(0,$C$70-H73)</f>
        <v>0</v>
      </c>
      <c r="I80" s="37">
        <f>Timing!I77*MAX(0,$C$69-I73)+(Timing!I78+Timing!I79+Timing!I80)*MAX(0,$C$70-I73)</f>
        <v>0</v>
      </c>
      <c r="J80" s="37">
        <f>Timing!J77*MAX(0,$C$69-J73)+(Timing!J78+Timing!J79+Timing!J80)*MAX(0,$C$70-J73)</f>
        <v>0</v>
      </c>
      <c r="K80" s="37">
        <f>Timing!K77*MAX(0,$C$69-K73)+(Timing!K78+Timing!K79+Timing!K80)*MAX(0,$C$70-K73)</f>
        <v>0</v>
      </c>
      <c r="L80" s="37">
        <f>Timing!L77*MAX(0,$C$69-L73)+(Timing!L78+Timing!L79+Timing!L80)*MAX(0,$C$70-L73)</f>
        <v>0</v>
      </c>
      <c r="M80" s="37">
        <f>Timing!M77*MAX(0,$C$69-M73)+(Timing!M78+Timing!M79+Timing!M80)*MAX(0,$C$70-M73)</f>
        <v>0</v>
      </c>
      <c r="N80" s="37">
        <f>Timing!N77*MAX(0,$C$69-N73)+(Timing!N78+Timing!N79+Timing!N80)*MAX(0,$C$70-N73)</f>
        <v>0</v>
      </c>
      <c r="O80" s="37">
        <f>Timing!O77*MAX(0,$C$69-O73)+(Timing!O78+Timing!O79+Timing!O80)*MAX(0,$C$70-O73)</f>
        <v>0</v>
      </c>
      <c r="P80" s="37">
        <f>Timing!P77*MAX(0,$C$69-P73)+(Timing!P78+Timing!P79+Timing!P80)*MAX(0,$C$70-P73)</f>
        <v>0</v>
      </c>
      <c r="Q80" s="37">
        <f>Timing!Q77*MAX(0,$C$69-Q73)+(Timing!Q78+Timing!Q79+Timing!Q80)*MAX(0,$C$70-Q73)</f>
        <v>0</v>
      </c>
      <c r="R80" s="37">
        <f>Timing!R77*MAX(0,$C$69-R73)+(Timing!R78+Timing!R79+Timing!R80)*MAX(0,$C$70-R73)</f>
        <v>0</v>
      </c>
      <c r="S80" s="37">
        <f>Timing!S77*MAX(0,$C$69-S73)+(Timing!S78+Timing!S79+Timing!S80)*MAX(0,$C$70-S73)</f>
        <v>0</v>
      </c>
      <c r="T80" s="37">
        <f>Timing!T77*MAX(0,$C$69-T73)+(Timing!T78+Timing!T79+Timing!T80)*MAX(0,$C$70-T73)</f>
        <v>0</v>
      </c>
      <c r="U80" s="37">
        <f>Timing!U77*MAX(0,$C$69-U73)+(Timing!U78+Timing!U79+Timing!U80)*MAX(0,$C$70-U73)</f>
        <v>0</v>
      </c>
      <c r="V80" s="37">
        <f>Timing!V77*MAX(0,$C$69-V73)+(Timing!V78+Timing!V79+Timing!V80)*MAX(0,$C$70-V73)</f>
        <v>0</v>
      </c>
      <c r="W80" s="37">
        <f>Timing!W77*MAX(0,$C$69-W73)+(Timing!W78+Timing!W79+Timing!W80)*MAX(0,$C$70-W73)</f>
        <v>0</v>
      </c>
      <c r="X80" s="37">
        <f>Timing!X77*MAX(0,$C$69-X73)+(Timing!X78+Timing!X79+Timing!X80)*MAX(0,$C$70-X73)</f>
        <v>0</v>
      </c>
      <c r="Y80" s="37">
        <f>Timing!Y77*MAX(0,$C$69-Y73)+(Timing!Y78+Timing!Y79+Timing!Y80)*MAX(0,$C$70-Y73)</f>
        <v>0</v>
      </c>
      <c r="Z80" s="37">
        <f>Timing!Z77*MAX(0,$C$69-Z73)+(Timing!Z78+Timing!Z79+Timing!Z80)*MAX(0,$C$70-Z73)</f>
        <v>0</v>
      </c>
      <c r="AA80" s="37">
        <f>Timing!AA77*MAX(0,$C$69-AA73)+(Timing!AA78+Timing!AA79+Timing!AA80)*MAX(0,$C$70-AA73)</f>
        <v>0</v>
      </c>
      <c r="AB80" s="37">
        <f>Timing!AB77*MAX(0,$C$69-AB73)+(Timing!AB78+Timing!AB79+Timing!AB80)*MAX(0,$C$70-AB73)</f>
        <v>0</v>
      </c>
      <c r="AC80" s="37">
        <f>Timing!AC77*MAX(0,$C$69-AC73)+(Timing!AC78+Timing!AC79+Timing!AC80)*MAX(0,$C$70-AC73)</f>
        <v>0</v>
      </c>
      <c r="AD80" s="37">
        <f>Timing!AD77*MAX(0,$C$69-AD73)+(Timing!AD78+Timing!AD79+Timing!AD80)*MAX(0,$C$70-AD73)</f>
        <v>0</v>
      </c>
      <c r="AE80" s="37">
        <f>Timing!AE77*MAX(0,$C$69-AE73)+(Timing!AE78+Timing!AE79+Timing!AE80)*MAX(0,$C$70-AE73)</f>
        <v>0</v>
      </c>
    </row>
    <row r="81">
      <c r="A81" s="6" t="inlineStr">
        <is>
          <t xml:space="preserve">Share of support days with a positive premium</t>
        </is>
      </c>
      <c r="F81" s="21">
        <f>Timing!F77*IF(F77&gt;0,1,0)+(Timing!F78+Timing!F79+Timing!F80)*IF(F78&gt;0,1,0)</f>
        <v>0</v>
      </c>
      <c r="G81" s="21">
        <f>Timing!G77*IF(G77&gt;0,1,0)+(Timing!G78+Timing!G79+Timing!G80)*IF(G78&gt;0,1,0)</f>
        <v>0</v>
      </c>
      <c r="H81" s="21">
        <f>Timing!H77*IF(H77&gt;0,1,0)+(Timing!H78+Timing!H79+Timing!H80)*IF(H78&gt;0,1,0)</f>
        <v>0</v>
      </c>
      <c r="I81" s="21">
        <f>Timing!I77*IF(I77&gt;0,1,0)+(Timing!I78+Timing!I79+Timing!I80)*IF(I78&gt;0,1,0)</f>
        <v>0</v>
      </c>
      <c r="J81" s="21">
        <f>Timing!J77*IF(J77&gt;0,1,0)+(Timing!J78+Timing!J79+Timing!J80)*IF(J78&gt;0,1,0)</f>
        <v>0</v>
      </c>
      <c r="K81" s="21">
        <f>Timing!K77*IF(K77&gt;0,1,0)+(Timing!K78+Timing!K79+Timing!K80)*IF(K78&gt;0,1,0)</f>
        <v>0</v>
      </c>
      <c r="L81" s="21">
        <f>Timing!L77*IF(L77&gt;0,1,0)+(Timing!L78+Timing!L79+Timing!L80)*IF(L78&gt;0,1,0)</f>
        <v>0</v>
      </c>
      <c r="M81" s="21">
        <f>Timing!M77*IF(M77&gt;0,1,0)+(Timing!M78+Timing!M79+Timing!M80)*IF(M78&gt;0,1,0)</f>
        <v>0</v>
      </c>
      <c r="N81" s="21">
        <f>Timing!N77*IF(N77&gt;0,1,0)+(Timing!N78+Timing!N79+Timing!N80)*IF(N78&gt;0,1,0)</f>
        <v>0</v>
      </c>
      <c r="O81" s="21">
        <f>Timing!O77*IF(O77&gt;0,1,0)+(Timing!O78+Timing!O79+Timing!O80)*IF(O78&gt;0,1,0)</f>
        <v>0</v>
      </c>
      <c r="P81" s="21">
        <f>Timing!P77*IF(P77&gt;0,1,0)+(Timing!P78+Timing!P79+Timing!P80)*IF(P78&gt;0,1,0)</f>
        <v>0</v>
      </c>
      <c r="Q81" s="21">
        <f>Timing!Q77*IF(Q77&gt;0,1,0)+(Timing!Q78+Timing!Q79+Timing!Q80)*IF(Q78&gt;0,1,0)</f>
        <v>0</v>
      </c>
      <c r="R81" s="21">
        <f>Timing!R77*IF(R77&gt;0,1,0)+(Timing!R78+Timing!R79+Timing!R80)*IF(R78&gt;0,1,0)</f>
        <v>0</v>
      </c>
      <c r="S81" s="21">
        <f>Timing!S77*IF(S77&gt;0,1,0)+(Timing!S78+Timing!S79+Timing!S80)*IF(S78&gt;0,1,0)</f>
        <v>0</v>
      </c>
      <c r="T81" s="21">
        <f>Timing!T77*IF(T77&gt;0,1,0)+(Timing!T78+Timing!T79+Timing!T80)*IF(T78&gt;0,1,0)</f>
        <v>0</v>
      </c>
      <c r="U81" s="21">
        <f>Timing!U77*IF(U77&gt;0,1,0)+(Timing!U78+Timing!U79+Timing!U80)*IF(U78&gt;0,1,0)</f>
        <v>0</v>
      </c>
      <c r="V81" s="21">
        <f>Timing!V77*IF(V77&gt;0,1,0)+(Timing!V78+Timing!V79+Timing!V80)*IF(V78&gt;0,1,0)</f>
        <v>0</v>
      </c>
      <c r="W81" s="21">
        <f>Timing!W77*IF(W77&gt;0,1,0)+(Timing!W78+Timing!W79+Timing!W80)*IF(W78&gt;0,1,0)</f>
        <v>0</v>
      </c>
      <c r="X81" s="21">
        <f>Timing!X77*IF(X77&gt;0,1,0)+(Timing!X78+Timing!X79+Timing!X80)*IF(X78&gt;0,1,0)</f>
        <v>0</v>
      </c>
      <c r="Y81" s="21">
        <f>Timing!Y77*IF(Y77&gt;0,1,0)+(Timing!Y78+Timing!Y79+Timing!Y80)*IF(Y78&gt;0,1,0)</f>
        <v>0</v>
      </c>
      <c r="Z81" s="21">
        <f>Timing!Z77*IF(Z77&gt;0,1,0)+(Timing!Z78+Timing!Z79+Timing!Z80)*IF(Z78&gt;0,1,0)</f>
        <v>0</v>
      </c>
      <c r="AA81" s="21">
        <f>Timing!AA77*IF(AA77&gt;0,1,0)+(Timing!AA78+Timing!AA79+Timing!AA80)*IF(AA78&gt;0,1,0)</f>
        <v>0</v>
      </c>
      <c r="AB81" s="21">
        <f>Timing!AB77*IF(AB77&gt;0,1,0)+(Timing!AB78+Timing!AB79+Timing!AB80)*IF(AB78&gt;0,1,0)</f>
        <v>0</v>
      </c>
      <c r="AC81" s="21">
        <f>Timing!AC77*IF(AC77&gt;0,1,0)+(Timing!AC78+Timing!AC79+Timing!AC80)*IF(AC78&gt;0,1,0)</f>
        <v>0</v>
      </c>
      <c r="AD81" s="21">
        <f>Timing!AD77*IF(AD77&gt;0,1,0)+(Timing!AD78+Timing!AD79+Timing!AD80)*IF(AD78&gt;0,1,0)</f>
        <v>0</v>
      </c>
      <c r="AE81" s="21">
        <f>Timing!AE77*IF(AE77&gt;0,1,0)+(Timing!AE78+Timing!AE79+Timing!AE80)*IF(AE78&gt;0,1,0)</f>
        <v>0</v>
      </c>
    </row>
    <row r="82">
      <c r="A82" s="6" t="inlineStr">
        <is>
          <t xml:space="preserve">AW in force (day-weighted)</t>
        </is>
      </c>
      <c r="B82" s="10" t="inlineStr">
        <is>
          <t xml:space="preserve">€/kWh</t>
        </is>
      </c>
      <c r="F82" s="37">
        <f>IF(Timing!F69&gt;0,Timing!F77*$C$69+(Timing!F78+Timing!F79+Timing!F80)*$C$70,$C$70)</f>
        <v>0.063</v>
      </c>
      <c r="G82" s="37">
        <f>IF(Timing!G69&gt;0,Timing!G77*$C$69+(Timing!G78+Timing!G79+Timing!G80)*$C$70,$C$70)</f>
        <v>0.063</v>
      </c>
      <c r="H82" s="37">
        <f>IF(Timing!H69&gt;0,Timing!H77*$C$69+(Timing!H78+Timing!H79+Timing!H80)*$C$70,$C$70)</f>
        <v>0.063</v>
      </c>
      <c r="I82" s="37">
        <f>IF(Timing!I69&gt;0,Timing!I77*$C$69+(Timing!I78+Timing!I79+Timing!I80)*$C$70,$C$70)</f>
        <v>0.063</v>
      </c>
      <c r="J82" s="37">
        <f>IF(Timing!J69&gt;0,Timing!J77*$C$69+(Timing!J78+Timing!J79+Timing!J80)*$C$70,$C$70)</f>
        <v>0.063</v>
      </c>
      <c r="K82" s="37">
        <f>IF(Timing!K69&gt;0,Timing!K77*$C$69+(Timing!K78+Timing!K79+Timing!K80)*$C$70,$C$70)</f>
        <v>0.063</v>
      </c>
      <c r="L82" s="37">
        <f>IF(Timing!L69&gt;0,Timing!L77*$C$69+(Timing!L78+Timing!L79+Timing!L80)*$C$70,$C$70)</f>
        <v>0.063</v>
      </c>
      <c r="M82" s="37">
        <f>IF(Timing!M69&gt;0,Timing!M77*$C$69+(Timing!M78+Timing!M79+Timing!M80)*$C$70,$C$70)</f>
        <v>0.063</v>
      </c>
      <c r="N82" s="37">
        <f>IF(Timing!N69&gt;0,Timing!N77*$C$69+(Timing!N78+Timing!N79+Timing!N80)*$C$70,$C$70)</f>
        <v>0.063</v>
      </c>
      <c r="O82" s="37">
        <f>IF(Timing!O69&gt;0,Timing!O77*$C$69+(Timing!O78+Timing!O79+Timing!O80)*$C$70,$C$70)</f>
        <v>0.063</v>
      </c>
      <c r="P82" s="37">
        <f>IF(Timing!P69&gt;0,Timing!P77*$C$69+(Timing!P78+Timing!P79+Timing!P80)*$C$70,$C$70)</f>
        <v>0.063</v>
      </c>
      <c r="Q82" s="37">
        <f>IF(Timing!Q69&gt;0,Timing!Q77*$C$69+(Timing!Q78+Timing!Q79+Timing!Q80)*$C$70,$C$70)</f>
        <v>0.063</v>
      </c>
      <c r="R82" s="37">
        <f>IF(Timing!R69&gt;0,Timing!R77*$C$69+(Timing!R78+Timing!R79+Timing!R80)*$C$70,$C$70)</f>
        <v>0.063</v>
      </c>
      <c r="S82" s="37">
        <f>IF(Timing!S69&gt;0,Timing!S77*$C$69+(Timing!S78+Timing!S79+Timing!S80)*$C$70,$C$70)</f>
        <v>0.063</v>
      </c>
      <c r="T82" s="37">
        <f>IF(Timing!T69&gt;0,Timing!T77*$C$69+(Timing!T78+Timing!T79+Timing!T80)*$C$70,$C$70)</f>
        <v>0.063</v>
      </c>
      <c r="U82" s="37">
        <f>IF(Timing!U69&gt;0,Timing!U77*$C$69+(Timing!U78+Timing!U79+Timing!U80)*$C$70,$C$70)</f>
        <v>0.063</v>
      </c>
      <c r="V82" s="37">
        <f>IF(Timing!V69&gt;0,Timing!V77*$C$69+(Timing!V78+Timing!V79+Timing!V80)*$C$70,$C$70)</f>
        <v>0.063</v>
      </c>
      <c r="W82" s="37">
        <f>IF(Timing!W69&gt;0,Timing!W77*$C$69+(Timing!W78+Timing!W79+Timing!W80)*$C$70,$C$70)</f>
        <v>0.063</v>
      </c>
      <c r="X82" s="37">
        <f>IF(Timing!X69&gt;0,Timing!X77*$C$69+(Timing!X78+Timing!X79+Timing!X80)*$C$70,$C$70)</f>
        <v>0.063</v>
      </c>
      <c r="Y82" s="37">
        <f>IF(Timing!Y69&gt;0,Timing!Y77*$C$69+(Timing!Y78+Timing!Y79+Timing!Y80)*$C$70,$C$70)</f>
        <v>0.063</v>
      </c>
      <c r="Z82" s="37">
        <f>IF(Timing!Z69&gt;0,Timing!Z77*$C$69+(Timing!Z78+Timing!Z79+Timing!Z80)*$C$70,$C$70)</f>
        <v>0.063</v>
      </c>
      <c r="AA82" s="37">
        <f>IF(Timing!AA69&gt;0,Timing!AA77*$C$69+(Timing!AA78+Timing!AA79+Timing!AA80)*$C$70,$C$70)</f>
        <v>0.063</v>
      </c>
      <c r="AB82" s="37">
        <f>IF(Timing!AB69&gt;0,Timing!AB77*$C$69+(Timing!AB78+Timing!AB79+Timing!AB80)*$C$70,$C$70)</f>
        <v>0.063</v>
      </c>
      <c r="AC82" s="37">
        <f>IF(Timing!AC69&gt;0,Timing!AC77*$C$69+(Timing!AC78+Timing!AC79+Timing!AC80)*$C$70,$C$70)</f>
        <v>0.063</v>
      </c>
      <c r="AD82" s="37">
        <f>IF(Timing!AD69&gt;0,Timing!AD77*$C$69+(Timing!AD78+Timing!AD79+Timing!AD80)*$C$70,$C$70)</f>
        <v>0.063</v>
      </c>
      <c r="AE82" s="37">
        <f>IF(Timing!AE69&gt;0,Timing!AE77*$C$69+(Timing!AE78+Timing!AE79+Timing!AE80)*$C$70,$C$70)</f>
        <v>0.063</v>
      </c>
    </row>
    <row r="83">
      <c r="A83" s="6" t="inlineStr">
        <is>
          <t xml:space="preserve">Revenue: market (floor case: up to the AW on output sold)</t>
        </is>
      </c>
      <c r="B83" s="10" t="inlineStr">
        <is>
          <t xml:space="preserve">€</t>
        </is>
      </c>
      <c r="F83" s="23">
        <f>IF($C$63=1,F75*Timing!F69*(Timing!F77*MIN(F72,$C$69)+(Timing!F78+Timing!F79+Timing!F80)*MIN(F72,$C$70)),F74*F72*Timing!F69)</f>
        <v>2553592.799528617</v>
      </c>
      <c r="G83" s="23">
        <f>IF($C$63=1,G75*Timing!G69*(Timing!G77*MIN(G72,$C$69)+(Timing!G78+Timing!G79+Timing!G80)*MIN(G72,$C$70)),G74*G72*Timing!G69)</f>
        <v>4241822.657730198</v>
      </c>
      <c r="H83" s="23">
        <f>IF($C$63=1,H75*Timing!H69*(Timing!H77*MIN(H72,$C$69)+(Timing!H78+Timing!H79+Timing!H80)*MIN(H72,$C$70)),H74*H72*Timing!H69)</f>
        <v>4178051.2871819376</v>
      </c>
      <c r="I83" s="23">
        <f>IF($C$63=1,I75*Timing!I69*(Timing!I77*MIN(I72,$C$69)+(Timing!I78+Timing!I79+Timing!I80)*MIN(I72,$C$70)),I74*I72*Timing!I69)</f>
        <v>4253089.088299724</v>
      </c>
      <c r="J83" s="23">
        <f>IF($C$63=1,J75*Timing!J69*(Timing!J77*MIN(J72,$C$69)+(Timing!J78+Timing!J79+Timing!J80)*MIN(J72,$C$70)),J74*J72*Timing!J69)</f>
        <v>4329474.568325588</v>
      </c>
      <c r="K83" s="23">
        <f>IF($C$63=1,K75*Timing!K69*(Timing!K77*MIN(K72,$C$69)+(Timing!K78+Timing!K79+Timing!K80)*MIN(K72,$C$70)),K74*K72*Timing!K69)</f>
        <v>4407231.931572716</v>
      </c>
      <c r="L83" s="23">
        <f>IF($C$63=1,L75*Timing!L69*(Timing!L77*MIN(L72,$C$69)+(Timing!L78+Timing!L79+Timing!L80)*MIN(L72,$C$70)),L74*L72*Timing!L69)</f>
        <v>4486385.817063762</v>
      </c>
      <c r="M83" s="23">
        <f>IF($C$63=1,M75*Timing!M69*(Timing!M77*MIN(M72,$C$69)+(Timing!M78+Timing!M79+Timing!M80)*MIN(M72,$C$70)),M74*M72*Timing!M69)</f>
        <v>4566961.3063382255</v>
      </c>
      <c r="N83" s="23">
        <f>IF($C$63=1,N75*Timing!N69*(Timing!N77*MIN(N72,$C$69)+(Timing!N78+Timing!N79+Timing!N80)*MIN(N72,$C$70)),N74*N72*Timing!N69)</f>
        <v>4648983.931400061</v>
      </c>
      <c r="O83" s="23">
        <f>IF($C$63=1,O75*Timing!O69*(Timing!O77*MIN(O72,$C$69)+(Timing!O78+Timing!O79+Timing!O80)*MIN(O72,$C$70)),O74*O72*Timing!O69)</f>
        <v>4732479.682808007</v>
      </c>
      <c r="P83" s="23">
        <f>IF($C$63=1,P75*Timing!P69*(Timing!P77*MIN(P72,$C$69)+(Timing!P78+Timing!P79+Timing!P80)*MIN(P72,$C$70)),P74*P72*Timing!P69)</f>
        <v>4817475.017911237</v>
      </c>
      <c r="Q83" s="23">
        <f>IF($C$63=1,Q75*Timing!Q69*(Timing!Q77*MIN(Q72,$C$69)+(Timing!Q78+Timing!Q79+Timing!Q80)*MIN(Q72,$C$70)),Q74*Q72*Timing!Q69)</f>
        <v>4903996.869232923</v>
      </c>
      <c r="R83" s="23">
        <f>IF($C$63=1,R75*Timing!R69*(Timing!R77*MIN(R72,$C$69)+(Timing!R78+Timing!R79+Timing!R80)*MIN(R72,$C$70)),R74*R72*Timing!R69)</f>
        <v>4992072.653004346</v>
      </c>
      <c r="S83" s="23">
        <f>IF($C$63=1,S75*Timing!S69*(Timing!S77*MIN(S72,$C$69)+(Timing!S78+Timing!S79+Timing!S80)*MIN(S72,$C$70)),S74*S72*Timing!S69)</f>
        <v>5081730.277852306</v>
      </c>
      <c r="T83" s="23">
        <f>IF($C$63=1,T75*Timing!T69*(Timing!T77*MIN(T72,$C$69)+(Timing!T78+Timing!T79+Timing!T80)*MIN(T72,$C$70)),T74*T72*Timing!T69)</f>
        <v>5172998.153642533</v>
      </c>
      <c r="U83" s="23">
        <f>IF($C$63=1,U75*Timing!U69*(Timing!U77*MIN(U72,$C$69)+(Timing!U78+Timing!U79+Timing!U80)*MIN(U72,$C$70)),U74*U72*Timing!U69)</f>
        <v>5265905.200481951</v>
      </c>
      <c r="V83" s="23">
        <f>IF($C$63=1,V75*Timing!V69*(Timing!V77*MIN(V72,$C$69)+(Timing!V78+Timing!V79+Timing!V80)*MIN(V72,$C$70)),V74*V72*Timing!V69)</f>
        <v>5360480.857882607</v>
      </c>
      <c r="W83" s="23">
        <f>IF($C$63=1,W75*Timing!W69*(Timing!W77*MIN(W72,$C$69)+(Timing!W78+Timing!W79+Timing!W80)*MIN(W72,$C$70)),W74*W72*Timing!W69)</f>
        <v>5456755.094090179</v>
      </c>
      <c r="X83" s="23">
        <f>IF($C$63=1,X75*Timing!X69*(Timing!X77*MIN(X72,$C$69)+(Timing!X78+Timing!X79+Timing!X80)*MIN(X72,$C$70)),X74*X72*Timing!X69)</f>
        <v>5554758.415580039</v>
      </c>
      <c r="Y83" s="23">
        <f>IF($C$63=1,Y75*Timing!Y69*(Timing!Y77*MIN(Y72,$C$69)+(Timing!Y78+Timing!Y79+Timing!Y80)*MIN(Y72,$C$70)),Y74*Y72*Timing!Y69)</f>
        <v>5654521.876723857</v>
      </c>
      <c r="Z83" s="23">
        <f>IF($C$63=1,Z75*Timing!Z69*(Timing!Z77*MIN(Z72,$C$69)+(Timing!Z78+Timing!Z79+Timing!Z80)*MIN(Z72,$C$70)),Z74*Z72*Timing!Z69)</f>
        <v>5756077.089629817</v>
      </c>
      <c r="AA83" s="23">
        <f>IF($C$63=1,AA75*Timing!AA69*(Timing!AA77*MIN(AA72,$C$69)+(Timing!AA78+Timing!AA79+Timing!AA80)*MIN(AA72,$C$70)),AA74*AA72*Timing!AA69)</f>
        <v>4478872.025563067</v>
      </c>
      <c r="AB83" s="23">
        <f>IF($C$63=1,AB75*Timing!AB69*(Timing!AB77*MIN(AB72,$C$69)+(Timing!AB78+Timing!AB79+Timing!AB80)*MIN(AB72,$C$70)),AB74*AB72*Timing!AB69)</f>
        <v>0</v>
      </c>
      <c r="AC83" s="23">
        <f>IF($C$63=1,AC75*Timing!AC69*(Timing!AC77*MIN(AC72,$C$69)+(Timing!AC78+Timing!AC79+Timing!AC80)*MIN(AC72,$C$70)),AC74*AC72*Timing!AC69)</f>
        <v>0</v>
      </c>
      <c r="AD83" s="23">
        <f>IF($C$63=1,AD75*Timing!AD69*(Timing!AD77*MIN(AD72,$C$69)+(Timing!AD78+Timing!AD79+Timing!AD80)*MIN(AD72,$C$70)),AD74*AD72*Timing!AD69)</f>
        <v>0</v>
      </c>
      <c r="AE83" s="23">
        <f>IF($C$63=1,AE75*Timing!AE69*(Timing!AE77*MIN(AE72,$C$69)+(Timing!AE78+Timing!AE79+Timing!AE80)*MIN(AE72,$C$70)),AE74*AE72*Timing!AE69)</f>
        <v>0</v>
      </c>
    </row>
    <row r="84">
      <c r="A84" s="6" t="inlineStr">
        <is>
          <t xml:space="preserve">Revenue: market premium for the year</t>
        </is>
      </c>
      <c r="B84" s="10" t="inlineStr">
        <is>
          <t xml:space="preserve">€</t>
        </is>
      </c>
      <c r="F84" s="23">
        <f>F76*F79</f>
        <v>0</v>
      </c>
      <c r="G84" s="23">
        <f>G76*G79</f>
        <v>0</v>
      </c>
      <c r="H84" s="23">
        <f>H76*H79</f>
        <v>0</v>
      </c>
      <c r="I84" s="23">
        <f>I76*I79</f>
        <v>0</v>
      </c>
      <c r="J84" s="23">
        <f>J76*J79</f>
        <v>0</v>
      </c>
      <c r="K84" s="23">
        <f>K76*K79</f>
        <v>0</v>
      </c>
      <c r="L84" s="23">
        <f>L76*L79</f>
        <v>0</v>
      </c>
      <c r="M84" s="23">
        <f>M76*M79</f>
        <v>0</v>
      </c>
      <c r="N84" s="23">
        <f>N76*N79</f>
        <v>0</v>
      </c>
      <c r="O84" s="23">
        <f>O76*O79</f>
        <v>0</v>
      </c>
      <c r="P84" s="23">
        <f>P76*P79</f>
        <v>0</v>
      </c>
      <c r="Q84" s="23">
        <f>Q76*Q79</f>
        <v>0</v>
      </c>
      <c r="R84" s="23">
        <f>R76*R79</f>
        <v>0</v>
      </c>
      <c r="S84" s="23">
        <f>S76*S79</f>
        <v>0</v>
      </c>
      <c r="T84" s="23">
        <f>T76*T79</f>
        <v>0</v>
      </c>
      <c r="U84" s="23">
        <f>U76*U79</f>
        <v>0</v>
      </c>
      <c r="V84" s="23">
        <f>V76*V79</f>
        <v>0</v>
      </c>
      <c r="W84" s="23">
        <f>W76*W79</f>
        <v>0</v>
      </c>
      <c r="X84" s="23">
        <f>X76*X79</f>
        <v>0</v>
      </c>
      <c r="Y84" s="23">
        <f>Y76*Y79</f>
        <v>0</v>
      </c>
      <c r="Z84" s="23">
        <f>Z76*Z79</f>
        <v>0</v>
      </c>
      <c r="AA84" s="23">
        <f>AA76*AA79</f>
        <v>0</v>
      </c>
      <c r="AB84" s="23">
        <f>AB76*AB79</f>
        <v>0</v>
      </c>
      <c r="AC84" s="23">
        <f>AC76*AC79</f>
        <v>0</v>
      </c>
      <c r="AD84" s="23">
        <f>AD76*AD79</f>
        <v>0</v>
      </c>
      <c r="AE84" s="23">
        <f>AE76*AE79</f>
        <v>0</v>
      </c>
    </row>
    <row r="85">
      <c r="A85" s="6" t="inlineStr">
        <is>
          <t xml:space="preserve">§ 36h: first five years paid again at the reviewed AW</t>
        </is>
      </c>
      <c r="B85" s="10" t="inlineStr">
        <is>
          <t xml:space="preserve">€</t>
        </is>
      </c>
      <c r="F85" s="23">
        <f>F76*Timing!F77*(F78-F77)</f>
        <v>0</v>
      </c>
      <c r="G85" s="23">
        <f>G76*Timing!G77*(G78-G77)</f>
        <v>0</v>
      </c>
      <c r="H85" s="23">
        <f>H76*Timing!H77*(H78-H77)</f>
        <v>0</v>
      </c>
      <c r="I85" s="23">
        <f>I76*Timing!I77*(I78-I77)</f>
        <v>0</v>
      </c>
      <c r="J85" s="23">
        <f>J76*Timing!J77*(J78-J77)</f>
        <v>0</v>
      </c>
      <c r="K85" s="23">
        <f>K76*Timing!K77*(K78-K77)</f>
        <v>0</v>
      </c>
      <c r="L85" s="23">
        <f>L76*Timing!L77*(L78-L77)</f>
        <v>0</v>
      </c>
      <c r="M85" s="23">
        <f>M76*Timing!M77*(M78-M77)</f>
        <v>0</v>
      </c>
      <c r="N85" s="23">
        <f>N76*Timing!N77*(N78-N77)</f>
        <v>0</v>
      </c>
      <c r="O85" s="23">
        <f>O76*Timing!O77*(O78-O77)</f>
        <v>0</v>
      </c>
      <c r="P85" s="23">
        <f>P76*Timing!P77*(P78-P77)</f>
        <v>0</v>
      </c>
      <c r="Q85" s="23">
        <f>Q76*Timing!Q77*(Q78-Q77)</f>
        <v>0</v>
      </c>
      <c r="R85" s="23">
        <f>R76*Timing!R77*(R78-R77)</f>
        <v>0</v>
      </c>
      <c r="S85" s="23">
        <f>S76*Timing!S77*(S78-S77)</f>
        <v>0</v>
      </c>
      <c r="T85" s="23">
        <f>T76*Timing!T77*(T78-T77)</f>
        <v>0</v>
      </c>
      <c r="U85" s="23">
        <f>U76*Timing!U77*(U78-U77)</f>
        <v>0</v>
      </c>
      <c r="V85" s="23">
        <f>V76*Timing!V77*(V78-V77)</f>
        <v>0</v>
      </c>
      <c r="W85" s="23">
        <f>W76*Timing!W77*(W78-W77)</f>
        <v>0</v>
      </c>
      <c r="X85" s="23">
        <f>X76*Timing!X77*(X78-X77)</f>
        <v>0</v>
      </c>
      <c r="Y85" s="23">
        <f>Y76*Timing!Y77*(Y78-Y77)</f>
        <v>0</v>
      </c>
      <c r="Z85" s="23">
        <f>Z76*Timing!Z77*(Z78-Z77)</f>
        <v>0</v>
      </c>
      <c r="AA85" s="23">
        <f>AA76*Timing!AA77*(AA78-AA77)</f>
        <v>0</v>
      </c>
      <c r="AB85" s="23">
        <f>AB76*Timing!AB77*(AB78-AB77)</f>
        <v>0</v>
      </c>
      <c r="AC85" s="23">
        <f>AC76*Timing!AC77*(AC78-AC77)</f>
        <v>0</v>
      </c>
      <c r="AD85" s="23">
        <f>AD76*Timing!AD77*(AD78-AD77)</f>
        <v>0</v>
      </c>
      <c r="AE85" s="23">
        <f>AE76*Timing!AE77*(AE78-AE77)</f>
        <v>0</v>
      </c>
    </row>
    <row r="86">
      <c r="A86" s="6" t="inlineStr">
        <is>
          <t xml:space="preserve">§ 36h settlement (only if the site quality moved by more than 2 points)</t>
        </is>
      </c>
      <c r="B86" s="10" t="inlineStr">
        <is>
          <t xml:space="preserve">€</t>
        </is>
      </c>
      <c r="C86" s="23">
        <f>IF(ABS($C$66-$C$65)&gt;Inputs!$C$143,SUM($F$85:$AE$85),0)</f>
        <v>0</v>
      </c>
    </row>
    <row r="87">
      <c r="A87" s="6" t="inlineStr">
        <is>
          <t xml:space="preserve">Revenue: § 36h settlement, in the year of the first review</t>
        </is>
      </c>
      <c r="B87" s="10" t="inlineStr">
        <is>
          <t xml:space="preserve">€</t>
        </is>
      </c>
      <c r="F87" s="23">
        <f>IF(Timing!F59=YEAR(Timing!$C$12),$C$86,0)</f>
        <v>0</v>
      </c>
      <c r="G87" s="23">
        <f>IF(Timing!G59=YEAR(Timing!$C$12),$C$86,0)</f>
        <v>0</v>
      </c>
      <c r="H87" s="23">
        <f>IF(Timing!H59=YEAR(Timing!$C$12),$C$86,0)</f>
        <v>0</v>
      </c>
      <c r="I87" s="23">
        <f>IF(Timing!I59=YEAR(Timing!$C$12),$C$86,0)</f>
        <v>0</v>
      </c>
      <c r="J87" s="23">
        <f>IF(Timing!J59=YEAR(Timing!$C$12),$C$86,0)</f>
        <v>0</v>
      </c>
      <c r="K87" s="23">
        <f>IF(Timing!K59=YEAR(Timing!$C$12),$C$86,0)</f>
        <v>0</v>
      </c>
      <c r="L87" s="23">
        <f>IF(Timing!L59=YEAR(Timing!$C$12),$C$86,0)</f>
        <v>0</v>
      </c>
      <c r="M87" s="23">
        <f>IF(Timing!M59=YEAR(Timing!$C$12),$C$86,0)</f>
        <v>0</v>
      </c>
      <c r="N87" s="23">
        <f>IF(Timing!N59=YEAR(Timing!$C$12),$C$86,0)</f>
        <v>0</v>
      </c>
      <c r="O87" s="23">
        <f>IF(Timing!O59=YEAR(Timing!$C$12),$C$86,0)</f>
        <v>0</v>
      </c>
      <c r="P87" s="23">
        <f>IF(Timing!P59=YEAR(Timing!$C$12),$C$86,0)</f>
        <v>0</v>
      </c>
      <c r="Q87" s="23">
        <f>IF(Timing!Q59=YEAR(Timing!$C$12),$C$86,0)</f>
        <v>0</v>
      </c>
      <c r="R87" s="23">
        <f>IF(Timing!R59=YEAR(Timing!$C$12),$C$86,0)</f>
        <v>0</v>
      </c>
      <c r="S87" s="23">
        <f>IF(Timing!S59=YEAR(Timing!$C$12),$C$86,0)</f>
        <v>0</v>
      </c>
      <c r="T87" s="23">
        <f>IF(Timing!T59=YEAR(Timing!$C$12),$C$86,0)</f>
        <v>0</v>
      </c>
      <c r="U87" s="23">
        <f>IF(Timing!U59=YEAR(Timing!$C$12),$C$86,0)</f>
        <v>0</v>
      </c>
      <c r="V87" s="23">
        <f>IF(Timing!V59=YEAR(Timing!$C$12),$C$86,0)</f>
        <v>0</v>
      </c>
      <c r="W87" s="23">
        <f>IF(Timing!W59=YEAR(Timing!$C$12),$C$86,0)</f>
        <v>0</v>
      </c>
      <c r="X87" s="23">
        <f>IF(Timing!X59=YEAR(Timing!$C$12),$C$86,0)</f>
        <v>0</v>
      </c>
      <c r="Y87" s="23">
        <f>IF(Timing!Y59=YEAR(Timing!$C$12),$C$86,0)</f>
        <v>0</v>
      </c>
      <c r="Z87" s="23">
        <f>IF(Timing!Z59=YEAR(Timing!$C$12),$C$86,0)</f>
        <v>0</v>
      </c>
      <c r="AA87" s="23">
        <f>IF(Timing!AA59=YEAR(Timing!$C$12),$C$86,0)</f>
        <v>0</v>
      </c>
      <c r="AB87" s="23">
        <f>IF(Timing!AB59=YEAR(Timing!$C$12),$C$86,0)</f>
        <v>0</v>
      </c>
      <c r="AC87" s="23">
        <f>IF(Timing!AC59=YEAR(Timing!$C$12),$C$86,0)</f>
        <v>0</v>
      </c>
      <c r="AD87" s="23">
        <f>IF(Timing!AD59=YEAR(Timing!$C$12),$C$86,0)</f>
        <v>0</v>
      </c>
      <c r="AE87" s="23">
        <f>IF(Timing!AE59=YEAR(Timing!$C$12),$C$86,0)</f>
        <v>0</v>
      </c>
    </row>
    <row r="88">
      <c r="A88" s="6" t="inlineStr">
        <is>
          <t xml:space="preserve">Revenue: market premium</t>
        </is>
      </c>
      <c r="B88" s="10" t="inlineStr">
        <is>
          <t xml:space="preserve">€</t>
        </is>
      </c>
      <c r="F88" s="23">
        <f>F84+F87</f>
        <v>0</v>
      </c>
      <c r="G88" s="23">
        <f>G84+G87</f>
        <v>0</v>
      </c>
      <c r="H88" s="23">
        <f>H84+H87</f>
        <v>0</v>
      </c>
      <c r="I88" s="23">
        <f>I84+I87</f>
        <v>0</v>
      </c>
      <c r="J88" s="23">
        <f>J84+J87</f>
        <v>0</v>
      </c>
      <c r="K88" s="23">
        <f>K84+K87</f>
        <v>0</v>
      </c>
      <c r="L88" s="23">
        <f>L84+L87</f>
        <v>0</v>
      </c>
      <c r="M88" s="23">
        <f>M84+M87</f>
        <v>0</v>
      </c>
      <c r="N88" s="23">
        <f>N84+N87</f>
        <v>0</v>
      </c>
      <c r="O88" s="23">
        <f>O84+O87</f>
        <v>0</v>
      </c>
      <c r="P88" s="23">
        <f>P84+P87</f>
        <v>0</v>
      </c>
      <c r="Q88" s="23">
        <f>Q84+Q87</f>
        <v>0</v>
      </c>
      <c r="R88" s="23">
        <f>R84+R87</f>
        <v>0</v>
      </c>
      <c r="S88" s="23">
        <f>S84+S87</f>
        <v>0</v>
      </c>
      <c r="T88" s="23">
        <f>T84+T87</f>
        <v>0</v>
      </c>
      <c r="U88" s="23">
        <f>U84+U87</f>
        <v>0</v>
      </c>
      <c r="V88" s="23">
        <f>V84+V87</f>
        <v>0</v>
      </c>
      <c r="W88" s="23">
        <f>W84+W87</f>
        <v>0</v>
      </c>
      <c r="X88" s="23">
        <f>X84+X87</f>
        <v>0</v>
      </c>
      <c r="Y88" s="23">
        <f>Y84+Y87</f>
        <v>0</v>
      </c>
      <c r="Z88" s="23">
        <f>Z84+Z87</f>
        <v>0</v>
      </c>
      <c r="AA88" s="23">
        <f>AA84+AA87</f>
        <v>0</v>
      </c>
      <c r="AB88" s="23">
        <f>AB84+AB87</f>
        <v>0</v>
      </c>
      <c r="AC88" s="23">
        <f>AC84+AC87</f>
        <v>0</v>
      </c>
      <c r="AD88" s="23">
        <f>AD84+AD87</f>
        <v>0</v>
      </c>
      <c r="AE88" s="23">
        <f>AE84+AE87</f>
        <v>0</v>
      </c>
    </row>
    <row r="89">
      <c r="A89" s="6" t="inlineStr">
        <is>
          <t xml:space="preserve">Price after support (market value or PPA)</t>
        </is>
      </c>
      <c r="B89" s="10" t="inlineStr">
        <is>
          <t xml:space="preserve">€/kWh</t>
        </is>
      </c>
      <c r="F89" s="37">
        <f>IF(Inputs!$C$33="ppa",Inputs!$C$34*Timing!F76*1/1000,F72)</f>
        <v>0.079104</v>
      </c>
      <c r="G89" s="37">
        <f>IF(Inputs!$C$33="ppa",Inputs!$C$34*Timing!G76*1/1000,G72)</f>
        <v>0.06619199999999999</v>
      </c>
      <c r="H89" s="37">
        <f>IF(Inputs!$C$33="ppa",Inputs!$C$34*Timing!H76*1/1000,H72)</f>
        <v>0.06532752751200001</v>
      </c>
      <c r="I89" s="37">
        <f>IF(Inputs!$C$33="ppa",Inputs!$C$34*Timing!I76*1/1000,I72)</f>
        <v>0.06663407806223999</v>
      </c>
      <c r="J89" s="37">
        <f>IF(Inputs!$C$33="ppa",Inputs!$C$34*Timing!J76*1/1000,J72)</f>
        <v>0.0679667596234848</v>
      </c>
      <c r="K89" s="37">
        <f>IF(Inputs!$C$33="ppa",Inputs!$C$34*Timing!K76*1/1000,K72)</f>
        <v>0.0693260948159545</v>
      </c>
      <c r="L89" s="37">
        <f>IF(Inputs!$C$33="ppa",Inputs!$C$34*Timing!L76*1/1000,L72)</f>
        <v>0.0707126167122736</v>
      </c>
      <c r="M89" s="37">
        <f>IF(Inputs!$C$33="ppa",Inputs!$C$34*Timing!M76*1/1000,M72)</f>
        <v>0.07212686904651905</v>
      </c>
      <c r="N89" s="37">
        <f>IF(Inputs!$C$33="ppa",Inputs!$C$34*Timing!N76*1/1000,N72)</f>
        <v>0.07356940642744944</v>
      </c>
      <c r="O89" s="37">
        <f>IF(Inputs!$C$33="ppa",Inputs!$C$34*Timing!O76*1/1000,O72)</f>
        <v>0.07504079455599844</v>
      </c>
      <c r="P89" s="37">
        <f>IF(Inputs!$C$33="ppa",Inputs!$C$34*Timing!P76*1/1000,P72)</f>
        <v>0.0765416104471184</v>
      </c>
      <c r="Q89" s="37">
        <f>IF(Inputs!$C$33="ppa",Inputs!$C$34*Timing!Q76*1/1000,Q72)</f>
        <v>0.07807244265606075</v>
      </c>
      <c r="R89" s="37">
        <f>IF(Inputs!$C$33="ppa",Inputs!$C$34*Timing!R76*1/1000,R72)</f>
        <v>0.07963389150918197</v>
      </c>
      <c r="S89" s="37">
        <f>IF(Inputs!$C$33="ppa",Inputs!$C$34*Timing!S76*1/1000,S72)</f>
        <v>0.08122656933936562</v>
      </c>
      <c r="T89" s="37">
        <f>IF(Inputs!$C$33="ppa",Inputs!$C$34*Timing!T76*1/1000,T72)</f>
        <v>0.08285110072615294</v>
      </c>
      <c r="U89" s="37">
        <f>IF(Inputs!$C$33="ppa",Inputs!$C$34*Timing!U76*1/1000,U72)</f>
        <v>0.08450812274067597</v>
      </c>
      <c r="V89" s="37">
        <f>IF(Inputs!$C$33="ppa",Inputs!$C$34*Timing!V76*1/1000,V72)</f>
        <v>0.0861982851954895</v>
      </c>
      <c r="W89" s="37">
        <f>IF(Inputs!$C$33="ppa",Inputs!$C$34*Timing!W76*1/1000,W72)</f>
        <v>0.08792225089939928</v>
      </c>
      <c r="X89" s="37">
        <f>IF(Inputs!$C$33="ppa",Inputs!$C$34*Timing!X76*1/1000,X72)</f>
        <v>0.08968069591738728</v>
      </c>
      <c r="Y89" s="37">
        <f>IF(Inputs!$C$33="ppa",Inputs!$C$34*Timing!Y76*1/1000,Y72)</f>
        <v>0.09147430983573503</v>
      </c>
      <c r="Z89" s="37">
        <f>IF(Inputs!$C$33="ppa",Inputs!$C$34*Timing!Z76*1/1000,Z72)</f>
        <v>0.09330379603244973</v>
      </c>
      <c r="AA89" s="37">
        <f>IF(Inputs!$C$33="ppa",Inputs!$C$34*Timing!AA76*1/1000,AA72)</f>
        <v>0.09516987195309871</v>
      </c>
      <c r="AB89" s="37">
        <f>IF(Inputs!$C$33="ppa",Inputs!$C$34*Timing!AB76*1/1000,AB72)</f>
        <v>0.0970732693921607</v>
      </c>
      <c r="AC89" s="37">
        <f>IF(Inputs!$C$33="ppa",Inputs!$C$34*Timing!AC76*1/1000,AC72)</f>
        <v>0.09901473478000392</v>
      </c>
      <c r="AD89" s="37">
        <f>IF(Inputs!$C$33="ppa",Inputs!$C$34*Timing!AD76*1/1000,AD72)</f>
        <v>0.100995029475604</v>
      </c>
      <c r="AE89" s="37">
        <f>IF(Inputs!$C$33="ppa",Inputs!$C$34*Timing!AE76*1/1000,AE72)</f>
        <v>0.1030149300651161</v>
      </c>
    </row>
    <row r="90">
      <c r="A90" s="6" t="inlineStr">
        <is>
          <t xml:space="preserve">Revenue: after support</t>
        </is>
      </c>
      <c r="B90" s="10" t="inlineStr">
        <is>
          <t xml:space="preserve">€</t>
        </is>
      </c>
      <c r="F90" s="23">
        <f>IF(Inputs!$C$33="ppa",F75,F74)*F89*(1-Timing!F69)</f>
        <v>0</v>
      </c>
      <c r="G90" s="23">
        <f>IF(Inputs!$C$33="ppa",G75,G74)*G89*(1-Timing!G69)</f>
        <v>0</v>
      </c>
      <c r="H90" s="23">
        <f>IF(Inputs!$C$33="ppa",H75,H74)*H89*(1-Timing!H69)</f>
        <v>0</v>
      </c>
      <c r="I90" s="23">
        <f>IF(Inputs!$C$33="ppa",I75,I74)*I89*(1-Timing!I69)</f>
        <v>0</v>
      </c>
      <c r="J90" s="23">
        <f>IF(Inputs!$C$33="ppa",J75,J74)*J89*(1-Timing!J69)</f>
        <v>0</v>
      </c>
      <c r="K90" s="23">
        <f>IF(Inputs!$C$33="ppa",K75,K74)*K89*(1-Timing!K69)</f>
        <v>0</v>
      </c>
      <c r="L90" s="23">
        <f>IF(Inputs!$C$33="ppa",L75,L74)*L89*(1-Timing!L69)</f>
        <v>0</v>
      </c>
      <c r="M90" s="23">
        <f>IF(Inputs!$C$33="ppa",M75,M74)*M89*(1-Timing!M69)</f>
        <v>0</v>
      </c>
      <c r="N90" s="23">
        <f>IF(Inputs!$C$33="ppa",N75,N74)*N89*(1-Timing!N69)</f>
        <v>0</v>
      </c>
      <c r="O90" s="23">
        <f>IF(Inputs!$C$33="ppa",O75,O74)*O89*(1-Timing!O69)</f>
        <v>0</v>
      </c>
      <c r="P90" s="23">
        <f>IF(Inputs!$C$33="ppa",P75,P74)*P89*(1-Timing!P69)</f>
        <v>0</v>
      </c>
      <c r="Q90" s="23">
        <f>IF(Inputs!$C$33="ppa",Q75,Q74)*Q89*(1-Timing!Q69)</f>
        <v>0</v>
      </c>
      <c r="R90" s="23">
        <f>IF(Inputs!$C$33="ppa",R75,R74)*R89*(1-Timing!R69)</f>
        <v>0</v>
      </c>
      <c r="S90" s="23">
        <f>IF(Inputs!$C$33="ppa",S75,S74)*S89*(1-Timing!S69)</f>
        <v>0</v>
      </c>
      <c r="T90" s="23">
        <f>IF(Inputs!$C$33="ppa",T75,T74)*T89*(1-Timing!T69)</f>
        <v>0</v>
      </c>
      <c r="U90" s="23">
        <f>IF(Inputs!$C$33="ppa",U75,U74)*U89*(1-Timing!U69)</f>
        <v>0</v>
      </c>
      <c r="V90" s="23">
        <f>IF(Inputs!$C$33="ppa",V75,V74)*V89*(1-Timing!V69)</f>
        <v>0</v>
      </c>
      <c r="W90" s="23">
        <f>IF(Inputs!$C$33="ppa",W75,W74)*W89*(1-Timing!W69)</f>
        <v>0</v>
      </c>
      <c r="X90" s="23">
        <f>IF(Inputs!$C$33="ppa",X75,X74)*X89*(1-Timing!X69)</f>
        <v>0</v>
      </c>
      <c r="Y90" s="23">
        <f>IF(Inputs!$C$33="ppa",Y75,Y74)*Y89*(1-Timing!Y69)</f>
        <v>0</v>
      </c>
      <c r="Z90" s="23">
        <f>IF(Inputs!$C$33="ppa",Z75,Z74)*Z89*(1-Timing!Z69)</f>
        <v>0</v>
      </c>
      <c r="AA90" s="23">
        <f>IF(Inputs!$C$33="ppa",AA75,AA74)*AA89*(1-Timing!AA69)</f>
        <v>1380584.2085965013</v>
      </c>
      <c r="AB90" s="23">
        <f>IF(Inputs!$C$33="ppa",AB75,AB74)*AB89*(1-Timing!AB69)</f>
        <v>5964692.068125075</v>
      </c>
      <c r="AC90" s="23">
        <f>IF(Inputs!$C$33="ppa",AC75,AC74)*AC89*(1-Timing!AC69)</f>
        <v>6071817.937668602</v>
      </c>
      <c r="AD90" s="23">
        <f>IF(Inputs!$C$33="ppa",AD75,AD74)*AD89*(1-Timing!AD69)</f>
        <v>6180867.78782913</v>
      </c>
      <c r="AE90" s="23">
        <f>IF(Inputs!$C$33="ppa",AE75,AE74)*AE89*(1-Timing!AE69)</f>
        <v>3120081.061279551</v>
      </c>
    </row>
    <row r="91">
      <c r="A91" s="41" t="inlineStr">
        <is>
          <t xml:space="preserve">Revenue</t>
        </is>
      </c>
      <c r="B91" s="10" t="inlineStr">
        <is>
          <t xml:space="preserve">€</t>
        </is>
      </c>
      <c r="F91" s="42">
        <f>F83+F88+F90</f>
        <v>2553592.799528617</v>
      </c>
      <c r="G91" s="42">
        <f>G83+G88+G90</f>
        <v>4241822.657730198</v>
      </c>
      <c r="H91" s="42">
        <f>H83+H88+H90</f>
        <v>4178051.2871819376</v>
      </c>
      <c r="I91" s="42">
        <f>I83+I88+I90</f>
        <v>4253089.088299724</v>
      </c>
      <c r="J91" s="42">
        <f>J83+J88+J90</f>
        <v>4329474.568325588</v>
      </c>
      <c r="K91" s="42">
        <f>K83+K88+K90</f>
        <v>4407231.931572716</v>
      </c>
      <c r="L91" s="42">
        <f>L83+L88+L90</f>
        <v>4486385.817063762</v>
      </c>
      <c r="M91" s="42">
        <f>M83+M88+M90</f>
        <v>4566961.3063382255</v>
      </c>
      <c r="N91" s="42">
        <f>N83+N88+N90</f>
        <v>4648983.931400061</v>
      </c>
      <c r="O91" s="42">
        <f>O83+O88+O90</f>
        <v>4732479.682808007</v>
      </c>
      <c r="P91" s="42">
        <f>P83+P88+P90</f>
        <v>4817475.017911237</v>
      </c>
      <c r="Q91" s="42">
        <f>Q83+Q88+Q90</f>
        <v>4903996.869232923</v>
      </c>
      <c r="R91" s="42">
        <f>R83+R88+R90</f>
        <v>4992072.653004346</v>
      </c>
      <c r="S91" s="42">
        <f>S83+S88+S90</f>
        <v>5081730.277852306</v>
      </c>
      <c r="T91" s="42">
        <f>T83+T88+T90</f>
        <v>5172998.153642533</v>
      </c>
      <c r="U91" s="42">
        <f>U83+U88+U90</f>
        <v>5265905.200481951</v>
      </c>
      <c r="V91" s="42">
        <f>V83+V88+V90</f>
        <v>5360480.857882607</v>
      </c>
      <c r="W91" s="42">
        <f>W83+W88+W90</f>
        <v>5456755.094090179</v>
      </c>
      <c r="X91" s="42">
        <f>X83+X88+X90</f>
        <v>5554758.415580039</v>
      </c>
      <c r="Y91" s="42">
        <f>Y83+Y88+Y90</f>
        <v>5654521.876723857</v>
      </c>
      <c r="Z91" s="42">
        <f>Z83+Z88+Z90</f>
        <v>5756077.089629817</v>
      </c>
      <c r="AA91" s="42">
        <f>AA83+AA88+AA90</f>
        <v>5859456.234159568</v>
      </c>
      <c r="AB91" s="42">
        <f>AB83+AB88+AB90</f>
        <v>5964692.068125075</v>
      </c>
      <c r="AC91" s="42">
        <f>AC83+AC88+AC90</f>
        <v>6071817.937668602</v>
      </c>
      <c r="AD91" s="42">
        <f>AD83+AD88+AD90</f>
        <v>6180867.78782913</v>
      </c>
      <c r="AE91" s="42">
        <f>AE83+AE88+AE90</f>
        <v>3120081.061279551</v>
      </c>
    </row>
    <row r="92">
      <c r="A92" s="6" t="inlineStr">
        <is>
          <t xml:space="preserve">Premium advances for the year (§ 26)</t>
        </is>
      </c>
      <c r="B92" s="10" t="inlineStr">
        <is>
          <t xml:space="preserve">€</t>
        </is>
      </c>
      <c r="F92" s="23">
        <f>F76*F80</f>
        <v>0</v>
      </c>
      <c r="G92" s="23">
        <f>G76*G80</f>
        <v>0</v>
      </c>
      <c r="H92" s="23">
        <f>H76*H80</f>
        <v>0</v>
      </c>
      <c r="I92" s="23">
        <f>I76*I80</f>
        <v>0</v>
      </c>
      <c r="J92" s="23">
        <f>J76*J80</f>
        <v>0</v>
      </c>
      <c r="K92" s="23">
        <f>K76*K80</f>
        <v>0</v>
      </c>
      <c r="L92" s="23">
        <f>L76*L80</f>
        <v>0</v>
      </c>
      <c r="M92" s="23">
        <f>M76*M80</f>
        <v>0</v>
      </c>
      <c r="N92" s="23">
        <f>N76*N80</f>
        <v>0</v>
      </c>
      <c r="O92" s="23">
        <f>O76*O80</f>
        <v>0</v>
      </c>
      <c r="P92" s="23">
        <f>P76*P80</f>
        <v>0</v>
      </c>
      <c r="Q92" s="23">
        <f>Q76*Q80</f>
        <v>0</v>
      </c>
      <c r="R92" s="23">
        <f>R76*R80</f>
        <v>0</v>
      </c>
      <c r="S92" s="23">
        <f>S76*S80</f>
        <v>0</v>
      </c>
      <c r="T92" s="23">
        <f>T76*T80</f>
        <v>0</v>
      </c>
      <c r="U92" s="23">
        <f>U76*U80</f>
        <v>0</v>
      </c>
      <c r="V92" s="23">
        <f>V76*V80</f>
        <v>0</v>
      </c>
      <c r="W92" s="23">
        <f>W76*W80</f>
        <v>0</v>
      </c>
      <c r="X92" s="23">
        <f>X76*X80</f>
        <v>0</v>
      </c>
      <c r="Y92" s="23">
        <f>Y76*Y80</f>
        <v>0</v>
      </c>
      <c r="Z92" s="23">
        <f>Z76*Z80</f>
        <v>0</v>
      </c>
      <c r="AA92" s="23">
        <f>AA76*AA80</f>
        <v>0</v>
      </c>
      <c r="AB92" s="23">
        <f>AB76*AB80</f>
        <v>0</v>
      </c>
      <c r="AC92" s="23">
        <f>AC76*AC80</f>
        <v>0</v>
      </c>
      <c r="AD92" s="23">
        <f>AD76*AD80</f>
        <v>0</v>
      </c>
      <c r="AE92" s="23">
        <f>AE76*AE80</f>
        <v>0</v>
      </c>
    </row>
    <row r="93">
      <c r="A93" s="6" t="inlineStr">
        <is>
          <t xml:space="preserve">Fixed-cost basis (capacity × index × part year)</t>
        </is>
      </c>
      <c r="B93" s="10" t="inlineStr">
        <is>
          <t xml:space="preserve">kW</t>
        </is>
      </c>
      <c r="F93" s="26">
        <f>Timing!$C$28*Timing!F75*Timing!F66*1</f>
        <v>17053.25529806557</v>
      </c>
      <c r="G93" s="26">
        <f>Timing!$C$28*Timing!G75*Timing!G66*1</f>
        <v>34599.57210801</v>
      </c>
      <c r="H93" s="26">
        <f>Timing!$C$28*Timing!H75*Timing!H66*1</f>
        <v>35291.5635501702</v>
      </c>
      <c r="I93" s="26">
        <f>Timing!$C$28*Timing!I75*Timing!I66*1</f>
        <v>35997.3948211736</v>
      </c>
      <c r="J93" s="26">
        <f>Timing!$C$28*Timing!J75*Timing!J66*1</f>
        <v>36717.34271759707</v>
      </c>
      <c r="K93" s="26">
        <f>Timing!$C$28*Timing!K75*Timing!K66*1</f>
        <v>37451.68957194901</v>
      </c>
      <c r="L93" s="26">
        <f>Timing!$C$28*Timing!L75*Timing!L66*1</f>
        <v>38200.723363387995</v>
      </c>
      <c r="M93" s="26">
        <f>Timing!$C$28*Timing!M75*Timing!M66*1</f>
        <v>38964.73783065575</v>
      </c>
      <c r="N93" s="26">
        <f>Timing!$C$28*Timing!N75*Timing!N66*1</f>
        <v>39744.03258726886</v>
      </c>
      <c r="O93" s="26">
        <f>Timing!$C$28*Timing!O75*Timing!O66*1</f>
        <v>40538.91323901424</v>
      </c>
      <c r="P93" s="26">
        <f>Timing!$C$28*Timing!P75*Timing!P66*1</f>
        <v>41349.69150379453</v>
      </c>
      <c r="Q93" s="26">
        <f>Timing!$C$28*Timing!Q75*Timing!Q66*1</f>
        <v>42176.68533387042</v>
      </c>
      <c r="R93" s="26">
        <f>Timing!$C$28*Timing!R75*Timing!R66*1</f>
        <v>43020.219040547825</v>
      </c>
      <c r="S93" s="26">
        <f>Timing!$C$28*Timing!S75*Timing!S66*1</f>
        <v>43880.62342135878</v>
      </c>
      <c r="T93" s="26">
        <f>Timing!$C$28*Timing!T75*Timing!T66*1</f>
        <v>44758.23588978595</v>
      </c>
      <c r="U93" s="26">
        <f>Timing!$C$28*Timing!U75*Timing!U66*1</f>
        <v>45653.40060758168</v>
      </c>
      <c r="V93" s="26">
        <f>Timing!$C$28*Timing!V75*Timing!V66*1</f>
        <v>46566.468619733314</v>
      </c>
      <c r="W93" s="26">
        <f>Timing!$C$28*Timing!W75*Timing!W66*1</f>
        <v>47497.79799212798</v>
      </c>
      <c r="X93" s="26">
        <f>Timing!$C$28*Timing!X75*Timing!X66*1</f>
        <v>48447.75395197054</v>
      </c>
      <c r="Y93" s="26">
        <f>Timing!$C$28*Timing!Y75*Timing!Y66*1</f>
        <v>49416.709031009945</v>
      </c>
      <c r="Z93" s="26">
        <f>Timing!$C$28*Timing!Z75*Timing!Z66*1</f>
        <v>50405.043211630145</v>
      </c>
      <c r="AA93" s="26">
        <f>Timing!$C$28*Timing!AA75*Timing!AA66*1</f>
        <v>51413.14407586275</v>
      </c>
      <c r="AB93" s="26">
        <f>Timing!$C$28*Timing!AB75*Timing!AB66*1</f>
        <v>52441.40695738001</v>
      </c>
      <c r="AC93" s="26">
        <f>Timing!$C$28*Timing!AC75*Timing!AC66*1</f>
        <v>53490.23509652761</v>
      </c>
      <c r="AD93" s="26">
        <f>Timing!$C$28*Timing!AD75*Timing!AD66*1</f>
        <v>54560.039798458165</v>
      </c>
      <c r="AE93" s="26">
        <f>Timing!$C$28*Timing!AE75*Timing!AE66*1</f>
        <v>27596.916568743418</v>
      </c>
    </row>
    <row r="94">
      <c r="A94" s="6" t="inlineStr">
        <is>
          <t xml:space="preserve">Maintenance</t>
        </is>
      </c>
      <c r="B94" s="10" t="inlineStr">
        <is>
          <t xml:space="preserve">€</t>
        </is>
      </c>
      <c r="F94" s="23">
        <f>CHOOSE(Timing!F71+1,Inputs!$B$61,Inputs!$C$61,Inputs!$D$61)*F93</f>
        <v>238745.574172918</v>
      </c>
      <c r="G94" s="23">
        <f>CHOOSE(Timing!G71+1,Inputs!$B$61,Inputs!$C$61,Inputs!$D$61)*G93</f>
        <v>484394.00951213995</v>
      </c>
      <c r="H94" s="23">
        <f>CHOOSE(Timing!H71+1,Inputs!$B$61,Inputs!$C$61,Inputs!$D$61)*H93</f>
        <v>494081.8897023828</v>
      </c>
      <c r="I94" s="23">
        <f>CHOOSE(Timing!I71+1,Inputs!$B$61,Inputs!$C$61,Inputs!$D$61)*I93</f>
        <v>503963.5274964304</v>
      </c>
      <c r="J94" s="23">
        <f>CHOOSE(Timing!J71+1,Inputs!$B$61,Inputs!$C$61,Inputs!$D$61)*J93</f>
        <v>514042.798046359</v>
      </c>
      <c r="K94" s="23">
        <f>CHOOSE(Timing!K71+1,Inputs!$B$61,Inputs!$C$61,Inputs!$D$61)*K93</f>
        <v>524323.6540072862</v>
      </c>
      <c r="L94" s="23">
        <f>CHOOSE(Timing!L71+1,Inputs!$B$61,Inputs!$C$61,Inputs!$D$61)*L93</f>
        <v>534810.127087432</v>
      </c>
      <c r="M94" s="23">
        <f>CHOOSE(Timing!M71+1,Inputs!$B$61,Inputs!$C$61,Inputs!$D$61)*M93</f>
        <v>545506.3296291805</v>
      </c>
      <c r="N94" s="23">
        <f>CHOOSE(Timing!N71+1,Inputs!$B$61,Inputs!$C$61,Inputs!$D$61)*N93</f>
        <v>556416.4562217641</v>
      </c>
      <c r="O94" s="23">
        <f>CHOOSE(Timing!O71+1,Inputs!$B$61,Inputs!$C$61,Inputs!$D$61)*O93</f>
        <v>567544.7853461994</v>
      </c>
      <c r="P94" s="23">
        <f>CHOOSE(Timing!P71+1,Inputs!$B$61,Inputs!$C$61,Inputs!$D$61)*P93</f>
        <v>661595.0640607125</v>
      </c>
      <c r="Q94" s="23">
        <f>CHOOSE(Timing!Q71+1,Inputs!$B$61,Inputs!$C$61,Inputs!$D$61)*Q93</f>
        <v>674826.9653419267</v>
      </c>
      <c r="R94" s="23">
        <f>CHOOSE(Timing!R71+1,Inputs!$B$61,Inputs!$C$61,Inputs!$D$61)*R93</f>
        <v>688323.5046487652</v>
      </c>
      <c r="S94" s="23">
        <f>CHOOSE(Timing!S71+1,Inputs!$B$61,Inputs!$C$61,Inputs!$D$61)*S93</f>
        <v>702089.9747417405</v>
      </c>
      <c r="T94" s="23">
        <f>CHOOSE(Timing!T71+1,Inputs!$B$61,Inputs!$C$61,Inputs!$D$61)*T93</f>
        <v>716131.7742365752</v>
      </c>
      <c r="U94" s="23">
        <f>CHOOSE(Timing!U71+1,Inputs!$B$61,Inputs!$C$61,Inputs!$D$61)*U93</f>
        <v>730454.4097213069</v>
      </c>
      <c r="V94" s="23">
        <f>CHOOSE(Timing!V71+1,Inputs!$B$61,Inputs!$C$61,Inputs!$D$61)*V93</f>
        <v>745063.497915733</v>
      </c>
      <c r="W94" s="23">
        <f>CHOOSE(Timing!W71+1,Inputs!$B$61,Inputs!$C$61,Inputs!$D$61)*W93</f>
        <v>759964.7678740476</v>
      </c>
      <c r="X94" s="23">
        <f>CHOOSE(Timing!X71+1,Inputs!$B$61,Inputs!$C$61,Inputs!$D$61)*X93</f>
        <v>775164.0632315286</v>
      </c>
      <c r="Y94" s="23">
        <f>CHOOSE(Timing!Y71+1,Inputs!$B$61,Inputs!$C$61,Inputs!$D$61)*Y93</f>
        <v>790667.3444961591</v>
      </c>
      <c r="Z94" s="23">
        <f>CHOOSE(Timing!Z71+1,Inputs!$B$61,Inputs!$C$61,Inputs!$D$61)*Z93</f>
        <v>887128.7605246906</v>
      </c>
      <c r="AA94" s="23">
        <f>CHOOSE(Timing!AA71+1,Inputs!$B$61,Inputs!$C$61,Inputs!$D$61)*AA93</f>
        <v>904871.3357351845</v>
      </c>
      <c r="AB94" s="23">
        <f>CHOOSE(Timing!AB71+1,Inputs!$B$61,Inputs!$C$61,Inputs!$D$61)*AB93</f>
        <v>922968.7624498882</v>
      </c>
      <c r="AC94" s="23">
        <f>CHOOSE(Timing!AC71+1,Inputs!$B$61,Inputs!$C$61,Inputs!$D$61)*AC93</f>
        <v>941428.1376988861</v>
      </c>
      <c r="AD94" s="23">
        <f>CHOOSE(Timing!AD71+1,Inputs!$B$61,Inputs!$C$61,Inputs!$D$61)*AD93</f>
        <v>960256.7004528638</v>
      </c>
      <c r="AE94" s="23">
        <f>CHOOSE(Timing!AE71+1,Inputs!$B$61,Inputs!$C$61,Inputs!$D$61)*AE93</f>
        <v>485705.7316098842</v>
      </c>
    </row>
    <row r="95">
      <c r="A95" s="6" t="inlineStr">
        <is>
          <t xml:space="preserve">Management</t>
        </is>
      </c>
      <c r="B95" s="10" t="inlineStr">
        <is>
          <t xml:space="preserve">€</t>
        </is>
      </c>
      <c r="F95" s="23">
        <f>CHOOSE(Timing!F71+1,Inputs!$B$62,Inputs!$C$62,Inputs!$D$62)*F93</f>
        <v>68213.02119226228</v>
      </c>
      <c r="G95" s="23">
        <f>CHOOSE(Timing!G71+1,Inputs!$B$62,Inputs!$C$62,Inputs!$D$62)*G93</f>
        <v>138398.28843204</v>
      </c>
      <c r="H95" s="23">
        <f>CHOOSE(Timing!H71+1,Inputs!$B$62,Inputs!$C$62,Inputs!$D$62)*H93</f>
        <v>141166.2542006808</v>
      </c>
      <c r="I95" s="23">
        <f>CHOOSE(Timing!I71+1,Inputs!$B$62,Inputs!$C$62,Inputs!$D$62)*I93</f>
        <v>143989.5792846944</v>
      </c>
      <c r="J95" s="23">
        <f>CHOOSE(Timing!J71+1,Inputs!$B$62,Inputs!$C$62,Inputs!$D$62)*J93</f>
        <v>146869.3708703883</v>
      </c>
      <c r="K95" s="23">
        <f>CHOOSE(Timing!K71+1,Inputs!$B$62,Inputs!$C$62,Inputs!$D$62)*K93</f>
        <v>149806.75828779605</v>
      </c>
      <c r="L95" s="23">
        <f>CHOOSE(Timing!L71+1,Inputs!$B$62,Inputs!$C$62,Inputs!$D$62)*L93</f>
        <v>152802.89345355198</v>
      </c>
      <c r="M95" s="23">
        <f>CHOOSE(Timing!M71+1,Inputs!$B$62,Inputs!$C$62,Inputs!$D$62)*M93</f>
        <v>155858.951322623</v>
      </c>
      <c r="N95" s="23">
        <f>CHOOSE(Timing!N71+1,Inputs!$B$62,Inputs!$C$62,Inputs!$D$62)*N93</f>
        <v>158976.13034907545</v>
      </c>
      <c r="O95" s="23">
        <f>CHOOSE(Timing!O71+1,Inputs!$B$62,Inputs!$C$62,Inputs!$D$62)*O93</f>
        <v>162155.65295605696</v>
      </c>
      <c r="P95" s="23">
        <f>CHOOSE(Timing!P71+1,Inputs!$B$62,Inputs!$C$62,Inputs!$D$62)*P93</f>
        <v>206748.45751897263</v>
      </c>
      <c r="Q95" s="23">
        <f>CHOOSE(Timing!Q71+1,Inputs!$B$62,Inputs!$C$62,Inputs!$D$62)*Q93</f>
        <v>210883.42666935208</v>
      </c>
      <c r="R95" s="23">
        <f>CHOOSE(Timing!R71+1,Inputs!$B$62,Inputs!$C$62,Inputs!$D$62)*R93</f>
        <v>215101.09520273912</v>
      </c>
      <c r="S95" s="23">
        <f>CHOOSE(Timing!S71+1,Inputs!$B$62,Inputs!$C$62,Inputs!$D$62)*S93</f>
        <v>219403.1171067939</v>
      </c>
      <c r="T95" s="23">
        <f>CHOOSE(Timing!T71+1,Inputs!$B$62,Inputs!$C$62,Inputs!$D$62)*T93</f>
        <v>223791.17944892976</v>
      </c>
      <c r="U95" s="23">
        <f>CHOOSE(Timing!U71+1,Inputs!$B$62,Inputs!$C$62,Inputs!$D$62)*U93</f>
        <v>228267.0030379084</v>
      </c>
      <c r="V95" s="23">
        <f>CHOOSE(Timing!V71+1,Inputs!$B$62,Inputs!$C$62,Inputs!$D$62)*V93</f>
        <v>232832.34309866658</v>
      </c>
      <c r="W95" s="23">
        <f>CHOOSE(Timing!W71+1,Inputs!$B$62,Inputs!$C$62,Inputs!$D$62)*W93</f>
        <v>237488.98996063988</v>
      </c>
      <c r="X95" s="23">
        <f>CHOOSE(Timing!X71+1,Inputs!$B$62,Inputs!$C$62,Inputs!$D$62)*X93</f>
        <v>242238.7697598527</v>
      </c>
      <c r="Y95" s="23">
        <f>CHOOSE(Timing!Y71+1,Inputs!$B$62,Inputs!$C$62,Inputs!$D$62)*Y93</f>
        <v>247083.5451550497</v>
      </c>
      <c r="Z95" s="23">
        <f>CHOOSE(Timing!Z71+1,Inputs!$B$62,Inputs!$C$62,Inputs!$D$62)*Z93</f>
        <v>252025.21605815072</v>
      </c>
      <c r="AA95" s="23">
        <f>CHOOSE(Timing!AA71+1,Inputs!$B$62,Inputs!$C$62,Inputs!$D$62)*AA93</f>
        <v>257065.72037931375</v>
      </c>
      <c r="AB95" s="23">
        <f>CHOOSE(Timing!AB71+1,Inputs!$B$62,Inputs!$C$62,Inputs!$D$62)*AB93</f>
        <v>262207.03478690004</v>
      </c>
      <c r="AC95" s="23">
        <f>CHOOSE(Timing!AC71+1,Inputs!$B$62,Inputs!$C$62,Inputs!$D$62)*AC93</f>
        <v>267451.17548263806</v>
      </c>
      <c r="AD95" s="23">
        <f>CHOOSE(Timing!AD71+1,Inputs!$B$62,Inputs!$C$62,Inputs!$D$62)*AD93</f>
        <v>272800.1989922908</v>
      </c>
      <c r="AE95" s="23">
        <f>CHOOSE(Timing!AE71+1,Inputs!$B$62,Inputs!$C$62,Inputs!$D$62)*AE93</f>
        <v>137984.5828437171</v>
      </c>
    </row>
    <row r="96">
      <c r="A96" s="6" t="inlineStr">
        <is>
          <t xml:space="preserve">Insurance</t>
        </is>
      </c>
      <c r="B96" s="10" t="inlineStr">
        <is>
          <t xml:space="preserve">€</t>
        </is>
      </c>
      <c r="F96" s="23">
        <f>CHOOSE(Timing!F71+1,Inputs!$B$63,Inputs!$C$63,Inputs!$D$63)*F93</f>
        <v>17053.25529806557</v>
      </c>
      <c r="G96" s="23">
        <f>CHOOSE(Timing!G71+1,Inputs!$B$63,Inputs!$C$63,Inputs!$D$63)*G93</f>
        <v>34599.57210801</v>
      </c>
      <c r="H96" s="23">
        <f>CHOOSE(Timing!H71+1,Inputs!$B$63,Inputs!$C$63,Inputs!$D$63)*H93</f>
        <v>35291.5635501702</v>
      </c>
      <c r="I96" s="23">
        <f>CHOOSE(Timing!I71+1,Inputs!$B$63,Inputs!$C$63,Inputs!$D$63)*I93</f>
        <v>35997.3948211736</v>
      </c>
      <c r="J96" s="23">
        <f>CHOOSE(Timing!J71+1,Inputs!$B$63,Inputs!$C$63,Inputs!$D$63)*J93</f>
        <v>36717.34271759707</v>
      </c>
      <c r="K96" s="23">
        <f>CHOOSE(Timing!K71+1,Inputs!$B$63,Inputs!$C$63,Inputs!$D$63)*K93</f>
        <v>37451.68957194901</v>
      </c>
      <c r="L96" s="23">
        <f>CHOOSE(Timing!L71+1,Inputs!$B$63,Inputs!$C$63,Inputs!$D$63)*L93</f>
        <v>38200.723363387995</v>
      </c>
      <c r="M96" s="23">
        <f>CHOOSE(Timing!M71+1,Inputs!$B$63,Inputs!$C$63,Inputs!$D$63)*M93</f>
        <v>38964.73783065575</v>
      </c>
      <c r="N96" s="23">
        <f>CHOOSE(Timing!N71+1,Inputs!$B$63,Inputs!$C$63,Inputs!$D$63)*N93</f>
        <v>39744.03258726886</v>
      </c>
      <c r="O96" s="23">
        <f>CHOOSE(Timing!O71+1,Inputs!$B$63,Inputs!$C$63,Inputs!$D$63)*O93</f>
        <v>40538.91323901424</v>
      </c>
      <c r="P96" s="23">
        <f>CHOOSE(Timing!P71+1,Inputs!$B$63,Inputs!$C$63,Inputs!$D$63)*P93</f>
        <v>41349.69150379453</v>
      </c>
      <c r="Q96" s="23">
        <f>CHOOSE(Timing!Q71+1,Inputs!$B$63,Inputs!$C$63,Inputs!$D$63)*Q93</f>
        <v>42176.68533387042</v>
      </c>
      <c r="R96" s="23">
        <f>CHOOSE(Timing!R71+1,Inputs!$B$63,Inputs!$C$63,Inputs!$D$63)*R93</f>
        <v>43020.219040547825</v>
      </c>
      <c r="S96" s="23">
        <f>CHOOSE(Timing!S71+1,Inputs!$B$63,Inputs!$C$63,Inputs!$D$63)*S93</f>
        <v>43880.62342135878</v>
      </c>
      <c r="T96" s="23">
        <f>CHOOSE(Timing!T71+1,Inputs!$B$63,Inputs!$C$63,Inputs!$D$63)*T93</f>
        <v>44758.23588978595</v>
      </c>
      <c r="U96" s="23">
        <f>CHOOSE(Timing!U71+1,Inputs!$B$63,Inputs!$C$63,Inputs!$D$63)*U93</f>
        <v>45653.40060758168</v>
      </c>
      <c r="V96" s="23">
        <f>CHOOSE(Timing!V71+1,Inputs!$B$63,Inputs!$C$63,Inputs!$D$63)*V93</f>
        <v>46566.468619733314</v>
      </c>
      <c r="W96" s="23">
        <f>CHOOSE(Timing!W71+1,Inputs!$B$63,Inputs!$C$63,Inputs!$D$63)*W93</f>
        <v>47497.79799212798</v>
      </c>
      <c r="X96" s="23">
        <f>CHOOSE(Timing!X71+1,Inputs!$B$63,Inputs!$C$63,Inputs!$D$63)*X93</f>
        <v>48447.75395197054</v>
      </c>
      <c r="Y96" s="23">
        <f>CHOOSE(Timing!Y71+1,Inputs!$B$63,Inputs!$C$63,Inputs!$D$63)*Y93</f>
        <v>49416.709031009945</v>
      </c>
      <c r="Z96" s="23">
        <f>CHOOSE(Timing!Z71+1,Inputs!$B$63,Inputs!$C$63,Inputs!$D$63)*Z93</f>
        <v>50405.043211630145</v>
      </c>
      <c r="AA96" s="23">
        <f>CHOOSE(Timing!AA71+1,Inputs!$B$63,Inputs!$C$63,Inputs!$D$63)*AA93</f>
        <v>51413.14407586275</v>
      </c>
      <c r="AB96" s="23">
        <f>CHOOSE(Timing!AB71+1,Inputs!$B$63,Inputs!$C$63,Inputs!$D$63)*AB93</f>
        <v>52441.40695738001</v>
      </c>
      <c r="AC96" s="23">
        <f>CHOOSE(Timing!AC71+1,Inputs!$B$63,Inputs!$C$63,Inputs!$D$63)*AC93</f>
        <v>53490.23509652761</v>
      </c>
      <c r="AD96" s="23">
        <f>CHOOSE(Timing!AD71+1,Inputs!$B$63,Inputs!$C$63,Inputs!$D$63)*AD93</f>
        <v>54560.039798458165</v>
      </c>
      <c r="AE96" s="23">
        <f>CHOOSE(Timing!AE71+1,Inputs!$B$63,Inputs!$C$63,Inputs!$D$63)*AE93</f>
        <v>27596.916568743418</v>
      </c>
    </row>
    <row r="97">
      <c r="A97" s="6" t="inlineStr">
        <is>
          <t xml:space="preserve">Other</t>
        </is>
      </c>
      <c r="B97" s="10" t="inlineStr">
        <is>
          <t xml:space="preserve">€</t>
        </is>
      </c>
      <c r="F97" s="23">
        <f>CHOOSE(Timing!F71+1,Inputs!$B$64,Inputs!$C$64,Inputs!$D$64)*F93</f>
        <v>102319.53178839342</v>
      </c>
      <c r="G97" s="23">
        <f>CHOOSE(Timing!G71+1,Inputs!$B$64,Inputs!$C$64,Inputs!$D$64)*G93</f>
        <v>207597.43264805997</v>
      </c>
      <c r="H97" s="23">
        <f>CHOOSE(Timing!H71+1,Inputs!$B$64,Inputs!$C$64,Inputs!$D$64)*H93</f>
        <v>211749.3813010212</v>
      </c>
      <c r="I97" s="23">
        <f>CHOOSE(Timing!I71+1,Inputs!$B$64,Inputs!$C$64,Inputs!$D$64)*I93</f>
        <v>215984.3689270416</v>
      </c>
      <c r="J97" s="23">
        <f>CHOOSE(Timing!J71+1,Inputs!$B$64,Inputs!$C$64,Inputs!$D$64)*J93</f>
        <v>220304.05630558243</v>
      </c>
      <c r="K97" s="23">
        <f>CHOOSE(Timing!K71+1,Inputs!$B$64,Inputs!$C$64,Inputs!$D$64)*K93</f>
        <v>224710.13743169408</v>
      </c>
      <c r="L97" s="23">
        <f>CHOOSE(Timing!L71+1,Inputs!$B$64,Inputs!$C$64,Inputs!$D$64)*L93</f>
        <v>229204.34018032797</v>
      </c>
      <c r="M97" s="23">
        <f>CHOOSE(Timing!M71+1,Inputs!$B$64,Inputs!$C$64,Inputs!$D$64)*M93</f>
        <v>233788.4269839345</v>
      </c>
      <c r="N97" s="23">
        <f>CHOOSE(Timing!N71+1,Inputs!$B$64,Inputs!$C$64,Inputs!$D$64)*N93</f>
        <v>238464.1955236132</v>
      </c>
      <c r="O97" s="23">
        <f>CHOOSE(Timing!O71+1,Inputs!$B$64,Inputs!$C$64,Inputs!$D$64)*O93</f>
        <v>243233.47943408543</v>
      </c>
      <c r="P97" s="23">
        <f>CHOOSE(Timing!P71+1,Inputs!$B$64,Inputs!$C$64,Inputs!$D$64)*P93</f>
        <v>248098.14902276717</v>
      </c>
      <c r="Q97" s="23">
        <f>CHOOSE(Timing!Q71+1,Inputs!$B$64,Inputs!$C$64,Inputs!$D$64)*Q93</f>
        <v>253060.11200322252</v>
      </c>
      <c r="R97" s="23">
        <f>CHOOSE(Timing!R71+1,Inputs!$B$64,Inputs!$C$64,Inputs!$D$64)*R93</f>
        <v>258121.31424328696</v>
      </c>
      <c r="S97" s="23">
        <f>CHOOSE(Timing!S71+1,Inputs!$B$64,Inputs!$C$64,Inputs!$D$64)*S93</f>
        <v>263283.7405281527</v>
      </c>
      <c r="T97" s="23">
        <f>CHOOSE(Timing!T71+1,Inputs!$B$64,Inputs!$C$64,Inputs!$D$64)*T93</f>
        <v>268549.4153387157</v>
      </c>
      <c r="U97" s="23">
        <f>CHOOSE(Timing!U71+1,Inputs!$B$64,Inputs!$C$64,Inputs!$D$64)*U93</f>
        <v>273920.40364549006</v>
      </c>
      <c r="V97" s="23">
        <f>CHOOSE(Timing!V71+1,Inputs!$B$64,Inputs!$C$64,Inputs!$D$64)*V93</f>
        <v>279398.81171839987</v>
      </c>
      <c r="W97" s="23">
        <f>CHOOSE(Timing!W71+1,Inputs!$B$64,Inputs!$C$64,Inputs!$D$64)*W93</f>
        <v>284986.78795276786</v>
      </c>
      <c r="X97" s="23">
        <f>CHOOSE(Timing!X71+1,Inputs!$B$64,Inputs!$C$64,Inputs!$D$64)*X93</f>
        <v>290686.5237118232</v>
      </c>
      <c r="Y97" s="23">
        <f>CHOOSE(Timing!Y71+1,Inputs!$B$64,Inputs!$C$64,Inputs!$D$64)*Y93</f>
        <v>296500.2541860597</v>
      </c>
      <c r="Z97" s="23">
        <f>CHOOSE(Timing!Z71+1,Inputs!$B$64,Inputs!$C$64,Inputs!$D$64)*Z93</f>
        <v>302430.2592697809</v>
      </c>
      <c r="AA97" s="23">
        <f>CHOOSE(Timing!AA71+1,Inputs!$B$64,Inputs!$C$64,Inputs!$D$64)*AA93</f>
        <v>308478.8644551765</v>
      </c>
      <c r="AB97" s="23">
        <f>CHOOSE(Timing!AB71+1,Inputs!$B$64,Inputs!$C$64,Inputs!$D$64)*AB93</f>
        <v>314648.44174428005</v>
      </c>
      <c r="AC97" s="23">
        <f>CHOOSE(Timing!AC71+1,Inputs!$B$64,Inputs!$C$64,Inputs!$D$64)*AC93</f>
        <v>320941.4105791657</v>
      </c>
      <c r="AD97" s="23">
        <f>CHOOSE(Timing!AD71+1,Inputs!$B$64,Inputs!$C$64,Inputs!$D$64)*AD93</f>
        <v>327360.238790749</v>
      </c>
      <c r="AE97" s="23">
        <f>CHOOSE(Timing!AE71+1,Inputs!$B$64,Inputs!$C$64,Inputs!$D$64)*AE93</f>
        <v>165581.49941246051</v>
      </c>
    </row>
    <row r="98">
      <c r="A98" s="6" t="inlineStr">
        <is>
          <t xml:space="preserve">Land lease on revenue</t>
        </is>
      </c>
      <c r="B98" s="10" t="inlineStr">
        <is>
          <t xml:space="preserve">€</t>
        </is>
      </c>
      <c r="F98" s="23">
        <f>Inputs!$C$65*F91</f>
        <v>255359.27995286172</v>
      </c>
      <c r="G98" s="23">
        <f>Inputs!$C$65*G91</f>
        <v>424182.26577301987</v>
      </c>
      <c r="H98" s="23">
        <f>Inputs!$C$65*H91</f>
        <v>417805.1287181938</v>
      </c>
      <c r="I98" s="23">
        <f>Inputs!$C$65*I91</f>
        <v>425308.90882997244</v>
      </c>
      <c r="J98" s="23">
        <f>Inputs!$C$65*J91</f>
        <v>432947.4568325588</v>
      </c>
      <c r="K98" s="23">
        <f>Inputs!$C$65*K91</f>
        <v>440723.1931572716</v>
      </c>
      <c r="L98" s="23">
        <f>Inputs!$C$65*L91</f>
        <v>448638.5817063762</v>
      </c>
      <c r="M98" s="23">
        <f>Inputs!$C$65*M91</f>
        <v>456696.1306338226</v>
      </c>
      <c r="N98" s="23">
        <f>Inputs!$C$65*N91</f>
        <v>464898.3931400061</v>
      </c>
      <c r="O98" s="23">
        <f>Inputs!$C$65*O91</f>
        <v>473247.96828080073</v>
      </c>
      <c r="P98" s="23">
        <f>Inputs!$C$65*P91</f>
        <v>481747.5017911237</v>
      </c>
      <c r="Q98" s="23">
        <f>Inputs!$C$65*Q91</f>
        <v>490399.6869232923</v>
      </c>
      <c r="R98" s="23">
        <f>Inputs!$C$65*R91</f>
        <v>499207.26530043466</v>
      </c>
      <c r="S98" s="23">
        <f>Inputs!$C$65*S91</f>
        <v>508173.02778523066</v>
      </c>
      <c r="T98" s="23">
        <f>Inputs!$C$65*T91</f>
        <v>517299.81536425336</v>
      </c>
      <c r="U98" s="23">
        <f>Inputs!$C$65*U91</f>
        <v>526590.5200481951</v>
      </c>
      <c r="V98" s="23">
        <f>Inputs!$C$65*V91</f>
        <v>536048.0857882607</v>
      </c>
      <c r="W98" s="23">
        <f>Inputs!$C$65*W91</f>
        <v>545675.5094090179</v>
      </c>
      <c r="X98" s="23">
        <f>Inputs!$C$65*X91</f>
        <v>555475.8415580039</v>
      </c>
      <c r="Y98" s="23">
        <f>Inputs!$C$65*Y91</f>
        <v>565452.1876723857</v>
      </c>
      <c r="Z98" s="23">
        <f>Inputs!$C$65*Z91</f>
        <v>575607.7089629817</v>
      </c>
      <c r="AA98" s="23">
        <f>Inputs!$C$65*AA91</f>
        <v>585945.6234159569</v>
      </c>
      <c r="AB98" s="23">
        <f>Inputs!$C$65*AB91</f>
        <v>596469.2068125075</v>
      </c>
      <c r="AC98" s="23">
        <f>Inputs!$C$65*AC91</f>
        <v>607181.7937668603</v>
      </c>
      <c r="AD98" s="23">
        <f>Inputs!$C$65*AD91</f>
        <v>618086.778782913</v>
      </c>
      <c r="AE98" s="23">
        <f>Inputs!$C$65*AE91</f>
        <v>312008.10612795514</v>
      </c>
    </row>
    <row r="99">
      <c r="A99" s="6" t="inlineStr">
        <is>
          <t xml:space="preserve">Land lease minimum</t>
        </is>
      </c>
      <c r="B99" s="10" t="inlineStr">
        <is>
          <t xml:space="preserve">€</t>
        </is>
      </c>
      <c r="F99" s="23">
        <f>Inputs!$C$66*Inputs!$C$6*Timing!F76*Timing!F66</f>
        <v>184140.53879781417</v>
      </c>
      <c r="G99" s="23">
        <f>Inputs!$C$66*Inputs!$C$6*Timing!G76*Timing!G66</f>
        <v>373605.14099999995</v>
      </c>
      <c r="H99" s="23">
        <f>Inputs!$C$66*Inputs!$C$6*Timing!H76*Timing!H66</f>
        <v>381077.24382000003</v>
      </c>
      <c r="I99" s="23">
        <f>Inputs!$C$66*Inputs!$C$6*Timing!I76*Timing!I66</f>
        <v>388698.78869639995</v>
      </c>
      <c r="J99" s="23">
        <f>Inputs!$C$66*Inputs!$C$6*Timing!J76*Timing!J66</f>
        <v>396472.764470328</v>
      </c>
      <c r="K99" s="23">
        <f>Inputs!$C$66*Inputs!$C$6*Timing!K76*Timing!K66</f>
        <v>404402.2197597346</v>
      </c>
      <c r="L99" s="23">
        <f>Inputs!$C$66*Inputs!$C$6*Timing!L76*Timing!L66</f>
        <v>412490.26415492926</v>
      </c>
      <c r="M99" s="23">
        <f>Inputs!$C$66*Inputs!$C$6*Timing!M76*Timing!M66</f>
        <v>420740.0694380278</v>
      </c>
      <c r="N99" s="23">
        <f>Inputs!$C$66*Inputs!$C$6*Timing!N76*Timing!N66</f>
        <v>429154.87082678836</v>
      </c>
      <c r="O99" s="23">
        <f>Inputs!$C$66*Inputs!$C$6*Timing!O76*Timing!O66</f>
        <v>437737.9682433241</v>
      </c>
      <c r="P99" s="23">
        <f>Inputs!$C$66*Inputs!$C$6*Timing!P76*Timing!P66</f>
        <v>446492.72760819056</v>
      </c>
      <c r="Q99" s="23">
        <f>Inputs!$C$66*Inputs!$C$6*Timing!Q76*Timing!Q66</f>
        <v>455422.58216035436</v>
      </c>
      <c r="R99" s="23">
        <f>Inputs!$C$66*Inputs!$C$6*Timing!R76*Timing!R66</f>
        <v>464531.0338035615</v>
      </c>
      <c r="S99" s="23">
        <f>Inputs!$C$66*Inputs!$C$6*Timing!S76*Timing!S66</f>
        <v>473821.6544796327</v>
      </c>
      <c r="T99" s="23">
        <f>Inputs!$C$66*Inputs!$C$6*Timing!T76*Timing!T66</f>
        <v>483298.08756922535</v>
      </c>
      <c r="U99" s="23">
        <f>Inputs!$C$66*Inputs!$C$6*Timing!U76*Timing!U66</f>
        <v>492964.04932060983</v>
      </c>
      <c r="V99" s="23">
        <f>Inputs!$C$66*Inputs!$C$6*Timing!V76*Timing!V66</f>
        <v>502823.3303070221</v>
      </c>
      <c r="W99" s="23">
        <f>Inputs!$C$66*Inputs!$C$6*Timing!W76*Timing!W66</f>
        <v>512879.7969131625</v>
      </c>
      <c r="X99" s="23">
        <f>Inputs!$C$66*Inputs!$C$6*Timing!X76*Timing!X66</f>
        <v>523137.39285142574</v>
      </c>
      <c r="Y99" s="23">
        <f>Inputs!$C$66*Inputs!$C$6*Timing!Y76*Timing!Y66</f>
        <v>533600.1407084543</v>
      </c>
      <c r="Z99" s="23">
        <f>Inputs!$C$66*Inputs!$C$6*Timing!Z76*Timing!Z66</f>
        <v>544272.1435226233</v>
      </c>
      <c r="AA99" s="23">
        <f>Inputs!$C$66*Inputs!$C$6*Timing!AA76*Timing!AA66</f>
        <v>555157.5863930759</v>
      </c>
      <c r="AB99" s="23">
        <f>Inputs!$C$66*Inputs!$C$6*Timing!AB76*Timing!AB66</f>
        <v>566260.7381209374</v>
      </c>
      <c r="AC99" s="23">
        <f>Inputs!$C$66*Inputs!$C$6*Timing!AC76*Timing!AC66</f>
        <v>577585.9528833561</v>
      </c>
      <c r="AD99" s="23">
        <f>Inputs!$C$66*Inputs!$C$6*Timing!AD76*Timing!AD66</f>
        <v>589137.6719410233</v>
      </c>
      <c r="AE99" s="23">
        <f>Inputs!$C$66*Inputs!$C$6*Timing!AE76*Timing!AE66</f>
        <v>297990.6766952102</v>
      </c>
    </row>
    <row r="100">
      <c r="A100" s="6" t="inlineStr">
        <is>
          <t xml:space="preserve">Land lease</t>
        </is>
      </c>
      <c r="B100" s="10" t="inlineStr">
        <is>
          <t xml:space="preserve">€</t>
        </is>
      </c>
      <c r="F100" s="23">
        <f>MAX(F98,F99)</f>
        <v>255359.27995286172</v>
      </c>
      <c r="G100" s="23">
        <f>MAX(G98,G99)</f>
        <v>424182.26577301987</v>
      </c>
      <c r="H100" s="23">
        <f>MAX(H98,H99)</f>
        <v>417805.1287181938</v>
      </c>
      <c r="I100" s="23">
        <f>MAX(I98,I99)</f>
        <v>425308.90882997244</v>
      </c>
      <c r="J100" s="23">
        <f>MAX(J98,J99)</f>
        <v>432947.4568325588</v>
      </c>
      <c r="K100" s="23">
        <f>MAX(K98,K99)</f>
        <v>440723.1931572716</v>
      </c>
      <c r="L100" s="23">
        <f>MAX(L98,L99)</f>
        <v>448638.5817063762</v>
      </c>
      <c r="M100" s="23">
        <f>MAX(M98,M99)</f>
        <v>456696.1306338226</v>
      </c>
      <c r="N100" s="23">
        <f>MAX(N98,N99)</f>
        <v>464898.3931400061</v>
      </c>
      <c r="O100" s="23">
        <f>MAX(O98,O99)</f>
        <v>473247.96828080073</v>
      </c>
      <c r="P100" s="23">
        <f>MAX(P98,P99)</f>
        <v>481747.5017911237</v>
      </c>
      <c r="Q100" s="23">
        <f>MAX(Q98,Q99)</f>
        <v>490399.6869232923</v>
      </c>
      <c r="R100" s="23">
        <f>MAX(R98,R99)</f>
        <v>499207.26530043466</v>
      </c>
      <c r="S100" s="23">
        <f>MAX(S98,S99)</f>
        <v>508173.02778523066</v>
      </c>
      <c r="T100" s="23">
        <f>MAX(T98,T99)</f>
        <v>517299.81536425336</v>
      </c>
      <c r="U100" s="23">
        <f>MAX(U98,U99)</f>
        <v>526590.5200481951</v>
      </c>
      <c r="V100" s="23">
        <f>MAX(V98,V99)</f>
        <v>536048.0857882607</v>
      </c>
      <c r="W100" s="23">
        <f>MAX(W98,W99)</f>
        <v>545675.5094090179</v>
      </c>
      <c r="X100" s="23">
        <f>MAX(X98,X99)</f>
        <v>555475.8415580039</v>
      </c>
      <c r="Y100" s="23">
        <f>MAX(Y98,Y99)</f>
        <v>565452.1876723857</v>
      </c>
      <c r="Z100" s="23">
        <f>MAX(Z98,Z99)</f>
        <v>575607.7089629817</v>
      </c>
      <c r="AA100" s="23">
        <f>MAX(AA98,AA99)</f>
        <v>585945.6234159569</v>
      </c>
      <c r="AB100" s="23">
        <f>MAX(AB98,AB99)</f>
        <v>596469.2068125075</v>
      </c>
      <c r="AC100" s="23">
        <f>MAX(AC98,AC99)</f>
        <v>607181.7937668603</v>
      </c>
      <c r="AD100" s="23">
        <f>MAX(AD98,AD99)</f>
        <v>618086.778782913</v>
      </c>
      <c r="AE100" s="23">
        <f>MAX(AE98,AE99)</f>
        <v>312008.10612795514</v>
      </c>
    </row>
    <row r="101">
      <c r="A101" s="6" t="inlineStr">
        <is>
          <t xml:space="preserve">Direct marketing</t>
        </is>
      </c>
      <c r="B101" s="10" t="inlineStr">
        <is>
          <t xml:space="preserve">€</t>
        </is>
      </c>
      <c r="F101" s="23">
        <f>Inputs!$C$32*Timing!F76/100*F75</f>
        <v>64187.64306084234</v>
      </c>
      <c r="G101" s="23">
        <f>Inputs!$C$32*Timing!G76/100*G75</f>
        <v>129970.6839437974</v>
      </c>
      <c r="H101" s="23">
        <f>Inputs!$C$32*Timing!H76/100*H75</f>
        <v>132304.95742742802</v>
      </c>
      <c r="I101" s="23">
        <f>Inputs!$C$32*Timing!I76/100*I75</f>
        <v>134681.1544628246</v>
      </c>
      <c r="J101" s="23">
        <f>Inputs!$C$32*Timing!J76/100*J75</f>
        <v>137100.02799697692</v>
      </c>
      <c r="K101" s="23">
        <f>Inputs!$C$32*Timing!K76/100*K75</f>
        <v>139562.34449980265</v>
      </c>
      <c r="L101" s="23">
        <f>Inputs!$C$32*Timing!L76/100*L75</f>
        <v>142068.88420701915</v>
      </c>
      <c r="M101" s="23">
        <f>Inputs!$C$32*Timing!M76/100*M75</f>
        <v>144620.44136737718</v>
      </c>
      <c r="N101" s="23">
        <f>Inputs!$C$32*Timing!N76/100*N75</f>
        <v>147217.82449433522</v>
      </c>
      <c r="O101" s="23">
        <f>Inputs!$C$32*Timing!O76/100*O75</f>
        <v>149861.85662225354</v>
      </c>
      <c r="P101" s="23">
        <f>Inputs!$C$32*Timing!P76/100*P75</f>
        <v>152553.37556718918</v>
      </c>
      <c r="Q101" s="23">
        <f>Inputs!$C$32*Timing!Q76/100*Q75</f>
        <v>155293.23419237588</v>
      </c>
      <c r="R101" s="23">
        <f>Inputs!$C$32*Timing!R76/100*R75</f>
        <v>158082.30067847096</v>
      </c>
      <c r="S101" s="23">
        <f>Inputs!$C$32*Timing!S76/100*S75</f>
        <v>160921.45879865633</v>
      </c>
      <c r="T101" s="23">
        <f>Inputs!$C$32*Timing!T76/100*T75</f>
        <v>163811.6081986802</v>
      </c>
      <c r="U101" s="23">
        <f>Inputs!$C$32*Timing!U76/100*U75</f>
        <v>166753.66468192847</v>
      </c>
      <c r="V101" s="23">
        <f>Inputs!$C$32*Timing!V76/100*V75</f>
        <v>169748.56049961588</v>
      </c>
      <c r="W101" s="23">
        <f>Inputs!$C$32*Timing!W76/100*W75</f>
        <v>172797.244646189</v>
      </c>
      <c r="X101" s="23">
        <f>Inputs!$C$32*Timing!X76/100*X75</f>
        <v>175900.68316003456</v>
      </c>
      <c r="Y101" s="23">
        <f>Inputs!$C$32*Timing!Y76/100*Y75</f>
        <v>179059.85942958877</v>
      </c>
      <c r="Z101" s="23">
        <f>Inputs!$C$32*Timing!Z76/100*Z75</f>
        <v>182275.77450494422</v>
      </c>
      <c r="AA101" s="23">
        <f>Inputs!$C$32*Timing!AA76/100*AA75</f>
        <v>185549.447415053</v>
      </c>
      <c r="AB101" s="23">
        <f>Inputs!$C$32*Timing!AB76/100*AB75</f>
        <v>188881.91549062735</v>
      </c>
      <c r="AC101" s="23">
        <f>Inputs!$C$32*Timing!AC76/100*AC75</f>
        <v>192274.23469283906</v>
      </c>
      <c r="AD101" s="23">
        <f>Inputs!$C$32*Timing!AD76/100*AD75</f>
        <v>195727.47994792243</v>
      </c>
      <c r="AE101" s="23">
        <f>Inputs!$C$32*Timing!AE76/100*AE75</f>
        <v>98802.56694051911</v>
      </c>
    </row>
    <row r="102">
      <c r="A102" s="6" t="inlineStr">
        <is>
          <t xml:space="preserve">Municipal payment (§ 6)</t>
        </is>
      </c>
      <c r="B102" s="10" t="inlineStr">
        <is>
          <t xml:space="preserve">€</t>
        </is>
      </c>
      <c r="F102" s="23">
        <f>Inputs!$C$38/100*F74*(Timing!F69+IF(Inputs!$C$39,1-Timing!F69,0))</f>
        <v>64562.924745363496</v>
      </c>
      <c r="G102" s="23">
        <f>Inputs!$C$38/100*G74*(Timing!G69+IF(Inputs!$C$39,1-Timing!G69,0))</f>
        <v>128167.23041244259</v>
      </c>
      <c r="H102" s="23">
        <f>Inputs!$C$38/100*H74*(Timing!H69+IF(Inputs!$C$39,1-Timing!H69,0))</f>
        <v>127910.89595161768</v>
      </c>
      <c r="I102" s="23">
        <f>Inputs!$C$38/100*I74*(Timing!I69+IF(Inputs!$C$39,1-Timing!I69,0))</f>
        <v>127655.07415971448</v>
      </c>
      <c r="J102" s="23">
        <f>Inputs!$C$38/100*J74*(Timing!J69+IF(Inputs!$C$39,1-Timing!J69,0))</f>
        <v>127399.76401139502</v>
      </c>
      <c r="K102" s="23">
        <f>Inputs!$C$38/100*K74*(Timing!K69+IF(Inputs!$C$39,1-Timing!K69,0))</f>
        <v>127144.96448337224</v>
      </c>
      <c r="L102" s="23">
        <f>Inputs!$C$38/100*L74*(Timing!L69+IF(Inputs!$C$39,1-Timing!L69,0))</f>
        <v>126890.6745544055</v>
      </c>
      <c r="M102" s="23">
        <f>Inputs!$C$38/100*M74*(Timing!M69+IF(Inputs!$C$39,1-Timing!M69,0))</f>
        <v>126636.89320529668</v>
      </c>
      <c r="N102" s="23">
        <f>Inputs!$C$38/100*N74*(Timing!N69+IF(Inputs!$C$39,1-Timing!N69,0))</f>
        <v>126383.61941888608</v>
      </c>
      <c r="O102" s="23">
        <f>Inputs!$C$38/100*O74*(Timing!O69+IF(Inputs!$C$39,1-Timing!O69,0))</f>
        <v>126130.85218004833</v>
      </c>
      <c r="P102" s="23">
        <f>Inputs!$C$38/100*P74*(Timing!P69+IF(Inputs!$C$39,1-Timing!P69,0))</f>
        <v>125878.59047568821</v>
      </c>
      <c r="Q102" s="23">
        <f>Inputs!$C$38/100*Q74*(Timing!Q69+IF(Inputs!$C$39,1-Timing!Q69,0))</f>
        <v>125626.83329473685</v>
      </c>
      <c r="R102" s="23">
        <f>Inputs!$C$38/100*R74*(Timing!R69+IF(Inputs!$C$39,1-Timing!R69,0))</f>
        <v>125375.57962814736</v>
      </c>
      <c r="S102" s="23">
        <f>Inputs!$C$38/100*S74*(Timing!S69+IF(Inputs!$C$39,1-Timing!S69,0))</f>
        <v>125124.82846889111</v>
      </c>
      <c r="T102" s="23">
        <f>Inputs!$C$38/100*T74*(Timing!T69+IF(Inputs!$C$39,1-Timing!T69,0))</f>
        <v>124874.5788119533</v>
      </c>
      <c r="U102" s="23">
        <f>Inputs!$C$38/100*U74*(Timing!U69+IF(Inputs!$C$39,1-Timing!U69,0))</f>
        <v>124624.8296543294</v>
      </c>
      <c r="V102" s="23">
        <f>Inputs!$C$38/100*V74*(Timing!V69+IF(Inputs!$C$39,1-Timing!V69,0))</f>
        <v>124375.57999502071</v>
      </c>
      <c r="W102" s="23">
        <f>Inputs!$C$38/100*W74*(Timing!W69+IF(Inputs!$C$39,1-Timing!W69,0))</f>
        <v>124126.82883503068</v>
      </c>
      <c r="X102" s="23">
        <f>Inputs!$C$38/100*X74*(Timing!X69+IF(Inputs!$C$39,1-Timing!X69,0))</f>
        <v>123878.57517736063</v>
      </c>
      <c r="Y102" s="23">
        <f>Inputs!$C$38/100*Y74*(Timing!Y69+IF(Inputs!$C$39,1-Timing!Y69,0))</f>
        <v>123630.8180270059</v>
      </c>
      <c r="Z102" s="23">
        <f>Inputs!$C$38/100*Z74*(Timing!Z69+IF(Inputs!$C$39,1-Timing!Z69,0))</f>
        <v>123383.55639095188</v>
      </c>
      <c r="AA102" s="23">
        <f>Inputs!$C$38/100*AA74*(Timing!AA69+IF(Inputs!$C$39,1-Timing!AA69,0))</f>
        <v>123136.78927816999</v>
      </c>
      <c r="AB102" s="23">
        <f>Inputs!$C$38/100*AB74*(Timing!AB69+IF(Inputs!$C$39,1-Timing!AB69,0))</f>
        <v>122890.51569961365</v>
      </c>
      <c r="AC102" s="23">
        <f>Inputs!$C$38/100*AC74*(Timing!AC69+IF(Inputs!$C$39,1-Timing!AC69,0))</f>
        <v>122644.73466821444</v>
      </c>
      <c r="AD102" s="23">
        <f>Inputs!$C$38/100*AD74*(Timing!AD69+IF(Inputs!$C$39,1-Timing!AD69,0))</f>
        <v>122399.44519887799</v>
      </c>
      <c r="AE102" s="23">
        <f>Inputs!$C$38/100*AE74*(Timing!AE69+IF(Inputs!$C$39,1-Timing!AE69,0))</f>
        <v>60575.31775845185</v>
      </c>
    </row>
    <row r="103">
      <c r="A103" s="6" t="inlineStr">
        <is>
          <t xml:space="preserve">Guarantee fee</t>
        </is>
      </c>
      <c r="B103" s="10" t="inlineStr">
        <is>
          <t xml:space="preserve">€</t>
        </is>
      </c>
      <c r="F103" s="23">
        <f>Timing!$C$33*Inputs!$C$68*Timing!F66</f>
        <v>4995.901639344263</v>
      </c>
      <c r="G103" s="23">
        <f>Timing!$C$33*Inputs!$C$68*Timing!G66</f>
        <v>9937.5</v>
      </c>
      <c r="H103" s="23">
        <f>Timing!$C$33*Inputs!$C$68*Timing!H66</f>
        <v>9937.5</v>
      </c>
      <c r="I103" s="23">
        <f>Timing!$C$33*Inputs!$C$68*Timing!I66</f>
        <v>9937.5</v>
      </c>
      <c r="J103" s="23">
        <f>Timing!$C$33*Inputs!$C$68*Timing!J66</f>
        <v>9937.5</v>
      </c>
      <c r="K103" s="23">
        <f>Timing!$C$33*Inputs!$C$68*Timing!K66</f>
        <v>9937.5</v>
      </c>
      <c r="L103" s="23">
        <f>Timing!$C$33*Inputs!$C$68*Timing!L66</f>
        <v>9937.5</v>
      </c>
      <c r="M103" s="23">
        <f>Timing!$C$33*Inputs!$C$68*Timing!M66</f>
        <v>9937.5</v>
      </c>
      <c r="N103" s="23">
        <f>Timing!$C$33*Inputs!$C$68*Timing!N66</f>
        <v>9937.5</v>
      </c>
      <c r="O103" s="23">
        <f>Timing!$C$33*Inputs!$C$68*Timing!O66</f>
        <v>9937.5</v>
      </c>
      <c r="P103" s="23">
        <f>Timing!$C$33*Inputs!$C$68*Timing!P66</f>
        <v>9937.5</v>
      </c>
      <c r="Q103" s="23">
        <f>Timing!$C$33*Inputs!$C$68*Timing!Q66</f>
        <v>9937.5</v>
      </c>
      <c r="R103" s="23">
        <f>Timing!$C$33*Inputs!$C$68*Timing!R66</f>
        <v>9937.5</v>
      </c>
      <c r="S103" s="23">
        <f>Timing!$C$33*Inputs!$C$68*Timing!S66</f>
        <v>9937.5</v>
      </c>
      <c r="T103" s="23">
        <f>Timing!$C$33*Inputs!$C$68*Timing!T66</f>
        <v>9937.5</v>
      </c>
      <c r="U103" s="23">
        <f>Timing!$C$33*Inputs!$C$68*Timing!U66</f>
        <v>9937.5</v>
      </c>
      <c r="V103" s="23">
        <f>Timing!$C$33*Inputs!$C$68*Timing!V66</f>
        <v>9937.5</v>
      </c>
      <c r="W103" s="23">
        <f>Timing!$C$33*Inputs!$C$68*Timing!W66</f>
        <v>9937.5</v>
      </c>
      <c r="X103" s="23">
        <f>Timing!$C$33*Inputs!$C$68*Timing!X66</f>
        <v>9937.5</v>
      </c>
      <c r="Y103" s="23">
        <f>Timing!$C$33*Inputs!$C$68*Timing!Y66</f>
        <v>9937.5</v>
      </c>
      <c r="Z103" s="23">
        <f>Timing!$C$33*Inputs!$C$68*Timing!Z66</f>
        <v>9937.5</v>
      </c>
      <c r="AA103" s="23">
        <f>Timing!$C$33*Inputs!$C$68*Timing!AA66</f>
        <v>9937.5</v>
      </c>
      <c r="AB103" s="23">
        <f>Timing!$C$33*Inputs!$C$68*Timing!AB66</f>
        <v>9937.5</v>
      </c>
      <c r="AC103" s="23">
        <f>Timing!$C$33*Inputs!$C$68*Timing!AC66</f>
        <v>9937.5</v>
      </c>
      <c r="AD103" s="23">
        <f>Timing!$C$33*Inputs!$C$68*Timing!AD66</f>
        <v>9937.5</v>
      </c>
      <c r="AE103" s="23">
        <f>Timing!$C$33*Inputs!$C$68*Timing!AE66</f>
        <v>4927.91095890411</v>
      </c>
    </row>
    <row r="104">
      <c r="A104" s="6" t="inlineStr">
        <is>
          <t xml:space="preserve">Generator grid fee</t>
        </is>
      </c>
      <c r="B104" s="10" t="inlineStr">
        <is>
          <t xml:space="preserve">€</t>
        </is>
      </c>
      <c r="F104" s="23">
        <f>Inputs!$C$71*Timing!$C$28*Timing!F76*Timing!F66*1</f>
        <v>0</v>
      </c>
      <c r="G104" s="23">
        <f>Inputs!$C$71*Timing!$C$28*Timing!G76*Timing!G66*1</f>
        <v>0</v>
      </c>
      <c r="H104" s="23">
        <f>Inputs!$C$71*Timing!$C$28*Timing!H76*Timing!H66*1</f>
        <v>0</v>
      </c>
      <c r="I104" s="23">
        <f>Inputs!$C$71*Timing!$C$28*Timing!I76*Timing!I66*1</f>
        <v>0</v>
      </c>
      <c r="J104" s="23">
        <f>Inputs!$C$71*Timing!$C$28*Timing!J76*Timing!J66*1</f>
        <v>0</v>
      </c>
      <c r="K104" s="23">
        <f>Inputs!$C$71*Timing!$C$28*Timing!K76*Timing!K66*1</f>
        <v>0</v>
      </c>
      <c r="L104" s="23">
        <f>Inputs!$C$71*Timing!$C$28*Timing!L76*Timing!L66*1</f>
        <v>0</v>
      </c>
      <c r="M104" s="23">
        <f>Inputs!$C$71*Timing!$C$28*Timing!M76*Timing!M66*1</f>
        <v>0</v>
      </c>
      <c r="N104" s="23">
        <f>Inputs!$C$71*Timing!$C$28*Timing!N76*Timing!N66*1</f>
        <v>0</v>
      </c>
      <c r="O104" s="23">
        <f>Inputs!$C$71*Timing!$C$28*Timing!O76*Timing!O66*1</f>
        <v>0</v>
      </c>
      <c r="P104" s="23">
        <f>Inputs!$C$71*Timing!$C$28*Timing!P76*Timing!P66*1</f>
        <v>0</v>
      </c>
      <c r="Q104" s="23">
        <f>Inputs!$C$71*Timing!$C$28*Timing!Q76*Timing!Q66*1</f>
        <v>0</v>
      </c>
      <c r="R104" s="23">
        <f>Inputs!$C$71*Timing!$C$28*Timing!R76*Timing!R66*1</f>
        <v>0</v>
      </c>
      <c r="S104" s="23">
        <f>Inputs!$C$71*Timing!$C$28*Timing!S76*Timing!S66*1</f>
        <v>0</v>
      </c>
      <c r="T104" s="23">
        <f>Inputs!$C$71*Timing!$C$28*Timing!T76*Timing!T66*1</f>
        <v>0</v>
      </c>
      <c r="U104" s="23">
        <f>Inputs!$C$71*Timing!$C$28*Timing!U76*Timing!U66*1</f>
        <v>0</v>
      </c>
      <c r="V104" s="23">
        <f>Inputs!$C$71*Timing!$C$28*Timing!V76*Timing!V66*1</f>
        <v>0</v>
      </c>
      <c r="W104" s="23">
        <f>Inputs!$C$71*Timing!$C$28*Timing!W76*Timing!W66*1</f>
        <v>0</v>
      </c>
      <c r="X104" s="23">
        <f>Inputs!$C$71*Timing!$C$28*Timing!X76*Timing!X66*1</f>
        <v>0</v>
      </c>
      <c r="Y104" s="23">
        <f>Inputs!$C$71*Timing!$C$28*Timing!Y76*Timing!Y66*1</f>
        <v>0</v>
      </c>
      <c r="Z104" s="23">
        <f>Inputs!$C$71*Timing!$C$28*Timing!Z76*Timing!Z66*1</f>
        <v>0</v>
      </c>
      <c r="AA104" s="23">
        <f>Inputs!$C$71*Timing!$C$28*Timing!AA76*Timing!AA66*1</f>
        <v>0</v>
      </c>
      <c r="AB104" s="23">
        <f>Inputs!$C$71*Timing!$C$28*Timing!AB76*Timing!AB66*1</f>
        <v>0</v>
      </c>
      <c r="AC104" s="23">
        <f>Inputs!$C$71*Timing!$C$28*Timing!AC76*Timing!AC66*1</f>
        <v>0</v>
      </c>
      <c r="AD104" s="23">
        <f>Inputs!$C$71*Timing!$C$28*Timing!AD76*Timing!AD66*1</f>
        <v>0</v>
      </c>
      <c r="AE104" s="23">
        <f>Inputs!$C$71*Timing!$C$28*Timing!AE76*Timing!AE66*1</f>
        <v>0</v>
      </c>
    </row>
    <row r="105">
      <c r="A105" s="41" t="inlineStr">
        <is>
          <t xml:space="preserve">Operating costs</t>
        </is>
      </c>
      <c r="B105" s="10" t="inlineStr">
        <is>
          <t xml:space="preserve">€</t>
        </is>
      </c>
      <c r="F105" s="42">
        <f>F94+F95+F96+F97+F100+F101+F102+F103+F104</f>
        <v>815437.1318500511</v>
      </c>
      <c r="G105" s="42">
        <f>G94+G95+G96+G97+G100+G101+G102+G103+G104</f>
        <v>1557246.9828295098</v>
      </c>
      <c r="H105" s="42">
        <f>H94+H95+H96+H97+H100+H101+H102+H103+H104</f>
        <v>1570247.5708514946</v>
      </c>
      <c r="I105" s="42">
        <f>I94+I95+I96+I97+I100+I101+I102+I103+I104</f>
        <v>1597517.5079818515</v>
      </c>
      <c r="J105" s="42">
        <f>J94+J95+J96+J97+J100+J101+J102+J103+J104</f>
        <v>1625318.3167808573</v>
      </c>
      <c r="K105" s="42">
        <f>K94+K95+K96+K97+K100+K101+K102+K103+K104</f>
        <v>1653660.2414391718</v>
      </c>
      <c r="L105" s="42">
        <f>L94+L95+L96+L97+L100+L101+L102+L103+L104</f>
        <v>1682553.7245525008</v>
      </c>
      <c r="M105" s="42">
        <f>M94+M95+M96+M97+M100+M101+M102+M103+M104</f>
        <v>1712009.4109728904</v>
      </c>
      <c r="N105" s="42">
        <f>N94+N95+N96+N97+N100+N101+N102+N103+N104</f>
        <v>1742038.151734949</v>
      </c>
      <c r="O105" s="42">
        <f>O94+O95+O96+O97+O100+O101+O102+O103+O104</f>
        <v>1772651.0080584586</v>
      </c>
      <c r="P105" s="42">
        <f>P94+P95+P96+P97+P100+P101+P102+P103+P104</f>
        <v>1927908.329940248</v>
      </c>
      <c r="Q105" s="42">
        <f>Q94+Q95+Q96+Q97+Q100+Q101+Q102+Q103+Q104</f>
        <v>1962204.4437587766</v>
      </c>
      <c r="R105" s="42">
        <f>R94+R95+R96+R97+R100+R101+R102+R103+R104</f>
        <v>1997168.778742392</v>
      </c>
      <c r="S105" s="42">
        <f>S94+S95+S96+S97+S100+S101+S102+S103+S104</f>
        <v>2032814.2708508237</v>
      </c>
      <c r="T105" s="42">
        <f>T94+T95+T96+T97+T100+T101+T102+T103+T104</f>
        <v>2069154.1072888935</v>
      </c>
      <c r="U105" s="42">
        <f>U94+U95+U96+U97+U100+U101+U102+U103+U104</f>
        <v>2106201.7313967403</v>
      </c>
      <c r="V105" s="42">
        <f>V94+V95+V96+V97+V100+V101+V102+V103+V104</f>
        <v>2143970.8476354303</v>
      </c>
      <c r="W105" s="42">
        <f>W94+W95+W96+W97+W100+W101+W102+W103+W104</f>
        <v>2182475.4266698207</v>
      </c>
      <c r="X105" s="42">
        <f>X94+X95+X96+X97+X100+X101+X102+X103+X104</f>
        <v>2221729.710550574</v>
      </c>
      <c r="Y105" s="42">
        <f>Y94+Y95+Y96+Y97+Y100+Y101+Y102+Y103+Y104</f>
        <v>2261748.217997259</v>
      </c>
      <c r="Z105" s="42">
        <f>Z94+Z95+Z96+Z97+Z100+Z101+Z102+Z103+Z104</f>
        <v>2383193.81892313</v>
      </c>
      <c r="AA105" s="42">
        <f>AA94+AA95+AA96+AA97+AA100+AA101+AA102+AA103+AA104</f>
        <v>2426398.4247547174</v>
      </c>
      <c r="AB105" s="42">
        <f>AB94+AB95+AB96+AB97+AB100+AB101+AB102+AB103+AB104</f>
        <v>2470444.7839411967</v>
      </c>
      <c r="AC105" s="42">
        <f>AC94+AC95+AC96+AC97+AC100+AC101+AC102+AC103+AC104</f>
        <v>2515349.221985131</v>
      </c>
      <c r="AD105" s="42">
        <f>AD94+AD95+AD96+AD97+AD100+AD101+AD102+AD103+AD104</f>
        <v>2561128.3819640754</v>
      </c>
      <c r="AE105" s="42">
        <f>AE94+AE95+AE96+AE97+AE100+AE101+AE102+AE103+AE104</f>
        <v>1293182.6322206352</v>
      </c>
    </row>
    <row r="106">
      <c r="A106" s="6" t="inlineStr">
        <is>
          <t xml:space="preserve">§ 6 refund (up to 0.2 ct/kWh, years with a premium)</t>
        </is>
      </c>
      <c r="B106" s="10" t="inlineStr">
        <is>
          <t xml:space="preserve">€</t>
        </is>
      </c>
      <c r="F106" s="23">
        <f>Timing!$C$32*F76*F81</f>
        <v>0</v>
      </c>
      <c r="G106" s="23">
        <f>Timing!$C$32*G76*G81</f>
        <v>0</v>
      </c>
      <c r="H106" s="23">
        <f>Timing!$C$32*H76*H81</f>
        <v>0</v>
      </c>
      <c r="I106" s="23">
        <f>Timing!$C$32*I76*I81</f>
        <v>0</v>
      </c>
      <c r="J106" s="23">
        <f>Timing!$C$32*J76*J81</f>
        <v>0</v>
      </c>
      <c r="K106" s="23">
        <f>Timing!$C$32*K76*K81</f>
        <v>0</v>
      </c>
      <c r="L106" s="23">
        <f>Timing!$C$32*L76*L81</f>
        <v>0</v>
      </c>
      <c r="M106" s="23">
        <f>Timing!$C$32*M76*M81</f>
        <v>0</v>
      </c>
      <c r="N106" s="23">
        <f>Timing!$C$32*N76*N81</f>
        <v>0</v>
      </c>
      <c r="O106" s="23">
        <f>Timing!$C$32*O76*O81</f>
        <v>0</v>
      </c>
      <c r="P106" s="23">
        <f>Timing!$C$32*P76*P81</f>
        <v>0</v>
      </c>
      <c r="Q106" s="23">
        <f>Timing!$C$32*Q76*Q81</f>
        <v>0</v>
      </c>
      <c r="R106" s="23">
        <f>Timing!$C$32*R76*R81</f>
        <v>0</v>
      </c>
      <c r="S106" s="23">
        <f>Timing!$C$32*S76*S81</f>
        <v>0</v>
      </c>
      <c r="T106" s="23">
        <f>Timing!$C$32*T76*T81</f>
        <v>0</v>
      </c>
      <c r="U106" s="23">
        <f>Timing!$C$32*U76*U81</f>
        <v>0</v>
      </c>
      <c r="V106" s="23">
        <f>Timing!$C$32*V76*V81</f>
        <v>0</v>
      </c>
      <c r="W106" s="23">
        <f>Timing!$C$32*W76*W81</f>
        <v>0</v>
      </c>
      <c r="X106" s="23">
        <f>Timing!$C$32*X76*X81</f>
        <v>0</v>
      </c>
      <c r="Y106" s="23">
        <f>Timing!$C$32*Y76*Y81</f>
        <v>0</v>
      </c>
      <c r="Z106" s="23">
        <f>Timing!$C$32*Z76*Z81</f>
        <v>0</v>
      </c>
      <c r="AA106" s="23">
        <f>Timing!$C$32*AA76*AA81</f>
        <v>0</v>
      </c>
      <c r="AB106" s="23">
        <f>Timing!$C$32*AB76*AB81</f>
        <v>0</v>
      </c>
      <c r="AC106" s="23">
        <f>Timing!$C$32*AC76*AC81</f>
        <v>0</v>
      </c>
      <c r="AD106" s="23">
        <f>Timing!$C$32*AD76*AD81</f>
        <v>0</v>
      </c>
      <c r="AE106" s="23">
        <f>Timing!$C$32*AE76*AE81</f>
        <v>0</v>
      </c>
    </row>
    <row r="107">
      <c r="A107" s="41" t="inlineStr">
        <is>
          <t xml:space="preserve">EBITDA</t>
        </is>
      </c>
      <c r="B107" s="10" t="inlineStr">
        <is>
          <t xml:space="preserve">€</t>
        </is>
      </c>
      <c r="F107" s="42">
        <f>F91+F106-F105</f>
        <v>1738155.6676785657</v>
      </c>
      <c r="G107" s="42">
        <f>G91+G106-G105</f>
        <v>2684575.6749006887</v>
      </c>
      <c r="H107" s="42">
        <f>H91+H106-H105</f>
        <v>2607803.716330443</v>
      </c>
      <c r="I107" s="42">
        <f>I91+I106-I105</f>
        <v>2655571.5803178726</v>
      </c>
      <c r="J107" s="42">
        <f>J91+J106-J105</f>
        <v>2704156.2515447303</v>
      </c>
      <c r="K107" s="42">
        <f>K91+K106-K105</f>
        <v>2753571.6901335437</v>
      </c>
      <c r="L107" s="42">
        <f>L91+L106-L105</f>
        <v>2803832.092511261</v>
      </c>
      <c r="M107" s="42">
        <f>M91+M106-M105</f>
        <v>2854951.895365335</v>
      </c>
      <c r="N107" s="42">
        <f>N91+N106-N105</f>
        <v>2906945.7796651116</v>
      </c>
      <c r="O107" s="42">
        <f>O91+O106-O105</f>
        <v>2959828.6747495485</v>
      </c>
      <c r="P107" s="42">
        <f>P91+P106-P105</f>
        <v>2889566.6879709885</v>
      </c>
      <c r="Q107" s="42">
        <f>Q91+Q106-Q105</f>
        <v>2941792.4254741464</v>
      </c>
      <c r="R107" s="42">
        <f>R91+R106-R105</f>
        <v>2994903.8742619543</v>
      </c>
      <c r="S107" s="42">
        <f>S91+S106-S105</f>
        <v>3048916.0070014824</v>
      </c>
      <c r="T107" s="42">
        <f>T91+T106-T105</f>
        <v>3103844.04635364</v>
      </c>
      <c r="U107" s="42">
        <f>U91+U106-U105</f>
        <v>3159703.469085211</v>
      </c>
      <c r="V107" s="42">
        <f>V91+V106-V105</f>
        <v>3216510.0102471765</v>
      </c>
      <c r="W107" s="42">
        <f>W91+W106-W105</f>
        <v>3274279.667420358</v>
      </c>
      <c r="X107" s="42">
        <f>X91+X106-X105</f>
        <v>3333028.705029465</v>
      </c>
      <c r="Y107" s="42">
        <f>Y91+Y106-Y105</f>
        <v>3392773.6587265977</v>
      </c>
      <c r="Z107" s="42">
        <f>Z91+Z106-Z105</f>
        <v>3372883.2707066867</v>
      </c>
      <c r="AA107" s="42">
        <f>AA91+AA106-AA105</f>
        <v>3433057.809404851</v>
      </c>
      <c r="AB107" s="42">
        <f>AB91+AB106-AB105</f>
        <v>3494247.284183878</v>
      </c>
      <c r="AC107" s="42">
        <f>AC91+AC106-AC105</f>
        <v>3556468.715683471</v>
      </c>
      <c r="AD107" s="42">
        <f>AD91+AD106-AD105</f>
        <v>3619739.4058650546</v>
      </c>
      <c r="AE107" s="42">
        <f>AE91+AE106-AE105</f>
        <v>1826898.429058916</v>
      </c>
    </row>
    <row r="108">
      <c r="A108" s="6" t="inlineStr">
        <is>
          <t xml:space="preserve">Market and PPA sales billed</t>
        </is>
      </c>
      <c r="B108" s="10" t="inlineStr">
        <is>
          <t xml:space="preserve">€</t>
        </is>
      </c>
      <c r="F108" s="23">
        <f>F83+F90</f>
        <v>2553592.799528617</v>
      </c>
      <c r="G108" s="23">
        <f>G83+G90</f>
        <v>4241822.657730198</v>
      </c>
      <c r="H108" s="23">
        <f>H83+H90</f>
        <v>4178051.2871819376</v>
      </c>
      <c r="I108" s="23">
        <f>I83+I90</f>
        <v>4253089.088299724</v>
      </c>
      <c r="J108" s="23">
        <f>J83+J90</f>
        <v>4329474.568325588</v>
      </c>
      <c r="K108" s="23">
        <f>K83+K90</f>
        <v>4407231.931572716</v>
      </c>
      <c r="L108" s="23">
        <f>L83+L90</f>
        <v>4486385.817063762</v>
      </c>
      <c r="M108" s="23">
        <f>M83+M90</f>
        <v>4566961.3063382255</v>
      </c>
      <c r="N108" s="23">
        <f>N83+N90</f>
        <v>4648983.931400061</v>
      </c>
      <c r="O108" s="23">
        <f>O83+O90</f>
        <v>4732479.682808007</v>
      </c>
      <c r="P108" s="23">
        <f>P83+P90</f>
        <v>4817475.017911237</v>
      </c>
      <c r="Q108" s="23">
        <f>Q83+Q90</f>
        <v>4903996.869232923</v>
      </c>
      <c r="R108" s="23">
        <f>R83+R90</f>
        <v>4992072.653004346</v>
      </c>
      <c r="S108" s="23">
        <f>S83+S90</f>
        <v>5081730.277852306</v>
      </c>
      <c r="T108" s="23">
        <f>T83+T90</f>
        <v>5172998.153642533</v>
      </c>
      <c r="U108" s="23">
        <f>U83+U90</f>
        <v>5265905.200481951</v>
      </c>
      <c r="V108" s="23">
        <f>V83+V90</f>
        <v>5360480.857882607</v>
      </c>
      <c r="W108" s="23">
        <f>W83+W90</f>
        <v>5456755.094090179</v>
      </c>
      <c r="X108" s="23">
        <f>X83+X90</f>
        <v>5554758.415580039</v>
      </c>
      <c r="Y108" s="23">
        <f>Y83+Y90</f>
        <v>5654521.876723857</v>
      </c>
      <c r="Z108" s="23">
        <f>Z83+Z90</f>
        <v>5756077.089629817</v>
      </c>
      <c r="AA108" s="23">
        <f>AA83+AA90</f>
        <v>5859456.234159568</v>
      </c>
      <c r="AB108" s="23">
        <f>AB83+AB90</f>
        <v>5964692.068125075</v>
      </c>
      <c r="AC108" s="23">
        <f>AC83+AC90</f>
        <v>6071817.937668602</v>
      </c>
      <c r="AD108" s="23">
        <f>AD83+AD90</f>
        <v>6180867.78782913</v>
      </c>
      <c r="AE108" s="23">
        <f>AE83+AE90</f>
        <v>3120081.061279551</v>
      </c>
    </row>
    <row r="109">
      <c r="A109" s="6" t="inlineStr">
        <is>
          <t xml:space="preserve">Premium and § 6 refund still due after the advances</t>
        </is>
      </c>
      <c r="B109" s="10" t="inlineStr">
        <is>
          <t xml:space="preserve">€</t>
        </is>
      </c>
      <c r="F109" s="23">
        <f>F88-F92+F106</f>
        <v>0</v>
      </c>
      <c r="G109" s="23">
        <f>G88-G92+G106</f>
        <v>0</v>
      </c>
      <c r="H109" s="23">
        <f>H88-H92+H106</f>
        <v>0</v>
      </c>
      <c r="I109" s="23">
        <f>I88-I92+I106</f>
        <v>0</v>
      </c>
      <c r="J109" s="23">
        <f>J88-J92+J106</f>
        <v>0</v>
      </c>
      <c r="K109" s="23">
        <f>K88-K92+K106</f>
        <v>0</v>
      </c>
      <c r="L109" s="23">
        <f>L88-L92+L106</f>
        <v>0</v>
      </c>
      <c r="M109" s="23">
        <f>M88-M92+M106</f>
        <v>0</v>
      </c>
      <c r="N109" s="23">
        <f>N88-N92+N106</f>
        <v>0</v>
      </c>
      <c r="O109" s="23">
        <f>O88-O92+O106</f>
        <v>0</v>
      </c>
      <c r="P109" s="23">
        <f>P88-P92+P106</f>
        <v>0</v>
      </c>
      <c r="Q109" s="23">
        <f>Q88-Q92+Q106</f>
        <v>0</v>
      </c>
      <c r="R109" s="23">
        <f>R88-R92+R106</f>
        <v>0</v>
      </c>
      <c r="S109" s="23">
        <f>S88-S92+S106</f>
        <v>0</v>
      </c>
      <c r="T109" s="23">
        <f>T88-T92+T106</f>
        <v>0</v>
      </c>
      <c r="U109" s="23">
        <f>U88-U92+U106</f>
        <v>0</v>
      </c>
      <c r="V109" s="23">
        <f>V88-V92+V106</f>
        <v>0</v>
      </c>
      <c r="W109" s="23">
        <f>W88-W92+W106</f>
        <v>0</v>
      </c>
      <c r="X109" s="23">
        <f>X88-X92+X106</f>
        <v>0</v>
      </c>
      <c r="Y109" s="23">
        <f>Y88-Y92+Y106</f>
        <v>0</v>
      </c>
      <c r="Z109" s="23">
        <f>Z88-Z92+Z106</f>
        <v>0</v>
      </c>
      <c r="AA109" s="23">
        <f>AA88-AA92+AA106</f>
        <v>0</v>
      </c>
      <c r="AB109" s="23">
        <f>AB88-AB92+AB106</f>
        <v>0</v>
      </c>
      <c r="AC109" s="23">
        <f>AC88-AC92+AC106</f>
        <v>0</v>
      </c>
      <c r="AD109" s="23">
        <f>AD88-AD92+AD106</f>
        <v>0</v>
      </c>
      <c r="AE109" s="23">
        <f>AE88-AE92+AE106</f>
        <v>0</v>
      </c>
    </row>
    <row r="110">
      <c r="A110" s="6" t="inlineStr">
        <is>
          <t xml:space="preserve">Receivables: market sales</t>
        </is>
      </c>
      <c r="B110" s="10" t="inlineStr">
        <is>
          <t xml:space="preserve">€</t>
        </is>
      </c>
      <c r="F110" s="23">
        <f>IF(Timing!F72=1,0,IF(Timing!F64&gt;0,MIN(F108,F108/Timing!F64*Inputs!$C$36),0))</f>
        <v>416346.6520970571</v>
      </c>
      <c r="G110" s="23">
        <f>IF(Timing!G72=1,0,IF(Timing!G64&gt;0,MIN(G108,G108/Timing!G64*Inputs!$C$36),0))</f>
        <v>348642.95816960535</v>
      </c>
      <c r="H110" s="23">
        <f>IF(Timing!H72=1,0,IF(Timing!H64&gt;0,MIN(H108,H108/Timing!H64*Inputs!$C$36),0))</f>
        <v>343401.4756587894</v>
      </c>
      <c r="I110" s="23">
        <f>IF(Timing!I72=1,0,IF(Timing!I64&gt;0,MIN(I108,I108/Timing!I64*Inputs!$C$36),0))</f>
        <v>349568.9661616212</v>
      </c>
      <c r="J110" s="23">
        <f>IF(Timing!J72=1,0,IF(Timing!J64&gt;0,MIN(J108,J108/Timing!J64*Inputs!$C$36),0))</f>
        <v>354874.9646168515</v>
      </c>
      <c r="K110" s="23">
        <f>IF(Timing!K72=1,0,IF(Timing!K64&gt;0,MIN(K108,K108/Timing!K64*Inputs!$C$36),0))</f>
        <v>362238.24095118215</v>
      </c>
      <c r="L110" s="23">
        <f>IF(Timing!L72=1,0,IF(Timing!L64&gt;0,MIN(L108,L108/Timing!L64*Inputs!$C$36),0))</f>
        <v>368744.03975866537</v>
      </c>
      <c r="M110" s="23">
        <f>IF(Timing!M72=1,0,IF(Timing!M64&gt;0,MIN(M108,M108/Timing!M64*Inputs!$C$36),0))</f>
        <v>375366.6827127309</v>
      </c>
      <c r="N110" s="23">
        <f>IF(Timing!N72=1,0,IF(Timing!N64&gt;0,MIN(N108,N108/Timing!N64*Inputs!$C$36),0))</f>
        <v>381064.25667213614</v>
      </c>
      <c r="O110" s="23">
        <f>IF(Timing!O72=1,0,IF(Timing!O64&gt;0,MIN(O108,O108/Timing!O64*Inputs!$C$36),0))</f>
        <v>388970.93283353484</v>
      </c>
      <c r="P110" s="23">
        <f>IF(Timing!P72=1,0,IF(Timing!P64&gt;0,MIN(P108,P108/Timing!P64*Inputs!$C$36),0))</f>
        <v>395956.85078722495</v>
      </c>
      <c r="Q110" s="23">
        <f>IF(Timing!Q72=1,0,IF(Timing!Q64&gt;0,MIN(Q108,Q108/Timing!Q64*Inputs!$C$36),0))</f>
        <v>403068.23582736356</v>
      </c>
      <c r="R110" s="23">
        <f>IF(Timing!R72=1,0,IF(Timing!R64&gt;0,MIN(R108,R108/Timing!R64*Inputs!$C$36),0))</f>
        <v>409186.28303314315</v>
      </c>
      <c r="S110" s="23">
        <f>IF(Timing!S72=1,0,IF(Timing!S64&gt;0,MIN(S108,S108/Timing!S64*Inputs!$C$36),0))</f>
        <v>417676.46119334025</v>
      </c>
      <c r="T110" s="23">
        <f>IF(Timing!T72=1,0,IF(Timing!T64&gt;0,MIN(T108,T108/Timing!T64*Inputs!$C$36),0))</f>
        <v>425177.93043637264</v>
      </c>
      <c r="U110" s="23">
        <f>IF(Timing!U72=1,0,IF(Timing!U64&gt;0,MIN(U108,U108/Timing!U64*Inputs!$C$36),0))</f>
        <v>432814.1260670097</v>
      </c>
      <c r="V110" s="23">
        <f>IF(Timing!V72=1,0,IF(Timing!V64&gt;0,MIN(V108,V108/Timing!V64*Inputs!$C$36),0))</f>
        <v>439383.6768756235</v>
      </c>
      <c r="W110" s="23">
        <f>IF(Timing!W72=1,0,IF(Timing!W64&gt;0,MIN(W108,W108/Timing!W64*Inputs!$C$36),0))</f>
        <v>448500.41869234346</v>
      </c>
      <c r="X110" s="23">
        <f>IF(Timing!X72=1,0,IF(Timing!X64&gt;0,MIN(X108,X108/Timing!X64*Inputs!$C$36),0))</f>
        <v>456555.486212058</v>
      </c>
      <c r="Y110" s="23">
        <f>IF(Timing!Y72=1,0,IF(Timing!Y64&gt;0,MIN(Y108,Y108/Timing!Y64*Inputs!$C$36),0))</f>
        <v>464755.2227444266</v>
      </c>
      <c r="Z110" s="23">
        <f>IF(Timing!Z72=1,0,IF(Timing!Z64&gt;0,MIN(Z108,Z108/Timing!Z64*Inputs!$C$36),0))</f>
        <v>471809.5975106407</v>
      </c>
      <c r="AA110" s="23">
        <f>IF(Timing!AA72=1,0,IF(Timing!AA64&gt;0,MIN(AA108,AA108/Timing!AA64*Inputs!$C$36),0))</f>
        <v>481599.14253366314</v>
      </c>
      <c r="AB110" s="23">
        <f>IF(Timing!AB72=1,0,IF(Timing!AB64&gt;0,MIN(AB108,AB108/Timing!AB64*Inputs!$C$36),0))</f>
        <v>490248.6631335678</v>
      </c>
      <c r="AC110" s="23">
        <f>IF(Timing!AC72=1,0,IF(Timing!AC64&gt;0,MIN(AC108,AC108/Timing!AC64*Inputs!$C$36),0))</f>
        <v>499053.52912344673</v>
      </c>
      <c r="AD110" s="23">
        <f>IF(Timing!AD72=1,0,IF(Timing!AD64&gt;0,MIN(AD108,AD108/Timing!AD64*Inputs!$C$36),0))</f>
        <v>506628.50719910895</v>
      </c>
      <c r="AE110" s="23">
        <f>IF(Timing!AE72=1,0,IF(Timing!AE64&gt;0,MIN(AE108,AE108/Timing!AE64*Inputs!$C$36),0))</f>
        <v>0</v>
      </c>
    </row>
    <row r="111">
      <c r="A111" s="6" t="inlineStr">
        <is>
          <t xml:space="preserve">Receivables: December advance (paid on 15 January)</t>
        </is>
      </c>
      <c r="B111" s="10" t="inlineStr">
        <is>
          <t xml:space="preserve">€</t>
        </is>
      </c>
      <c r="F111" s="23">
        <f>IF(OR(Timing!F72=1,Timing!$C$31=0,Timing!$C$11&lt;=DATE(Timing!F59,12,1)),0,F92/Timing!F67)</f>
        <v>0</v>
      </c>
      <c r="G111" s="23">
        <f>IF(OR(Timing!G72=1,Timing!$C$31=0,Timing!$C$11&lt;=DATE(Timing!G59,12,1)),0,G92/Timing!G67)</f>
        <v>0</v>
      </c>
      <c r="H111" s="23">
        <f>IF(OR(Timing!H72=1,Timing!$C$31=0,Timing!$C$11&lt;=DATE(Timing!H59,12,1)),0,H92/Timing!H67)</f>
        <v>0</v>
      </c>
      <c r="I111" s="23">
        <f>IF(OR(Timing!I72=1,Timing!$C$31=0,Timing!$C$11&lt;=DATE(Timing!I59,12,1)),0,I92/Timing!I67)</f>
        <v>0</v>
      </c>
      <c r="J111" s="23">
        <f>IF(OR(Timing!J72=1,Timing!$C$31=0,Timing!$C$11&lt;=DATE(Timing!J59,12,1)),0,J92/Timing!J67)</f>
        <v>0</v>
      </c>
      <c r="K111" s="23">
        <f>IF(OR(Timing!K72=1,Timing!$C$31=0,Timing!$C$11&lt;=DATE(Timing!K59,12,1)),0,K92/Timing!K67)</f>
        <v>0</v>
      </c>
      <c r="L111" s="23">
        <f>IF(OR(Timing!L72=1,Timing!$C$31=0,Timing!$C$11&lt;=DATE(Timing!L59,12,1)),0,L92/Timing!L67)</f>
        <v>0</v>
      </c>
      <c r="M111" s="23">
        <f>IF(OR(Timing!M72=1,Timing!$C$31=0,Timing!$C$11&lt;=DATE(Timing!M59,12,1)),0,M92/Timing!M67)</f>
        <v>0</v>
      </c>
      <c r="N111" s="23">
        <f>IF(OR(Timing!N72=1,Timing!$C$31=0,Timing!$C$11&lt;=DATE(Timing!N59,12,1)),0,N92/Timing!N67)</f>
        <v>0</v>
      </c>
      <c r="O111" s="23">
        <f>IF(OR(Timing!O72=1,Timing!$C$31=0,Timing!$C$11&lt;=DATE(Timing!O59,12,1)),0,O92/Timing!O67)</f>
        <v>0</v>
      </c>
      <c r="P111" s="23">
        <f>IF(OR(Timing!P72=1,Timing!$C$31=0,Timing!$C$11&lt;=DATE(Timing!P59,12,1)),0,P92/Timing!P67)</f>
        <v>0</v>
      </c>
      <c r="Q111" s="23">
        <f>IF(OR(Timing!Q72=1,Timing!$C$31=0,Timing!$C$11&lt;=DATE(Timing!Q59,12,1)),0,Q92/Timing!Q67)</f>
        <v>0</v>
      </c>
      <c r="R111" s="23">
        <f>IF(OR(Timing!R72=1,Timing!$C$31=0,Timing!$C$11&lt;=DATE(Timing!R59,12,1)),0,R92/Timing!R67)</f>
        <v>0</v>
      </c>
      <c r="S111" s="23">
        <f>IF(OR(Timing!S72=1,Timing!$C$31=0,Timing!$C$11&lt;=DATE(Timing!S59,12,1)),0,S92/Timing!S67)</f>
        <v>0</v>
      </c>
      <c r="T111" s="23">
        <f>IF(OR(Timing!T72=1,Timing!$C$31=0,Timing!$C$11&lt;=DATE(Timing!T59,12,1)),0,T92/Timing!T67)</f>
        <v>0</v>
      </c>
      <c r="U111" s="23">
        <f>IF(OR(Timing!U72=1,Timing!$C$31=0,Timing!$C$11&lt;=DATE(Timing!U59,12,1)),0,U92/Timing!U67)</f>
        <v>0</v>
      </c>
      <c r="V111" s="23">
        <f>IF(OR(Timing!V72=1,Timing!$C$31=0,Timing!$C$11&lt;=DATE(Timing!V59,12,1)),0,V92/Timing!V67)</f>
        <v>0</v>
      </c>
      <c r="W111" s="23">
        <f>IF(OR(Timing!W72=1,Timing!$C$31=0,Timing!$C$11&lt;=DATE(Timing!W59,12,1)),0,W92/Timing!W67)</f>
        <v>0</v>
      </c>
      <c r="X111" s="23">
        <f>IF(OR(Timing!X72=1,Timing!$C$31=0,Timing!$C$11&lt;=DATE(Timing!X59,12,1)),0,X92/Timing!X67)</f>
        <v>0</v>
      </c>
      <c r="Y111" s="23">
        <f>IF(OR(Timing!Y72=1,Timing!$C$31=0,Timing!$C$11&lt;=DATE(Timing!Y59,12,1)),0,Y92/Timing!Y67)</f>
        <v>0</v>
      </c>
      <c r="Z111" s="23">
        <f>IF(OR(Timing!Z72=1,Timing!$C$31=0,Timing!$C$11&lt;=DATE(Timing!Z59,12,1)),0,Z92/Timing!Z67)</f>
        <v>0</v>
      </c>
      <c r="AA111" s="23">
        <f>IF(OR(Timing!AA72=1,Timing!$C$31=0,Timing!$C$11&lt;=DATE(Timing!AA59,12,1)),0,AA92/Timing!AA67)</f>
        <v>0</v>
      </c>
      <c r="AB111" s="23">
        <f>IF(OR(Timing!AB72=1,Timing!$C$31=0,Timing!$C$11&lt;=DATE(Timing!AB59,12,1)),0,AB92/Timing!AB67)</f>
        <v>0</v>
      </c>
      <c r="AC111" s="23">
        <f>IF(OR(Timing!AC72=1,Timing!$C$31=0,Timing!$C$11&lt;=DATE(Timing!AC59,12,1)),0,AC92/Timing!AC67)</f>
        <v>0</v>
      </c>
      <c r="AD111" s="23">
        <f>IF(OR(Timing!AD72=1,Timing!$C$31=0,Timing!$C$11&lt;=DATE(Timing!AD59,12,1)),0,AD92/Timing!AD67)</f>
        <v>0</v>
      </c>
      <c r="AE111" s="23">
        <f>IF(OR(Timing!AE72=1,Timing!$C$31=0,Timing!$C$11&lt;=DATE(Timing!AE59,12,1)),0,AE92/Timing!AE67)</f>
        <v>0</v>
      </c>
    </row>
    <row r="112">
      <c r="A112" s="6" t="inlineStr">
        <is>
          <t xml:space="preserve">Receivables: premium and § 6 refund awaiting the final settlement</t>
        </is>
      </c>
      <c r="B112" s="10" t="inlineStr">
        <is>
          <t xml:space="preserve">€</t>
        </is>
      </c>
      <c r="F112" s="23">
        <f>IF(OR(Timing!F72=1,Timing!$C$31=0),0,SUMIFS($F$109:$AE$109,Timing!$F$59:$AE$59,"&gt;"&amp;(Timing!F59-Timing!$C$31),Timing!$F$59:$AE$59,"&lt;="&amp;Timing!F59))</f>
        <v>0</v>
      </c>
      <c r="G112" s="23">
        <f>IF(OR(Timing!G72=1,Timing!$C$31=0),0,SUMIFS($F$109:$AE$109,Timing!$F$59:$AE$59,"&gt;"&amp;(Timing!G59-Timing!$C$31),Timing!$F$59:$AE$59,"&lt;="&amp;Timing!G59))</f>
        <v>0</v>
      </c>
      <c r="H112" s="23">
        <f>IF(OR(Timing!H72=1,Timing!$C$31=0),0,SUMIFS($F$109:$AE$109,Timing!$F$59:$AE$59,"&gt;"&amp;(Timing!H59-Timing!$C$31),Timing!$F$59:$AE$59,"&lt;="&amp;Timing!H59))</f>
        <v>0</v>
      </c>
      <c r="I112" s="23">
        <f>IF(OR(Timing!I72=1,Timing!$C$31=0),0,SUMIFS($F$109:$AE$109,Timing!$F$59:$AE$59,"&gt;"&amp;(Timing!I59-Timing!$C$31),Timing!$F$59:$AE$59,"&lt;="&amp;Timing!I59))</f>
        <v>0</v>
      </c>
      <c r="J112" s="23">
        <f>IF(OR(Timing!J72=1,Timing!$C$31=0),0,SUMIFS($F$109:$AE$109,Timing!$F$59:$AE$59,"&gt;"&amp;(Timing!J59-Timing!$C$31),Timing!$F$59:$AE$59,"&lt;="&amp;Timing!J59))</f>
        <v>0</v>
      </c>
      <c r="K112" s="23">
        <f>IF(OR(Timing!K72=1,Timing!$C$31=0),0,SUMIFS($F$109:$AE$109,Timing!$F$59:$AE$59,"&gt;"&amp;(Timing!K59-Timing!$C$31),Timing!$F$59:$AE$59,"&lt;="&amp;Timing!K59))</f>
        <v>0</v>
      </c>
      <c r="L112" s="23">
        <f>IF(OR(Timing!L72=1,Timing!$C$31=0),0,SUMIFS($F$109:$AE$109,Timing!$F$59:$AE$59,"&gt;"&amp;(Timing!L59-Timing!$C$31),Timing!$F$59:$AE$59,"&lt;="&amp;Timing!L59))</f>
        <v>0</v>
      </c>
      <c r="M112" s="23">
        <f>IF(OR(Timing!M72=1,Timing!$C$31=0),0,SUMIFS($F$109:$AE$109,Timing!$F$59:$AE$59,"&gt;"&amp;(Timing!M59-Timing!$C$31),Timing!$F$59:$AE$59,"&lt;="&amp;Timing!M59))</f>
        <v>0</v>
      </c>
      <c r="N112" s="23">
        <f>IF(OR(Timing!N72=1,Timing!$C$31=0),0,SUMIFS($F$109:$AE$109,Timing!$F$59:$AE$59,"&gt;"&amp;(Timing!N59-Timing!$C$31),Timing!$F$59:$AE$59,"&lt;="&amp;Timing!N59))</f>
        <v>0</v>
      </c>
      <c r="O112" s="23">
        <f>IF(OR(Timing!O72=1,Timing!$C$31=0),0,SUMIFS($F$109:$AE$109,Timing!$F$59:$AE$59,"&gt;"&amp;(Timing!O59-Timing!$C$31),Timing!$F$59:$AE$59,"&lt;="&amp;Timing!O59))</f>
        <v>0</v>
      </c>
      <c r="P112" s="23">
        <f>IF(OR(Timing!P72=1,Timing!$C$31=0),0,SUMIFS($F$109:$AE$109,Timing!$F$59:$AE$59,"&gt;"&amp;(Timing!P59-Timing!$C$31),Timing!$F$59:$AE$59,"&lt;="&amp;Timing!P59))</f>
        <v>0</v>
      </c>
      <c r="Q112" s="23">
        <f>IF(OR(Timing!Q72=1,Timing!$C$31=0),0,SUMIFS($F$109:$AE$109,Timing!$F$59:$AE$59,"&gt;"&amp;(Timing!Q59-Timing!$C$31),Timing!$F$59:$AE$59,"&lt;="&amp;Timing!Q59))</f>
        <v>0</v>
      </c>
      <c r="R112" s="23">
        <f>IF(OR(Timing!R72=1,Timing!$C$31=0),0,SUMIFS($F$109:$AE$109,Timing!$F$59:$AE$59,"&gt;"&amp;(Timing!R59-Timing!$C$31),Timing!$F$59:$AE$59,"&lt;="&amp;Timing!R59))</f>
        <v>0</v>
      </c>
      <c r="S112" s="23">
        <f>IF(OR(Timing!S72=1,Timing!$C$31=0),0,SUMIFS($F$109:$AE$109,Timing!$F$59:$AE$59,"&gt;"&amp;(Timing!S59-Timing!$C$31),Timing!$F$59:$AE$59,"&lt;="&amp;Timing!S59))</f>
        <v>0</v>
      </c>
      <c r="T112" s="23">
        <f>IF(OR(Timing!T72=1,Timing!$C$31=0),0,SUMIFS($F$109:$AE$109,Timing!$F$59:$AE$59,"&gt;"&amp;(Timing!T59-Timing!$C$31),Timing!$F$59:$AE$59,"&lt;="&amp;Timing!T59))</f>
        <v>0</v>
      </c>
      <c r="U112" s="23">
        <f>IF(OR(Timing!U72=1,Timing!$C$31=0),0,SUMIFS($F$109:$AE$109,Timing!$F$59:$AE$59,"&gt;"&amp;(Timing!U59-Timing!$C$31),Timing!$F$59:$AE$59,"&lt;="&amp;Timing!U59))</f>
        <v>0</v>
      </c>
      <c r="V112" s="23">
        <f>IF(OR(Timing!V72=1,Timing!$C$31=0),0,SUMIFS($F$109:$AE$109,Timing!$F$59:$AE$59,"&gt;"&amp;(Timing!V59-Timing!$C$31),Timing!$F$59:$AE$59,"&lt;="&amp;Timing!V59))</f>
        <v>0</v>
      </c>
      <c r="W112" s="23">
        <f>IF(OR(Timing!W72=1,Timing!$C$31=0),0,SUMIFS($F$109:$AE$109,Timing!$F$59:$AE$59,"&gt;"&amp;(Timing!W59-Timing!$C$31),Timing!$F$59:$AE$59,"&lt;="&amp;Timing!W59))</f>
        <v>0</v>
      </c>
      <c r="X112" s="23">
        <f>IF(OR(Timing!X72=1,Timing!$C$31=0),0,SUMIFS($F$109:$AE$109,Timing!$F$59:$AE$59,"&gt;"&amp;(Timing!X59-Timing!$C$31),Timing!$F$59:$AE$59,"&lt;="&amp;Timing!X59))</f>
        <v>0</v>
      </c>
      <c r="Y112" s="23">
        <f>IF(OR(Timing!Y72=1,Timing!$C$31=0),0,SUMIFS($F$109:$AE$109,Timing!$F$59:$AE$59,"&gt;"&amp;(Timing!Y59-Timing!$C$31),Timing!$F$59:$AE$59,"&lt;="&amp;Timing!Y59))</f>
        <v>0</v>
      </c>
      <c r="Z112" s="23">
        <f>IF(OR(Timing!Z72=1,Timing!$C$31=0),0,SUMIFS($F$109:$AE$109,Timing!$F$59:$AE$59,"&gt;"&amp;(Timing!Z59-Timing!$C$31),Timing!$F$59:$AE$59,"&lt;="&amp;Timing!Z59))</f>
        <v>0</v>
      </c>
      <c r="AA112" s="23">
        <f>IF(OR(Timing!AA72=1,Timing!$C$31=0),0,SUMIFS($F$109:$AE$109,Timing!$F$59:$AE$59,"&gt;"&amp;(Timing!AA59-Timing!$C$31),Timing!$F$59:$AE$59,"&lt;="&amp;Timing!AA59))</f>
        <v>0</v>
      </c>
      <c r="AB112" s="23">
        <f>IF(OR(Timing!AB72=1,Timing!$C$31=0),0,SUMIFS($F$109:$AE$109,Timing!$F$59:$AE$59,"&gt;"&amp;(Timing!AB59-Timing!$C$31),Timing!$F$59:$AE$59,"&lt;="&amp;Timing!AB59))</f>
        <v>0</v>
      </c>
      <c r="AC112" s="23">
        <f>IF(OR(Timing!AC72=1,Timing!$C$31=0),0,SUMIFS($F$109:$AE$109,Timing!$F$59:$AE$59,"&gt;"&amp;(Timing!AC59-Timing!$C$31),Timing!$F$59:$AE$59,"&lt;="&amp;Timing!AC59))</f>
        <v>0</v>
      </c>
      <c r="AD112" s="23">
        <f>IF(OR(Timing!AD72=1,Timing!$C$31=0),0,SUMIFS($F$109:$AE$109,Timing!$F$59:$AE$59,"&gt;"&amp;(Timing!AD59-Timing!$C$31),Timing!$F$59:$AE$59,"&lt;="&amp;Timing!AD59))</f>
        <v>0</v>
      </c>
      <c r="AE112" s="23">
        <f>IF(OR(Timing!AE72=1,Timing!$C$31=0),0,SUMIFS($F$109:$AE$109,Timing!$F$59:$AE$59,"&gt;"&amp;(Timing!AE59-Timing!$C$31),Timing!$F$59:$AE$59,"&lt;="&amp;Timing!AE59))</f>
        <v>0</v>
      </c>
    </row>
    <row r="113">
      <c r="A113" s="6" t="inlineStr">
        <is>
          <t xml:space="preserve">Receivables: premium</t>
        </is>
      </c>
      <c r="B113" s="10" t="inlineStr">
        <is>
          <t xml:space="preserve">€</t>
        </is>
      </c>
      <c r="F113" s="23">
        <f>F111+F112</f>
        <v>0</v>
      </c>
      <c r="G113" s="23">
        <f>G111+G112</f>
        <v>0</v>
      </c>
      <c r="H113" s="23">
        <f>H111+H112</f>
        <v>0</v>
      </c>
      <c r="I113" s="23">
        <f>I111+I112</f>
        <v>0</v>
      </c>
      <c r="J113" s="23">
        <f>J111+J112</f>
        <v>0</v>
      </c>
      <c r="K113" s="23">
        <f>K111+K112</f>
        <v>0</v>
      </c>
      <c r="L113" s="23">
        <f>L111+L112</f>
        <v>0</v>
      </c>
      <c r="M113" s="23">
        <f>M111+M112</f>
        <v>0</v>
      </c>
      <c r="N113" s="23">
        <f>N111+N112</f>
        <v>0</v>
      </c>
      <c r="O113" s="23">
        <f>O111+O112</f>
        <v>0</v>
      </c>
      <c r="P113" s="23">
        <f>P111+P112</f>
        <v>0</v>
      </c>
      <c r="Q113" s="23">
        <f>Q111+Q112</f>
        <v>0</v>
      </c>
      <c r="R113" s="23">
        <f>R111+R112</f>
        <v>0</v>
      </c>
      <c r="S113" s="23">
        <f>S111+S112</f>
        <v>0</v>
      </c>
      <c r="T113" s="23">
        <f>T111+T112</f>
        <v>0</v>
      </c>
      <c r="U113" s="23">
        <f>U111+U112</f>
        <v>0</v>
      </c>
      <c r="V113" s="23">
        <f>V111+V112</f>
        <v>0</v>
      </c>
      <c r="W113" s="23">
        <f>W111+W112</f>
        <v>0</v>
      </c>
      <c r="X113" s="23">
        <f>X111+X112</f>
        <v>0</v>
      </c>
      <c r="Y113" s="23">
        <f>Y111+Y112</f>
        <v>0</v>
      </c>
      <c r="Z113" s="23">
        <f>Z111+Z112</f>
        <v>0</v>
      </c>
      <c r="AA113" s="23">
        <f>AA111+AA112</f>
        <v>0</v>
      </c>
      <c r="AB113" s="23">
        <f>AB111+AB112</f>
        <v>0</v>
      </c>
      <c r="AC113" s="23">
        <f>AC111+AC112</f>
        <v>0</v>
      </c>
      <c r="AD113" s="23">
        <f>AD111+AD112</f>
        <v>0</v>
      </c>
      <c r="AE113" s="23">
        <f>AE111+AE112</f>
        <v>0</v>
      </c>
    </row>
    <row r="114">
      <c r="A114" s="41" t="inlineStr">
        <is>
          <t xml:space="preserve">Receivables at year end</t>
        </is>
      </c>
      <c r="B114" s="10" t="inlineStr">
        <is>
          <t xml:space="preserve">€</t>
        </is>
      </c>
      <c r="E114" s="23">
        <f>$C$60</f>
        <v>498049.00082810305</v>
      </c>
      <c r="F114" s="42">
        <f>F110+F113</f>
        <v>416346.6520970571</v>
      </c>
      <c r="G114" s="42">
        <f>G110+G113</f>
        <v>348642.95816960535</v>
      </c>
      <c r="H114" s="42">
        <f>H110+H113</f>
        <v>343401.4756587894</v>
      </c>
      <c r="I114" s="42">
        <f>I110+I113</f>
        <v>349568.9661616212</v>
      </c>
      <c r="J114" s="42">
        <f>J110+J113</f>
        <v>354874.9646168515</v>
      </c>
      <c r="K114" s="42">
        <f>K110+K113</f>
        <v>362238.24095118215</v>
      </c>
      <c r="L114" s="42">
        <f>L110+L113</f>
        <v>368744.03975866537</v>
      </c>
      <c r="M114" s="42">
        <f>M110+M113</f>
        <v>375366.6827127309</v>
      </c>
      <c r="N114" s="42">
        <f>N110+N113</f>
        <v>381064.25667213614</v>
      </c>
      <c r="O114" s="42">
        <f>O110+O113</f>
        <v>388970.93283353484</v>
      </c>
      <c r="P114" s="42">
        <f>P110+P113</f>
        <v>395956.85078722495</v>
      </c>
      <c r="Q114" s="42">
        <f>Q110+Q113</f>
        <v>403068.23582736356</v>
      </c>
      <c r="R114" s="42">
        <f>R110+R113</f>
        <v>409186.28303314315</v>
      </c>
      <c r="S114" s="42">
        <f>S110+S113</f>
        <v>417676.46119334025</v>
      </c>
      <c r="T114" s="42">
        <f>T110+T113</f>
        <v>425177.93043637264</v>
      </c>
      <c r="U114" s="42">
        <f>U110+U113</f>
        <v>432814.1260670097</v>
      </c>
      <c r="V114" s="42">
        <f>V110+V113</f>
        <v>439383.6768756235</v>
      </c>
      <c r="W114" s="42">
        <f>W110+W113</f>
        <v>448500.41869234346</v>
      </c>
      <c r="X114" s="42">
        <f>X110+X113</f>
        <v>456555.486212058</v>
      </c>
      <c r="Y114" s="42">
        <f>Y110+Y113</f>
        <v>464755.2227444266</v>
      </c>
      <c r="Z114" s="42">
        <f>Z110+Z113</f>
        <v>471809.5975106407</v>
      </c>
      <c r="AA114" s="42">
        <f>AA110+AA113</f>
        <v>481599.14253366314</v>
      </c>
      <c r="AB114" s="42">
        <f>AB110+AB113</f>
        <v>490248.6631335678</v>
      </c>
      <c r="AC114" s="42">
        <f>AC110+AC113</f>
        <v>499053.52912344673</v>
      </c>
      <c r="AD114" s="42">
        <f>AD110+AD113</f>
        <v>506628.50719910895</v>
      </c>
      <c r="AE114" s="42">
        <f>AE110+AE113</f>
        <v>0</v>
      </c>
    </row>
    <row r="115">
      <c r="A115" s="6" t="inlineStr">
        <is>
          <t xml:space="preserve">Change in working capital</t>
        </is>
      </c>
      <c r="B115" s="10" t="inlineStr">
        <is>
          <t xml:space="preserve">€</t>
        </is>
      </c>
      <c r="F115" s="23">
        <f>F114-E114</f>
        <v>-81702.34873104596</v>
      </c>
      <c r="G115" s="23">
        <f>G114-F114</f>
        <v>-67703.69392745174</v>
      </c>
      <c r="H115" s="23">
        <f>H114-G114</f>
        <v>-5241.482510815957</v>
      </c>
      <c r="I115" s="23">
        <f>I114-H114</f>
        <v>6167.490502831817</v>
      </c>
      <c r="J115" s="23">
        <f>J114-I114</f>
        <v>5305.998455230263</v>
      </c>
      <c r="K115" s="23">
        <f>K114-J114</f>
        <v>7363.276334330672</v>
      </c>
      <c r="L115" s="23">
        <f>L114-K114</f>
        <v>6505.798807483225</v>
      </c>
      <c r="M115" s="23">
        <f>M114-L114</f>
        <v>6622.642954065523</v>
      </c>
      <c r="N115" s="23">
        <f>N114-M114</f>
        <v>5697.573959405243</v>
      </c>
      <c r="O115" s="23">
        <f>O114-N114</f>
        <v>7906.676161398704</v>
      </c>
      <c r="P115" s="23">
        <f>P114-O114</f>
        <v>6985.9179536901065</v>
      </c>
      <c r="Q115" s="23">
        <f>Q114-P114</f>
        <v>7111.385040138615</v>
      </c>
      <c r="R115" s="23">
        <f>R114-Q114</f>
        <v>6118.047205779585</v>
      </c>
      <c r="S115" s="23">
        <f>S114-R114</f>
        <v>8490.178160197102</v>
      </c>
      <c r="T115" s="23">
        <f>T114-S114</f>
        <v>7501.469243032392</v>
      </c>
      <c r="U115" s="23">
        <f>U114-T114</f>
        <v>7636.195630637056</v>
      </c>
      <c r="V115" s="23">
        <f>V114-U114</f>
        <v>6569.550808613829</v>
      </c>
      <c r="W115" s="23">
        <f>W114-V114</f>
        <v>9116.741816719936</v>
      </c>
      <c r="X115" s="23">
        <f>X114-W114</f>
        <v>8055.067519714532</v>
      </c>
      <c r="Y115" s="23">
        <f>Y114-X114</f>
        <v>8199.73653236858</v>
      </c>
      <c r="Z115" s="23">
        <f>Z114-Y114</f>
        <v>7054.37476621411</v>
      </c>
      <c r="AA115" s="23">
        <f>AA114-Z114</f>
        <v>9789.545023022452</v>
      </c>
      <c r="AB115" s="23">
        <f>AB114-AA114</f>
        <v>8649.520599904645</v>
      </c>
      <c r="AC115" s="23">
        <f>AC114-AB114</f>
        <v>8804.865989878948</v>
      </c>
      <c r="AD115" s="23">
        <f>AD114-AC114</f>
        <v>7574.97807566222</v>
      </c>
      <c r="AE115" s="23">
        <f>AE114-AD114</f>
        <v>-506628.50719910895</v>
      </c>
    </row>
    <row r="117">
      <c r="A117" s="5" t="inlineStr">
        <is>
          <t xml:space="preserve">P90 10-yr</t>
        </is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>
      <c r="A118" s="6" t="inlineStr">
        <is>
          <t xml:space="preserve">Lender's floor: revenue counted up to the AW (1 = yes)</t>
        </is>
      </c>
      <c r="C118" s="23">
        <v>0</v>
      </c>
    </row>
    <row r="119">
      <c r="A119" s="6" t="inlineStr">
        <is>
          <t xml:space="preserve">Two-sided premium in this case (1 = yes)</t>
        </is>
      </c>
      <c r="C119" s="23">
        <f>IF(AND($C$118=0,Inputs!$C$35),1,0)</f>
        <v>0</v>
      </c>
    </row>
    <row r="120">
      <c r="A120" s="6" t="inlineStr">
        <is>
          <t xml:space="preserve">Site quality until the first § 36h review</t>
        </is>
      </c>
      <c r="C120" s="43">
        <f>Inputs!$C$16</f>
        <v>0.68</v>
      </c>
    </row>
    <row r="121">
      <c r="A121" s="6" t="inlineStr">
        <is>
          <t xml:space="preserve">Site quality after the reviews</t>
        </is>
      </c>
      <c r="C121" s="24">
        <f>Inputs!$C$16*Inputs!$C$108</f>
        <v>0.590236736</v>
      </c>
      <c r="D121" s="2" t="inlineStr">
        <is>
          <t xml:space="preserve">multi-year stress: § 36h review applies</t>
        </is>
      </c>
    </row>
    <row r="122">
      <c r="A122" s="6" t="inlineStr">
        <is>
          <t xml:space="preserve">Correction factor until the first review</t>
        </is>
      </c>
      <c r="C122" s="44">
        <f>IF($C$120*100&lt;=IF(Inputs!$C$17,Inputs!$C$187,Inputs!$C$188),IF(Inputs!$C$17,Inputs!$C$185,Inputs!$C$184),IF($C$120*100&gt;=Inputs!$C$189,Inputs!$C$186,INDEX(Inputs!$B$173:$B$183,MATCH($C$120*100,Inputs!$A$173:$A$183,1))+($C$120*100-INDEX(Inputs!$A$173:$A$183,MATCH($C$120*100,Inputs!$A$173:$A$183,1)))/(INDEX(Inputs!$A$173:$A$183,MATCH($C$120*100,Inputs!$A$173:$A$183,1)+1)-INDEX(Inputs!$A$173:$A$183,MATCH($C$120*100,Inputs!$A$173:$A$183,1)))*(INDEX(Inputs!$B$173:$B$183,MATCH($C$120*100,Inputs!$A$173:$A$183,1)+1)-INDEX(Inputs!$B$173:$B$183,MATCH($C$120*100,Inputs!$A$173:$A$183,1)))))</f>
        <v>1.316</v>
      </c>
    </row>
    <row r="123">
      <c r="A123" s="6" t="inlineStr">
        <is>
          <t xml:space="preserve">Correction factor after the reviews</t>
        </is>
      </c>
      <c r="C123" s="44">
        <f>IF($C$121*100&lt;=IF(Inputs!$C$17,Inputs!$C$187,Inputs!$C$188),IF(Inputs!$C$17,Inputs!$C$185,Inputs!$C$184),IF($C$121*100&gt;=Inputs!$C$189,Inputs!$C$186,INDEX(Inputs!$B$173:$B$183,MATCH($C$121*100,Inputs!$A$173:$A$183,1))+($C$121*100-INDEX(Inputs!$A$173:$A$183,MATCH($C$121*100,Inputs!$A$173:$A$183,1)))/(INDEX(Inputs!$A$173:$A$183,MATCH($C$121*100,Inputs!$A$173:$A$183,1)+1)-INDEX(Inputs!$A$173:$A$183,MATCH($C$121*100,Inputs!$A$173:$A$183,1)))*(INDEX(Inputs!$B$173:$B$183,MATCH($C$121*100,Inputs!$A$173:$A$183,1)+1)-INDEX(Inputs!$B$173:$B$183,MATCH($C$121*100,Inputs!$A$173:$A$183,1)))))</f>
        <v>1.42</v>
      </c>
    </row>
    <row r="124">
      <c r="A124" s="6" t="inlineStr">
        <is>
          <t xml:space="preserve">AW until the first review (rounded to 0.01 ct)</t>
        </is>
      </c>
      <c r="B124" s="10" t="inlineStr">
        <is>
          <t xml:space="preserve">€/kWh</t>
        </is>
      </c>
      <c r="C124" s="21">
        <f>ROUND(Inputs!$C$27*$C$122,2)/100</f>
        <v>0.063</v>
      </c>
    </row>
    <row r="125">
      <c r="A125" s="6" t="inlineStr">
        <is>
          <t xml:space="preserve">AW after the reviews</t>
        </is>
      </c>
      <c r="B125" s="10" t="inlineStr">
        <is>
          <t xml:space="preserve">€/kWh</t>
        </is>
      </c>
      <c r="C125" s="21">
        <f>ROUND(Inputs!$C$27*$C$123,2)/100</f>
        <v>0.068</v>
      </c>
    </row>
    <row r="126">
      <c r="A126" s="6" t="inlineStr">
        <is>
          <t xml:space="preserve">Baseload price</t>
        </is>
      </c>
      <c r="B126" s="10" t="inlineStr">
        <is>
          <t xml:space="preserve">€/MWh</t>
        </is>
      </c>
      <c r="E126" s="26">
        <f>IF(COUNTIF(Inputs!$A$42:$A$44,Timing!$C$15-1)&gt;0,SUMIFS(Inputs!$B$42:$B$44,Inputs!$A$42:$A$44,Timing!$C$15-1),Inputs!$C$30*Timing!E76)*1</f>
        <v>128.37</v>
      </c>
      <c r="F126" s="26">
        <f>IF(COUNTIF(Inputs!$A$42:$A$44,Timing!F59)&gt;0,SUMIFS(Inputs!$B$42:$B$44,Inputs!$A$42:$A$44,Timing!F59),Inputs!$C$30*Timing!F76)*1</f>
        <v>98.88</v>
      </c>
      <c r="G126" s="26">
        <f>IF(COUNTIF(Inputs!$A$42:$A$44,Timing!G59)&gt;0,SUMIFS(Inputs!$B$42:$B$44,Inputs!$A$42:$A$44,Timing!G59),Inputs!$C$30*Timing!G76)*1</f>
        <v>82.74</v>
      </c>
      <c r="H126" s="26">
        <f>IF(COUNTIF(Inputs!$A$42:$A$44,Timing!H59)&gt;0,SUMIFS(Inputs!$B$42:$B$44,Inputs!$A$42:$A$44,Timing!H59),Inputs!$C$30*Timing!H76)*1</f>
        <v>81.65940939000001</v>
      </c>
      <c r="I126" s="26">
        <f>IF(COUNTIF(Inputs!$A$42:$A$44,Timing!I59)&gt;0,SUMIFS(Inputs!$B$42:$B$44,Inputs!$A$42:$A$44,Timing!I59),Inputs!$C$30*Timing!I76)*1</f>
        <v>83.2925975778</v>
      </c>
      <c r="J126" s="26">
        <f>IF(COUNTIF(Inputs!$A$42:$A$44,Timing!J59)&gt;0,SUMIFS(Inputs!$B$42:$B$44,Inputs!$A$42:$A$44,Timing!J59),Inputs!$C$30*Timing!J76)*1</f>
        <v>84.95844952935599</v>
      </c>
      <c r="K126" s="26">
        <f>IF(COUNTIF(Inputs!$A$42:$A$44,Timing!K59)&gt;0,SUMIFS(Inputs!$B$42:$B$44,Inputs!$A$42:$A$44,Timing!K59),Inputs!$C$30*Timing!K76)*1</f>
        <v>86.65761851994313</v>
      </c>
      <c r="L126" s="26">
        <f>IF(COUNTIF(Inputs!$A$42:$A$44,Timing!L59)&gt;0,SUMIFS(Inputs!$B$42:$B$44,Inputs!$A$42:$A$44,Timing!L59),Inputs!$C$30*Timing!L76)*1</f>
        <v>88.39077089034198</v>
      </c>
      <c r="M126" s="26">
        <f>IF(COUNTIF(Inputs!$A$42:$A$44,Timing!M59)&gt;0,SUMIFS(Inputs!$B$42:$B$44,Inputs!$A$42:$A$44,Timing!M59),Inputs!$C$30*Timing!M76)*1</f>
        <v>90.15858630814881</v>
      </c>
      <c r="N126" s="26">
        <f>IF(COUNTIF(Inputs!$A$42:$A$44,Timing!N59)&gt;0,SUMIFS(Inputs!$B$42:$B$44,Inputs!$A$42:$A$44,Timing!N59),Inputs!$C$30*Timing!N76)*1</f>
        <v>91.96175803431179</v>
      </c>
      <c r="O126" s="26">
        <f>IF(COUNTIF(Inputs!$A$42:$A$44,Timing!O59)&gt;0,SUMIFS(Inputs!$B$42:$B$44,Inputs!$A$42:$A$44,Timing!O59),Inputs!$C$30*Timing!O76)*1</f>
        <v>93.80099319499803</v>
      </c>
      <c r="P126" s="26">
        <f>IF(COUNTIF(Inputs!$A$42:$A$44,Timing!P59)&gt;0,SUMIFS(Inputs!$B$42:$B$44,Inputs!$A$42:$A$44,Timing!P59),Inputs!$C$30*Timing!P76)*1</f>
        <v>95.67701305889798</v>
      </c>
      <c r="Q126" s="26">
        <f>IF(COUNTIF(Inputs!$A$42:$A$44,Timing!Q59)&gt;0,SUMIFS(Inputs!$B$42:$B$44,Inputs!$A$42:$A$44,Timing!Q59),Inputs!$C$30*Timing!Q76)*1</f>
        <v>97.59055332007594</v>
      </c>
      <c r="R126" s="26">
        <f>IF(COUNTIF(Inputs!$A$42:$A$44,Timing!R59)&gt;0,SUMIFS(Inputs!$B$42:$B$44,Inputs!$A$42:$A$44,Timing!R59),Inputs!$C$30*Timing!R76)*1</f>
        <v>99.54236438647747</v>
      </c>
      <c r="S126" s="26">
        <f>IF(COUNTIF(Inputs!$A$42:$A$44,Timing!S59)&gt;0,SUMIFS(Inputs!$B$42:$B$44,Inputs!$A$42:$A$44,Timing!S59),Inputs!$C$30*Timing!S76)*1</f>
        <v>101.53321167420701</v>
      </c>
      <c r="T126" s="26">
        <f>IF(COUNTIF(Inputs!$A$42:$A$44,Timing!T59)&gt;0,SUMIFS(Inputs!$B$42:$B$44,Inputs!$A$42:$A$44,Timing!T59),Inputs!$C$30*Timing!T76)*1</f>
        <v>103.56387590769116</v>
      </c>
      <c r="U126" s="26">
        <f>IF(COUNTIF(Inputs!$A$42:$A$44,Timing!U59)&gt;0,SUMIFS(Inputs!$B$42:$B$44,Inputs!$A$42:$A$44,Timing!U59),Inputs!$C$30*Timing!U76)*1</f>
        <v>105.63515342584496</v>
      </c>
      <c r="V126" s="26">
        <f>IF(COUNTIF(Inputs!$A$42:$A$44,Timing!V59)&gt;0,SUMIFS(Inputs!$B$42:$B$44,Inputs!$A$42:$A$44,Timing!V59),Inputs!$C$30*Timing!V76)*1</f>
        <v>107.74785649436187</v>
      </c>
      <c r="W126" s="26">
        <f>IF(COUNTIF(Inputs!$A$42:$A$44,Timing!W59)&gt;0,SUMIFS(Inputs!$B$42:$B$44,Inputs!$A$42:$A$44,Timing!W59),Inputs!$C$30*Timing!W76)*1</f>
        <v>109.9028136242491</v>
      </c>
      <c r="X126" s="26">
        <f>IF(COUNTIF(Inputs!$A$42:$A$44,Timing!X59)&gt;0,SUMIFS(Inputs!$B$42:$B$44,Inputs!$A$42:$A$44,Timing!X59),Inputs!$C$30*Timing!X76)*1</f>
        <v>112.1008698967341</v>
      </c>
      <c r="Y126" s="26">
        <f>IF(COUNTIF(Inputs!$A$42:$A$44,Timing!Y59)&gt;0,SUMIFS(Inputs!$B$42:$B$44,Inputs!$A$42:$A$44,Timing!Y59),Inputs!$C$30*Timing!Y76)*1</f>
        <v>114.34288729466878</v>
      </c>
      <c r="Z126" s="26">
        <f>IF(COUNTIF(Inputs!$A$42:$A$44,Timing!Z59)&gt;0,SUMIFS(Inputs!$B$42:$B$44,Inputs!$A$42:$A$44,Timing!Z59),Inputs!$C$30*Timing!Z76)*1</f>
        <v>116.62974504056216</v>
      </c>
      <c r="AA126" s="26">
        <f>IF(COUNTIF(Inputs!$A$42:$A$44,Timing!AA59)&gt;0,SUMIFS(Inputs!$B$42:$B$44,Inputs!$A$42:$A$44,Timing!AA59),Inputs!$C$30*Timing!AA76)*1</f>
        <v>118.9623399413734</v>
      </c>
      <c r="AB126" s="26">
        <f>IF(COUNTIF(Inputs!$A$42:$A$44,Timing!AB59)&gt;0,SUMIFS(Inputs!$B$42:$B$44,Inputs!$A$42:$A$44,Timing!AB59),Inputs!$C$30*Timing!AB76)*1</f>
        <v>121.34158674020087</v>
      </c>
      <c r="AC126" s="26">
        <f>IF(COUNTIF(Inputs!$A$42:$A$44,Timing!AC59)&gt;0,SUMIFS(Inputs!$B$42:$B$44,Inputs!$A$42:$A$44,Timing!AC59),Inputs!$C$30*Timing!AC76)*1</f>
        <v>123.76841847500489</v>
      </c>
      <c r="AD126" s="26">
        <f>IF(COUNTIF(Inputs!$A$42:$A$44,Timing!AD59)&gt;0,SUMIFS(Inputs!$B$42:$B$44,Inputs!$A$42:$A$44,Timing!AD59),Inputs!$C$30*Timing!AD76)*1</f>
        <v>126.243786844505</v>
      </c>
      <c r="AE126" s="26">
        <f>IF(COUNTIF(Inputs!$A$42:$A$44,Timing!AE59)&gt;0,SUMIFS(Inputs!$B$42:$B$44,Inputs!$A$42:$A$44,Timing!AE59),Inputs!$C$30*Timing!AE76)*1</f>
        <v>128.76866258139512</v>
      </c>
    </row>
    <row r="127">
      <c r="A127" s="6" t="inlineStr">
        <is>
          <t xml:space="preserve">Market value of wind (JW)</t>
        </is>
      </c>
      <c r="B127" s="10" t="inlineStr">
        <is>
          <t xml:space="preserve">€/kWh</t>
        </is>
      </c>
      <c r="E127" s="37">
        <f>E126*Inputs!$C$31/1000</f>
        <v>0.10269600000000001</v>
      </c>
      <c r="F127" s="37">
        <f>F126*Inputs!$C$31/1000</f>
        <v>0.079104</v>
      </c>
      <c r="G127" s="37">
        <f>G126*Inputs!$C$31/1000</f>
        <v>0.06619199999999999</v>
      </c>
      <c r="H127" s="37">
        <f>H126*Inputs!$C$31/1000</f>
        <v>0.06532752751200001</v>
      </c>
      <c r="I127" s="37">
        <f>I126*Inputs!$C$31/1000</f>
        <v>0.06663407806223999</v>
      </c>
      <c r="J127" s="37">
        <f>J126*Inputs!$C$31/1000</f>
        <v>0.0679667596234848</v>
      </c>
      <c r="K127" s="37">
        <f>K126*Inputs!$C$31/1000</f>
        <v>0.0693260948159545</v>
      </c>
      <c r="L127" s="37">
        <f>L126*Inputs!$C$31/1000</f>
        <v>0.0707126167122736</v>
      </c>
      <c r="M127" s="37">
        <f>M126*Inputs!$C$31/1000</f>
        <v>0.07212686904651905</v>
      </c>
      <c r="N127" s="37">
        <f>N126*Inputs!$C$31/1000</f>
        <v>0.07356940642744944</v>
      </c>
      <c r="O127" s="37">
        <f>O126*Inputs!$C$31/1000</f>
        <v>0.07504079455599844</v>
      </c>
      <c r="P127" s="37">
        <f>P126*Inputs!$C$31/1000</f>
        <v>0.0765416104471184</v>
      </c>
      <c r="Q127" s="37">
        <f>Q126*Inputs!$C$31/1000</f>
        <v>0.07807244265606075</v>
      </c>
      <c r="R127" s="37">
        <f>R126*Inputs!$C$31/1000</f>
        <v>0.07963389150918197</v>
      </c>
      <c r="S127" s="37">
        <f>S126*Inputs!$C$31/1000</f>
        <v>0.08122656933936562</v>
      </c>
      <c r="T127" s="37">
        <f>T126*Inputs!$C$31/1000</f>
        <v>0.08285110072615294</v>
      </c>
      <c r="U127" s="37">
        <f>U126*Inputs!$C$31/1000</f>
        <v>0.08450812274067597</v>
      </c>
      <c r="V127" s="37">
        <f>V126*Inputs!$C$31/1000</f>
        <v>0.0861982851954895</v>
      </c>
      <c r="W127" s="37">
        <f>W126*Inputs!$C$31/1000</f>
        <v>0.08792225089939928</v>
      </c>
      <c r="X127" s="37">
        <f>X126*Inputs!$C$31/1000</f>
        <v>0.08968069591738728</v>
      </c>
      <c r="Y127" s="37">
        <f>Y126*Inputs!$C$31/1000</f>
        <v>0.09147430983573503</v>
      </c>
      <c r="Z127" s="37">
        <f>Z126*Inputs!$C$31/1000</f>
        <v>0.09330379603244973</v>
      </c>
      <c r="AA127" s="37">
        <f>AA126*Inputs!$C$31/1000</f>
        <v>0.09516987195309871</v>
      </c>
      <c r="AB127" s="37">
        <f>AB126*Inputs!$C$31/1000</f>
        <v>0.0970732693921607</v>
      </c>
      <c r="AC127" s="37">
        <f>AC126*Inputs!$C$31/1000</f>
        <v>0.09901473478000392</v>
      </c>
      <c r="AD127" s="37">
        <f>AD126*Inputs!$C$31/1000</f>
        <v>0.100995029475604</v>
      </c>
      <c r="AE127" s="37">
        <f>AE126*Inputs!$C$31/1000</f>
        <v>0.1030149300651161</v>
      </c>
    </row>
    <row r="128">
      <c r="A128" s="6" t="inlineStr">
        <is>
          <t xml:space="preserve">Market value of the year before (basis of the advances, § 26)</t>
        </is>
      </c>
      <c r="B128" s="10" t="inlineStr">
        <is>
          <t xml:space="preserve">€/kWh</t>
        </is>
      </c>
      <c r="F128" s="37">
        <f>E127</f>
        <v>0.10269600000000001</v>
      </c>
      <c r="G128" s="37">
        <f>F127</f>
        <v>0.079104</v>
      </c>
      <c r="H128" s="37">
        <f>G127</f>
        <v>0.06619199999999999</v>
      </c>
      <c r="I128" s="37">
        <f>H127</f>
        <v>0.06532752751200001</v>
      </c>
      <c r="J128" s="37">
        <f>I127</f>
        <v>0.06663407806223999</v>
      </c>
      <c r="K128" s="37">
        <f>J127</f>
        <v>0.0679667596234848</v>
      </c>
      <c r="L128" s="37">
        <f>K127</f>
        <v>0.0693260948159545</v>
      </c>
      <c r="M128" s="37">
        <f>L127</f>
        <v>0.0707126167122736</v>
      </c>
      <c r="N128" s="37">
        <f>M127</f>
        <v>0.07212686904651905</v>
      </c>
      <c r="O128" s="37">
        <f>N127</f>
        <v>0.07356940642744944</v>
      </c>
      <c r="P128" s="37">
        <f>O127</f>
        <v>0.07504079455599844</v>
      </c>
      <c r="Q128" s="37">
        <f>P127</f>
        <v>0.0765416104471184</v>
      </c>
      <c r="R128" s="37">
        <f>Q127</f>
        <v>0.07807244265606075</v>
      </c>
      <c r="S128" s="37">
        <f>R127</f>
        <v>0.07963389150918197</v>
      </c>
      <c r="T128" s="37">
        <f>S127</f>
        <v>0.08122656933936562</v>
      </c>
      <c r="U128" s="37">
        <f>T127</f>
        <v>0.08285110072615294</v>
      </c>
      <c r="V128" s="37">
        <f>U127</f>
        <v>0.08450812274067597</v>
      </c>
      <c r="W128" s="37">
        <f>V127</f>
        <v>0.0861982851954895</v>
      </c>
      <c r="X128" s="37">
        <f>W127</f>
        <v>0.08792225089939928</v>
      </c>
      <c r="Y128" s="37">
        <f>X127</f>
        <v>0.08968069591738728</v>
      </c>
      <c r="Z128" s="37">
        <f>Y127</f>
        <v>0.09147430983573503</v>
      </c>
      <c r="AA128" s="37">
        <f>Z127</f>
        <v>0.09330379603244973</v>
      </c>
      <c r="AB128" s="37">
        <f>AA127</f>
        <v>0.09516987195309871</v>
      </c>
      <c r="AC128" s="37">
        <f>AB127</f>
        <v>0.0970732693921607</v>
      </c>
      <c r="AD128" s="37">
        <f>AC127</f>
        <v>0.09901473478000392</v>
      </c>
      <c r="AE128" s="37">
        <f>AD127</f>
        <v>0.100995029475604</v>
      </c>
    </row>
    <row r="129">
      <c r="A129" s="6" t="inlineStr">
        <is>
          <t xml:space="preserve">Output</t>
        </is>
      </c>
      <c r="B129" s="10" t="inlineStr">
        <is>
          <t xml:space="preserve">kWh</t>
        </is>
      </c>
      <c r="F129" s="23">
        <f>Timing!$C$28*Timing!$C$29*Timing!F66*Timing!F73*Inputs!$C$108</f>
        <v>33518727.305564184</v>
      </c>
      <c r="G129" s="23">
        <f>Timing!$C$28*Timing!$C$29*Timing!G66*Timing!G73*Inputs!$C$108</f>
        <v>66539774.37743923</v>
      </c>
      <c r="H129" s="23">
        <f>Timing!$C$28*Timing!$C$29*Timing!H66*Timing!H73*Inputs!$C$108</f>
        <v>66406694.828684345</v>
      </c>
      <c r="I129" s="23">
        <f>Timing!$C$28*Timing!$C$29*Timing!I66*Timing!I73*Inputs!$C$108</f>
        <v>66273881.43902699</v>
      </c>
      <c r="J129" s="23">
        <f>Timing!$C$28*Timing!$C$29*Timing!J66*Timing!J73*Inputs!$C$108</f>
        <v>66141333.67614893</v>
      </c>
      <c r="K129" s="23">
        <f>Timing!$C$28*Timing!$C$29*Timing!K66*Timing!K73*Inputs!$C$108</f>
        <v>66009051.00879663</v>
      </c>
      <c r="L129" s="23">
        <f>Timing!$C$28*Timing!$C$29*Timing!L66*Timing!L73*Inputs!$C$108</f>
        <v>65877032.906779036</v>
      </c>
      <c r="M129" s="23">
        <f>Timing!$C$28*Timing!$C$29*Timing!M66*Timing!M73*Inputs!$C$108</f>
        <v>65745278.84096547</v>
      </c>
      <c r="N129" s="23">
        <f>Timing!$C$28*Timing!$C$29*Timing!N66*Timing!N73*Inputs!$C$108</f>
        <v>65613788.28328354</v>
      </c>
      <c r="O129" s="23">
        <f>Timing!$C$28*Timing!$C$29*Timing!O66*Timing!O73*Inputs!$C$108</f>
        <v>65482560.70671699</v>
      </c>
      <c r="P129" s="23">
        <f>Timing!$C$28*Timing!$C$29*Timing!P66*Timing!P73*Inputs!$C$108</f>
        <v>65351595.585303545</v>
      </c>
      <c r="Q129" s="23">
        <f>Timing!$C$28*Timing!$C$29*Timing!Q66*Timing!Q73*Inputs!$C$108</f>
        <v>65220892.39413294</v>
      </c>
      <c r="R129" s="23">
        <f>Timing!$C$28*Timing!$C$29*Timing!R66*Timing!R73*Inputs!$C$108</f>
        <v>65090450.609344676</v>
      </c>
      <c r="S129" s="23">
        <f>Timing!$C$28*Timing!$C$29*Timing!S66*Timing!S73*Inputs!$C$108</f>
        <v>64960269.70812599</v>
      </c>
      <c r="T129" s="23">
        <f>Timing!$C$28*Timing!$C$29*Timing!T66*Timing!T73*Inputs!$C$108</f>
        <v>64830349.168709725</v>
      </c>
      <c r="U129" s="23">
        <f>Timing!$C$28*Timing!$C$29*Timing!U66*Timing!U73*Inputs!$C$108</f>
        <v>64700688.47037232</v>
      </c>
      <c r="V129" s="23">
        <f>Timing!$C$28*Timing!$C$29*Timing!V66*Timing!V73*Inputs!$C$108</f>
        <v>64571287.09343157</v>
      </c>
      <c r="W129" s="23">
        <f>Timing!$C$28*Timing!$C$29*Timing!W66*Timing!W73*Inputs!$C$108</f>
        <v>64442144.5192447</v>
      </c>
      <c r="X129" s="23">
        <f>Timing!$C$28*Timing!$C$29*Timing!X66*Timing!X73*Inputs!$C$108</f>
        <v>64313260.230206214</v>
      </c>
      <c r="Y129" s="23">
        <f>Timing!$C$28*Timing!$C$29*Timing!Y66*Timing!Y73*Inputs!$C$108</f>
        <v>64184633.7097458</v>
      </c>
      <c r="Z129" s="23">
        <f>Timing!$C$28*Timing!$C$29*Timing!Z66*Timing!Z73*Inputs!$C$108</f>
        <v>64056264.442326315</v>
      </c>
      <c r="AA129" s="23">
        <f>Timing!$C$28*Timing!$C$29*Timing!AA66*Timing!AA73*Inputs!$C$108</f>
        <v>63928151.91344166</v>
      </c>
      <c r="AB129" s="23">
        <f>Timing!$C$28*Timing!$C$29*Timing!AB66*Timing!AB73*Inputs!$C$108</f>
        <v>63800295.609614775</v>
      </c>
      <c r="AC129" s="23">
        <f>Timing!$C$28*Timing!$C$29*Timing!AC66*Timing!AC73*Inputs!$C$108</f>
        <v>63672695.01839555</v>
      </c>
      <c r="AD129" s="23">
        <f>Timing!$C$28*Timing!$C$29*Timing!AD66*Timing!AD73*Inputs!$C$108</f>
        <v>63545349.62835876</v>
      </c>
      <c r="AE129" s="23">
        <f>Timing!$C$28*Timing!$C$29*Timing!AE66*Timing!AE73*Inputs!$C$108</f>
        <v>31448506.4826506</v>
      </c>
    </row>
    <row r="130">
      <c r="A130" s="6" t="inlineStr">
        <is>
          <t xml:space="preserve">Output sold (not curtailed at negative prices)</t>
        </is>
      </c>
      <c r="B130" s="10" t="inlineStr">
        <is>
          <t xml:space="preserve">kWh</t>
        </is>
      </c>
      <c r="F130" s="23">
        <f>F129*(1-Inputs!$C$23)</f>
        <v>31842790.940285973</v>
      </c>
      <c r="G130" s="23">
        <f>G129*(1-Inputs!$C$23)</f>
        <v>63212785.658567265</v>
      </c>
      <c r="H130" s="23">
        <f>H129*(1-Inputs!$C$23)</f>
        <v>63086360.08725013</v>
      </c>
      <c r="I130" s="23">
        <f>I129*(1-Inputs!$C$23)</f>
        <v>62960187.36707564</v>
      </c>
      <c r="J130" s="23">
        <f>J129*(1-Inputs!$C$23)</f>
        <v>62834266.99234148</v>
      </c>
      <c r="K130" s="23">
        <f>K129*(1-Inputs!$C$23)</f>
        <v>62708598.4583568</v>
      </c>
      <c r="L130" s="23">
        <f>L129*(1-Inputs!$C$23)</f>
        <v>62583181.26144008</v>
      </c>
      <c r="M130" s="23">
        <f>M129*(1-Inputs!$C$23)</f>
        <v>62458014.8989172</v>
      </c>
      <c r="N130" s="23">
        <f>N129*(1-Inputs!$C$23)</f>
        <v>62333098.86911936</v>
      </c>
      <c r="O130" s="23">
        <f>O129*(1-Inputs!$C$23)</f>
        <v>62208432.67138114</v>
      </c>
      <c r="P130" s="23">
        <f>P129*(1-Inputs!$C$23)</f>
        <v>62084015.806038365</v>
      </c>
      <c r="Q130" s="23">
        <f>Q129*(1-Inputs!$C$23)</f>
        <v>61959847.77442629</v>
      </c>
      <c r="R130" s="23">
        <f>R129*(1-Inputs!$C$23)</f>
        <v>61835928.07887744</v>
      </c>
      <c r="S130" s="23">
        <f>S129*(1-Inputs!$C$23)</f>
        <v>61712256.22271969</v>
      </c>
      <c r="T130" s="23">
        <f>T129*(1-Inputs!$C$23)</f>
        <v>61588831.710274234</v>
      </c>
      <c r="U130" s="23">
        <f>U129*(1-Inputs!$C$23)</f>
        <v>61465654.0468537</v>
      </c>
      <c r="V130" s="23">
        <f>V129*(1-Inputs!$C$23)</f>
        <v>61342722.73875999</v>
      </c>
      <c r="W130" s="23">
        <f>W129*(1-Inputs!$C$23)</f>
        <v>61220037.293282464</v>
      </c>
      <c r="X130" s="23">
        <f>X129*(1-Inputs!$C$23)</f>
        <v>61097597.2186959</v>
      </c>
      <c r="Y130" s="23">
        <f>Y129*(1-Inputs!$C$23)</f>
        <v>60975402.02425851</v>
      </c>
      <c r="Z130" s="23">
        <f>Z129*(1-Inputs!$C$23)</f>
        <v>60853451.22020999</v>
      </c>
      <c r="AA130" s="23">
        <f>AA129*(1-Inputs!$C$23)</f>
        <v>60731744.31776957</v>
      </c>
      <c r="AB130" s="23">
        <f>AB129*(1-Inputs!$C$23)</f>
        <v>60610280.82913403</v>
      </c>
      <c r="AC130" s="23">
        <f>AC129*(1-Inputs!$C$23)</f>
        <v>60489060.26747577</v>
      </c>
      <c r="AD130" s="23">
        <f>AD129*(1-Inputs!$C$23)</f>
        <v>60368082.14694082</v>
      </c>
      <c r="AE130" s="23">
        <f>AE129*(1-Inputs!$C$23)</f>
        <v>29876081.15851807</v>
      </c>
    </row>
    <row r="131">
      <c r="A131" s="6" t="inlineStr">
        <is>
          <t xml:space="preserve">Output eligible for the premium</t>
        </is>
      </c>
      <c r="B131" s="10" t="inlineStr">
        <is>
          <t xml:space="preserve">kWh</t>
        </is>
      </c>
      <c r="F131" s="23">
        <f>F130*Timing!F69</f>
        <v>31842790.940285973</v>
      </c>
      <c r="G131" s="23">
        <f>G130*Timing!G69</f>
        <v>63212785.658567265</v>
      </c>
      <c r="H131" s="23">
        <f>H130*Timing!H69</f>
        <v>63086360.08725013</v>
      </c>
      <c r="I131" s="23">
        <f>I130*Timing!I69</f>
        <v>62960187.36707564</v>
      </c>
      <c r="J131" s="23">
        <f>J130*Timing!J69</f>
        <v>62834266.99234148</v>
      </c>
      <c r="K131" s="23">
        <f>K130*Timing!K69</f>
        <v>62708598.4583568</v>
      </c>
      <c r="L131" s="23">
        <f>L130*Timing!L69</f>
        <v>62583181.26144008</v>
      </c>
      <c r="M131" s="23">
        <f>M130*Timing!M69</f>
        <v>62458014.8989172</v>
      </c>
      <c r="N131" s="23">
        <f>N130*Timing!N69</f>
        <v>62333098.86911936</v>
      </c>
      <c r="O131" s="23">
        <f>O130*Timing!O69</f>
        <v>62208432.67138114</v>
      </c>
      <c r="P131" s="23">
        <f>P130*Timing!P69</f>
        <v>62084015.806038365</v>
      </c>
      <c r="Q131" s="23">
        <f>Q130*Timing!Q69</f>
        <v>61959847.77442629</v>
      </c>
      <c r="R131" s="23">
        <f>R130*Timing!R69</f>
        <v>61835928.07887744</v>
      </c>
      <c r="S131" s="23">
        <f>S130*Timing!S69</f>
        <v>61712256.22271969</v>
      </c>
      <c r="T131" s="23">
        <f>T130*Timing!T69</f>
        <v>61588831.710274234</v>
      </c>
      <c r="U131" s="23">
        <f>U130*Timing!U69</f>
        <v>61465654.0468537</v>
      </c>
      <c r="V131" s="23">
        <f>V130*Timing!V69</f>
        <v>61342722.73875999</v>
      </c>
      <c r="W131" s="23">
        <f>W130*Timing!W69</f>
        <v>61220037.293282464</v>
      </c>
      <c r="X131" s="23">
        <f>X130*Timing!X69</f>
        <v>61097597.2186959</v>
      </c>
      <c r="Y131" s="23">
        <f>Y130*Timing!Y69</f>
        <v>60975402.02425851</v>
      </c>
      <c r="Z131" s="23">
        <f>Z130*Timing!Z69</f>
        <v>60853451.22020999</v>
      </c>
      <c r="AA131" s="23">
        <f>AA130*Timing!AA69</f>
        <v>46422347.02645948</v>
      </c>
      <c r="AB131" s="23">
        <f>AB130*Timing!AB69</f>
        <v>0</v>
      </c>
      <c r="AC131" s="23">
        <f>AC130*Timing!AC69</f>
        <v>0</v>
      </c>
      <c r="AD131" s="23">
        <f>AD130*Timing!AD69</f>
        <v>0</v>
      </c>
      <c r="AE131" s="23">
        <f>AE130*Timing!AE69</f>
        <v>0</v>
      </c>
    </row>
    <row r="132">
      <c r="A132" s="6" t="inlineStr">
        <is>
          <t xml:space="preserve">Premium per kWh at the first AW</t>
        </is>
      </c>
      <c r="B132" s="10" t="inlineStr">
        <is>
          <t xml:space="preserve">€/kWh</t>
        </is>
      </c>
      <c r="F132" s="37">
        <f>IF($C$119=1,$C$124-F127,MAX(0,$C$124-F127))</f>
        <v>0</v>
      </c>
      <c r="G132" s="37">
        <f>IF($C$119=1,$C$124-G127,MAX(0,$C$124-G127))</f>
        <v>0</v>
      </c>
      <c r="H132" s="37">
        <f>IF($C$119=1,$C$124-H127,MAX(0,$C$124-H127))</f>
        <v>0</v>
      </c>
      <c r="I132" s="37">
        <f>IF($C$119=1,$C$124-I127,MAX(0,$C$124-I127))</f>
        <v>0</v>
      </c>
      <c r="J132" s="37">
        <f>IF($C$119=1,$C$124-J127,MAX(0,$C$124-J127))</f>
        <v>0</v>
      </c>
      <c r="K132" s="37">
        <f>IF($C$119=1,$C$124-K127,MAX(0,$C$124-K127))</f>
        <v>0</v>
      </c>
      <c r="L132" s="37">
        <f>IF($C$119=1,$C$124-L127,MAX(0,$C$124-L127))</f>
        <v>0</v>
      </c>
      <c r="M132" s="37">
        <f>IF($C$119=1,$C$124-M127,MAX(0,$C$124-M127))</f>
        <v>0</v>
      </c>
      <c r="N132" s="37">
        <f>IF($C$119=1,$C$124-N127,MAX(0,$C$124-N127))</f>
        <v>0</v>
      </c>
      <c r="O132" s="37">
        <f>IF($C$119=1,$C$124-O127,MAX(0,$C$124-O127))</f>
        <v>0</v>
      </c>
      <c r="P132" s="37">
        <f>IF($C$119=1,$C$124-P127,MAX(0,$C$124-P127))</f>
        <v>0</v>
      </c>
      <c r="Q132" s="37">
        <f>IF($C$119=1,$C$124-Q127,MAX(0,$C$124-Q127))</f>
        <v>0</v>
      </c>
      <c r="R132" s="37">
        <f>IF($C$119=1,$C$124-R127,MAX(0,$C$124-R127))</f>
        <v>0</v>
      </c>
      <c r="S132" s="37">
        <f>IF($C$119=1,$C$124-S127,MAX(0,$C$124-S127))</f>
        <v>0</v>
      </c>
      <c r="T132" s="37">
        <f>IF($C$119=1,$C$124-T127,MAX(0,$C$124-T127))</f>
        <v>0</v>
      </c>
      <c r="U132" s="37">
        <f>IF($C$119=1,$C$124-U127,MAX(0,$C$124-U127))</f>
        <v>0</v>
      </c>
      <c r="V132" s="37">
        <f>IF($C$119=1,$C$124-V127,MAX(0,$C$124-V127))</f>
        <v>0</v>
      </c>
      <c r="W132" s="37">
        <f>IF($C$119=1,$C$124-W127,MAX(0,$C$124-W127))</f>
        <v>0</v>
      </c>
      <c r="X132" s="37">
        <f>IF($C$119=1,$C$124-X127,MAX(0,$C$124-X127))</f>
        <v>0</v>
      </c>
      <c r="Y132" s="37">
        <f>IF($C$119=1,$C$124-Y127,MAX(0,$C$124-Y127))</f>
        <v>0</v>
      </c>
      <c r="Z132" s="37">
        <f>IF($C$119=1,$C$124-Z127,MAX(0,$C$124-Z127))</f>
        <v>0</v>
      </c>
      <c r="AA132" s="37">
        <f>IF($C$119=1,$C$124-AA127,MAX(0,$C$124-AA127))</f>
        <v>0</v>
      </c>
      <c r="AB132" s="37">
        <f>IF($C$119=1,$C$124-AB127,MAX(0,$C$124-AB127))</f>
        <v>0</v>
      </c>
      <c r="AC132" s="37">
        <f>IF($C$119=1,$C$124-AC127,MAX(0,$C$124-AC127))</f>
        <v>0</v>
      </c>
      <c r="AD132" s="37">
        <f>IF($C$119=1,$C$124-AD127,MAX(0,$C$124-AD127))</f>
        <v>0</v>
      </c>
      <c r="AE132" s="37">
        <f>IF($C$119=1,$C$124-AE127,MAX(0,$C$124-AE127))</f>
        <v>0</v>
      </c>
    </row>
    <row r="133">
      <c r="A133" s="6" t="inlineStr">
        <is>
          <t xml:space="preserve">Premium per kWh at the reviewed AW</t>
        </is>
      </c>
      <c r="B133" s="10" t="inlineStr">
        <is>
          <t xml:space="preserve">€/kWh</t>
        </is>
      </c>
      <c r="F133" s="37">
        <f>IF($C$119=1,$C$125-F127,MAX(0,$C$125-F127))</f>
        <v>0</v>
      </c>
      <c r="G133" s="37">
        <f>IF($C$119=1,$C$125-G127,MAX(0,$C$125-G127))</f>
        <v>0.001808000000000018</v>
      </c>
      <c r="H133" s="37">
        <f>IF($C$119=1,$C$125-H127,MAX(0,$C$125-H127))</f>
        <v>0.0026724724879999967</v>
      </c>
      <c r="I133" s="37">
        <f>IF($C$119=1,$C$125-I127,MAX(0,$C$125-I127))</f>
        <v>0.0013659219377600146</v>
      </c>
      <c r="J133" s="37">
        <f>IF($C$119=1,$C$125-J127,MAX(0,$C$125-J127))</f>
        <v>0.00003324037651521172</v>
      </c>
      <c r="K133" s="37">
        <f>IF($C$119=1,$C$125-K127,MAX(0,$C$125-K127))</f>
        <v>0</v>
      </c>
      <c r="L133" s="37">
        <f>IF($C$119=1,$C$125-L127,MAX(0,$C$125-L127))</f>
        <v>0</v>
      </c>
      <c r="M133" s="37">
        <f>IF($C$119=1,$C$125-M127,MAX(0,$C$125-M127))</f>
        <v>0</v>
      </c>
      <c r="N133" s="37">
        <f>IF($C$119=1,$C$125-N127,MAX(0,$C$125-N127))</f>
        <v>0</v>
      </c>
      <c r="O133" s="37">
        <f>IF($C$119=1,$C$125-O127,MAX(0,$C$125-O127))</f>
        <v>0</v>
      </c>
      <c r="P133" s="37">
        <f>IF($C$119=1,$C$125-P127,MAX(0,$C$125-P127))</f>
        <v>0</v>
      </c>
      <c r="Q133" s="37">
        <f>IF($C$119=1,$C$125-Q127,MAX(0,$C$125-Q127))</f>
        <v>0</v>
      </c>
      <c r="R133" s="37">
        <f>IF($C$119=1,$C$125-R127,MAX(0,$C$125-R127))</f>
        <v>0</v>
      </c>
      <c r="S133" s="37">
        <f>IF($C$119=1,$C$125-S127,MAX(0,$C$125-S127))</f>
        <v>0</v>
      </c>
      <c r="T133" s="37">
        <f>IF($C$119=1,$C$125-T127,MAX(0,$C$125-T127))</f>
        <v>0</v>
      </c>
      <c r="U133" s="37">
        <f>IF($C$119=1,$C$125-U127,MAX(0,$C$125-U127))</f>
        <v>0</v>
      </c>
      <c r="V133" s="37">
        <f>IF($C$119=1,$C$125-V127,MAX(0,$C$125-V127))</f>
        <v>0</v>
      </c>
      <c r="W133" s="37">
        <f>IF($C$119=1,$C$125-W127,MAX(0,$C$125-W127))</f>
        <v>0</v>
      </c>
      <c r="X133" s="37">
        <f>IF($C$119=1,$C$125-X127,MAX(0,$C$125-X127))</f>
        <v>0</v>
      </c>
      <c r="Y133" s="37">
        <f>IF($C$119=1,$C$125-Y127,MAX(0,$C$125-Y127))</f>
        <v>0</v>
      </c>
      <c r="Z133" s="37">
        <f>IF($C$119=1,$C$125-Z127,MAX(0,$C$125-Z127))</f>
        <v>0</v>
      </c>
      <c r="AA133" s="37">
        <f>IF($C$119=1,$C$125-AA127,MAX(0,$C$125-AA127))</f>
        <v>0</v>
      </c>
      <c r="AB133" s="37">
        <f>IF($C$119=1,$C$125-AB127,MAX(0,$C$125-AB127))</f>
        <v>0</v>
      </c>
      <c r="AC133" s="37">
        <f>IF($C$119=1,$C$125-AC127,MAX(0,$C$125-AC127))</f>
        <v>0</v>
      </c>
      <c r="AD133" s="37">
        <f>IF($C$119=1,$C$125-AD127,MAX(0,$C$125-AD127))</f>
        <v>0</v>
      </c>
      <c r="AE133" s="37">
        <f>IF($C$119=1,$C$125-AE127,MAX(0,$C$125-AE127))</f>
        <v>0</v>
      </c>
    </row>
    <row r="134">
      <c r="A134" s="6" t="inlineStr">
        <is>
          <t xml:space="preserve">Market premium per kWh (Anlage 1 EEG)</t>
        </is>
      </c>
      <c r="B134" s="10" t="inlineStr">
        <is>
          <t xml:space="preserve">€/kWh</t>
        </is>
      </c>
      <c r="F134" s="37">
        <f>Timing!F77*F132+(Timing!F78+Timing!F79+Timing!F80)*F133</f>
        <v>0</v>
      </c>
      <c r="G134" s="37">
        <f>Timing!G77*G132+(Timing!G78+Timing!G79+Timing!G80)*G133</f>
        <v>0</v>
      </c>
      <c r="H134" s="37">
        <f>Timing!H77*H132+(Timing!H78+Timing!H79+Timing!H80)*H133</f>
        <v>0</v>
      </c>
      <c r="I134" s="37">
        <f>Timing!I77*I132+(Timing!I78+Timing!I79+Timing!I80)*I133</f>
        <v>0</v>
      </c>
      <c r="J134" s="37">
        <f>Timing!J77*J132+(Timing!J78+Timing!J79+Timing!J80)*J133</f>
        <v>0</v>
      </c>
      <c r="K134" s="37">
        <f>Timing!K77*K132+(Timing!K78+Timing!K79+Timing!K80)*K133</f>
        <v>0</v>
      </c>
      <c r="L134" s="37">
        <f>Timing!L77*L132+(Timing!L78+Timing!L79+Timing!L80)*L133</f>
        <v>0</v>
      </c>
      <c r="M134" s="37">
        <f>Timing!M77*M132+(Timing!M78+Timing!M79+Timing!M80)*M133</f>
        <v>0</v>
      </c>
      <c r="N134" s="37">
        <f>Timing!N77*N132+(Timing!N78+Timing!N79+Timing!N80)*N133</f>
        <v>0</v>
      </c>
      <c r="O134" s="37">
        <f>Timing!O77*O132+(Timing!O78+Timing!O79+Timing!O80)*O133</f>
        <v>0</v>
      </c>
      <c r="P134" s="37">
        <f>Timing!P77*P132+(Timing!P78+Timing!P79+Timing!P80)*P133</f>
        <v>0</v>
      </c>
      <c r="Q134" s="37">
        <f>Timing!Q77*Q132+(Timing!Q78+Timing!Q79+Timing!Q80)*Q133</f>
        <v>0</v>
      </c>
      <c r="R134" s="37">
        <f>Timing!R77*R132+(Timing!R78+Timing!R79+Timing!R80)*R133</f>
        <v>0</v>
      </c>
      <c r="S134" s="37">
        <f>Timing!S77*S132+(Timing!S78+Timing!S79+Timing!S80)*S133</f>
        <v>0</v>
      </c>
      <c r="T134" s="37">
        <f>Timing!T77*T132+(Timing!T78+Timing!T79+Timing!T80)*T133</f>
        <v>0</v>
      </c>
      <c r="U134" s="37">
        <f>Timing!U77*U132+(Timing!U78+Timing!U79+Timing!U80)*U133</f>
        <v>0</v>
      </c>
      <c r="V134" s="37">
        <f>Timing!V77*V132+(Timing!V78+Timing!V79+Timing!V80)*V133</f>
        <v>0</v>
      </c>
      <c r="W134" s="37">
        <f>Timing!W77*W132+(Timing!W78+Timing!W79+Timing!W80)*W133</f>
        <v>0</v>
      </c>
      <c r="X134" s="37">
        <f>Timing!X77*X132+(Timing!X78+Timing!X79+Timing!X80)*X133</f>
        <v>0</v>
      </c>
      <c r="Y134" s="37">
        <f>Timing!Y77*Y132+(Timing!Y78+Timing!Y79+Timing!Y80)*Y133</f>
        <v>0</v>
      </c>
      <c r="Z134" s="37">
        <f>Timing!Z77*Z132+(Timing!Z78+Timing!Z79+Timing!Z80)*Z133</f>
        <v>0</v>
      </c>
      <c r="AA134" s="37">
        <f>Timing!AA77*AA132+(Timing!AA78+Timing!AA79+Timing!AA80)*AA133</f>
        <v>0</v>
      </c>
      <c r="AB134" s="37">
        <f>Timing!AB77*AB132+(Timing!AB78+Timing!AB79+Timing!AB80)*AB133</f>
        <v>0</v>
      </c>
      <c r="AC134" s="37">
        <f>Timing!AC77*AC132+(Timing!AC78+Timing!AC79+Timing!AC80)*AC133</f>
        <v>0</v>
      </c>
      <c r="AD134" s="37">
        <f>Timing!AD77*AD132+(Timing!AD78+Timing!AD79+Timing!AD80)*AD133</f>
        <v>0</v>
      </c>
      <c r="AE134" s="37">
        <f>Timing!AE77*AE132+(Timing!AE78+Timing!AE79+Timing!AE80)*AE133</f>
        <v>0</v>
      </c>
    </row>
    <row r="135">
      <c r="A135" s="6" t="inlineStr">
        <is>
          <t xml:space="preserve">Advance per kWh (previous year's market value, never negative)</t>
        </is>
      </c>
      <c r="B135" s="10" t="inlineStr">
        <is>
          <t xml:space="preserve">€/kWh</t>
        </is>
      </c>
      <c r="F135" s="37">
        <f>Timing!F77*MAX(0,$C$124-F128)+(Timing!F78+Timing!F79+Timing!F80)*MAX(0,$C$125-F128)</f>
        <v>0</v>
      </c>
      <c r="G135" s="37">
        <f>Timing!G77*MAX(0,$C$124-G128)+(Timing!G78+Timing!G79+Timing!G80)*MAX(0,$C$125-G128)</f>
        <v>0</v>
      </c>
      <c r="H135" s="37">
        <f>Timing!H77*MAX(0,$C$124-H128)+(Timing!H78+Timing!H79+Timing!H80)*MAX(0,$C$125-H128)</f>
        <v>0</v>
      </c>
      <c r="I135" s="37">
        <f>Timing!I77*MAX(0,$C$124-I128)+(Timing!I78+Timing!I79+Timing!I80)*MAX(0,$C$125-I128)</f>
        <v>0</v>
      </c>
      <c r="J135" s="37">
        <f>Timing!J77*MAX(0,$C$124-J128)+(Timing!J78+Timing!J79+Timing!J80)*MAX(0,$C$125-J128)</f>
        <v>0</v>
      </c>
      <c r="K135" s="37">
        <f>Timing!K77*MAX(0,$C$124-K128)+(Timing!K78+Timing!K79+Timing!K80)*MAX(0,$C$125-K128)</f>
        <v>0.000016756792544654677</v>
      </c>
      <c r="L135" s="37">
        <f>Timing!L77*MAX(0,$C$124-L128)+(Timing!L78+Timing!L79+Timing!L80)*MAX(0,$C$125-L128)</f>
        <v>0</v>
      </c>
      <c r="M135" s="37">
        <f>Timing!M77*MAX(0,$C$124-M128)+(Timing!M78+Timing!M79+Timing!M80)*MAX(0,$C$125-M128)</f>
        <v>0</v>
      </c>
      <c r="N135" s="37">
        <f>Timing!N77*MAX(0,$C$124-N128)+(Timing!N78+Timing!N79+Timing!N80)*MAX(0,$C$125-N128)</f>
        <v>0</v>
      </c>
      <c r="O135" s="37">
        <f>Timing!O77*MAX(0,$C$124-O128)+(Timing!O78+Timing!O79+Timing!O80)*MAX(0,$C$125-O128)</f>
        <v>0</v>
      </c>
      <c r="P135" s="37">
        <f>Timing!P77*MAX(0,$C$124-P128)+(Timing!P78+Timing!P79+Timing!P80)*MAX(0,$C$125-P128)</f>
        <v>0</v>
      </c>
      <c r="Q135" s="37">
        <f>Timing!Q77*MAX(0,$C$124-Q128)+(Timing!Q78+Timing!Q79+Timing!Q80)*MAX(0,$C$125-Q128)</f>
        <v>0</v>
      </c>
      <c r="R135" s="37">
        <f>Timing!R77*MAX(0,$C$124-R128)+(Timing!R78+Timing!R79+Timing!R80)*MAX(0,$C$125-R128)</f>
        <v>0</v>
      </c>
      <c r="S135" s="37">
        <f>Timing!S77*MAX(0,$C$124-S128)+(Timing!S78+Timing!S79+Timing!S80)*MAX(0,$C$125-S128)</f>
        <v>0</v>
      </c>
      <c r="T135" s="37">
        <f>Timing!T77*MAX(0,$C$124-T128)+(Timing!T78+Timing!T79+Timing!T80)*MAX(0,$C$125-T128)</f>
        <v>0</v>
      </c>
      <c r="U135" s="37">
        <f>Timing!U77*MAX(0,$C$124-U128)+(Timing!U78+Timing!U79+Timing!U80)*MAX(0,$C$125-U128)</f>
        <v>0</v>
      </c>
      <c r="V135" s="37">
        <f>Timing!V77*MAX(0,$C$124-V128)+(Timing!V78+Timing!V79+Timing!V80)*MAX(0,$C$125-V128)</f>
        <v>0</v>
      </c>
      <c r="W135" s="37">
        <f>Timing!W77*MAX(0,$C$124-W128)+(Timing!W78+Timing!W79+Timing!W80)*MAX(0,$C$125-W128)</f>
        <v>0</v>
      </c>
      <c r="X135" s="37">
        <f>Timing!X77*MAX(0,$C$124-X128)+(Timing!X78+Timing!X79+Timing!X80)*MAX(0,$C$125-X128)</f>
        <v>0</v>
      </c>
      <c r="Y135" s="37">
        <f>Timing!Y77*MAX(0,$C$124-Y128)+(Timing!Y78+Timing!Y79+Timing!Y80)*MAX(0,$C$125-Y128)</f>
        <v>0</v>
      </c>
      <c r="Z135" s="37">
        <f>Timing!Z77*MAX(0,$C$124-Z128)+(Timing!Z78+Timing!Z79+Timing!Z80)*MAX(0,$C$125-Z128)</f>
        <v>0</v>
      </c>
      <c r="AA135" s="37">
        <f>Timing!AA77*MAX(0,$C$124-AA128)+(Timing!AA78+Timing!AA79+Timing!AA80)*MAX(0,$C$125-AA128)</f>
        <v>0</v>
      </c>
      <c r="AB135" s="37">
        <f>Timing!AB77*MAX(0,$C$124-AB128)+(Timing!AB78+Timing!AB79+Timing!AB80)*MAX(0,$C$125-AB128)</f>
        <v>0</v>
      </c>
      <c r="AC135" s="37">
        <f>Timing!AC77*MAX(0,$C$124-AC128)+(Timing!AC78+Timing!AC79+Timing!AC80)*MAX(0,$C$125-AC128)</f>
        <v>0</v>
      </c>
      <c r="AD135" s="37">
        <f>Timing!AD77*MAX(0,$C$124-AD128)+(Timing!AD78+Timing!AD79+Timing!AD80)*MAX(0,$C$125-AD128)</f>
        <v>0</v>
      </c>
      <c r="AE135" s="37">
        <f>Timing!AE77*MAX(0,$C$124-AE128)+(Timing!AE78+Timing!AE79+Timing!AE80)*MAX(0,$C$125-AE128)</f>
        <v>0</v>
      </c>
    </row>
    <row r="136">
      <c r="A136" s="6" t="inlineStr">
        <is>
          <t xml:space="preserve">Share of support days with a positive premium</t>
        </is>
      </c>
      <c r="F136" s="21">
        <f>Timing!F77*IF(F132&gt;0,1,0)+(Timing!F78+Timing!F79+Timing!F80)*IF(F133&gt;0,1,0)</f>
        <v>0</v>
      </c>
      <c r="G136" s="21">
        <f>Timing!G77*IF(G132&gt;0,1,0)+(Timing!G78+Timing!G79+Timing!G80)*IF(G133&gt;0,1,0)</f>
        <v>0</v>
      </c>
      <c r="H136" s="21">
        <f>Timing!H77*IF(H132&gt;0,1,0)+(Timing!H78+Timing!H79+Timing!H80)*IF(H133&gt;0,1,0)</f>
        <v>0</v>
      </c>
      <c r="I136" s="21">
        <f>Timing!I77*IF(I132&gt;0,1,0)+(Timing!I78+Timing!I79+Timing!I80)*IF(I133&gt;0,1,0)</f>
        <v>0</v>
      </c>
      <c r="J136" s="21">
        <f>Timing!J77*IF(J132&gt;0,1,0)+(Timing!J78+Timing!J79+Timing!J80)*IF(J133&gt;0,1,0)</f>
        <v>0</v>
      </c>
      <c r="K136" s="21">
        <f>Timing!K77*IF(K132&gt;0,1,0)+(Timing!K78+Timing!K79+Timing!K80)*IF(K133&gt;0,1,0)</f>
        <v>0</v>
      </c>
      <c r="L136" s="21">
        <f>Timing!L77*IF(L132&gt;0,1,0)+(Timing!L78+Timing!L79+Timing!L80)*IF(L133&gt;0,1,0)</f>
        <v>0</v>
      </c>
      <c r="M136" s="21">
        <f>Timing!M77*IF(M132&gt;0,1,0)+(Timing!M78+Timing!M79+Timing!M80)*IF(M133&gt;0,1,0)</f>
        <v>0</v>
      </c>
      <c r="N136" s="21">
        <f>Timing!N77*IF(N132&gt;0,1,0)+(Timing!N78+Timing!N79+Timing!N80)*IF(N133&gt;0,1,0)</f>
        <v>0</v>
      </c>
      <c r="O136" s="21">
        <f>Timing!O77*IF(O132&gt;0,1,0)+(Timing!O78+Timing!O79+Timing!O80)*IF(O133&gt;0,1,0)</f>
        <v>0</v>
      </c>
      <c r="P136" s="21">
        <f>Timing!P77*IF(P132&gt;0,1,0)+(Timing!P78+Timing!P79+Timing!P80)*IF(P133&gt;0,1,0)</f>
        <v>0</v>
      </c>
      <c r="Q136" s="21">
        <f>Timing!Q77*IF(Q132&gt;0,1,0)+(Timing!Q78+Timing!Q79+Timing!Q80)*IF(Q133&gt;0,1,0)</f>
        <v>0</v>
      </c>
      <c r="R136" s="21">
        <f>Timing!R77*IF(R132&gt;0,1,0)+(Timing!R78+Timing!R79+Timing!R80)*IF(R133&gt;0,1,0)</f>
        <v>0</v>
      </c>
      <c r="S136" s="21">
        <f>Timing!S77*IF(S132&gt;0,1,0)+(Timing!S78+Timing!S79+Timing!S80)*IF(S133&gt;0,1,0)</f>
        <v>0</v>
      </c>
      <c r="T136" s="21">
        <f>Timing!T77*IF(T132&gt;0,1,0)+(Timing!T78+Timing!T79+Timing!T80)*IF(T133&gt;0,1,0)</f>
        <v>0</v>
      </c>
      <c r="U136" s="21">
        <f>Timing!U77*IF(U132&gt;0,1,0)+(Timing!U78+Timing!U79+Timing!U80)*IF(U133&gt;0,1,0)</f>
        <v>0</v>
      </c>
      <c r="V136" s="21">
        <f>Timing!V77*IF(V132&gt;0,1,0)+(Timing!V78+Timing!V79+Timing!V80)*IF(V133&gt;0,1,0)</f>
        <v>0</v>
      </c>
      <c r="W136" s="21">
        <f>Timing!W77*IF(W132&gt;0,1,0)+(Timing!W78+Timing!W79+Timing!W80)*IF(W133&gt;0,1,0)</f>
        <v>0</v>
      </c>
      <c r="X136" s="21">
        <f>Timing!X77*IF(X132&gt;0,1,0)+(Timing!X78+Timing!X79+Timing!X80)*IF(X133&gt;0,1,0)</f>
        <v>0</v>
      </c>
      <c r="Y136" s="21">
        <f>Timing!Y77*IF(Y132&gt;0,1,0)+(Timing!Y78+Timing!Y79+Timing!Y80)*IF(Y133&gt;0,1,0)</f>
        <v>0</v>
      </c>
      <c r="Z136" s="21">
        <f>Timing!Z77*IF(Z132&gt;0,1,0)+(Timing!Z78+Timing!Z79+Timing!Z80)*IF(Z133&gt;0,1,0)</f>
        <v>0</v>
      </c>
      <c r="AA136" s="21">
        <f>Timing!AA77*IF(AA132&gt;0,1,0)+(Timing!AA78+Timing!AA79+Timing!AA80)*IF(AA133&gt;0,1,0)</f>
        <v>0</v>
      </c>
      <c r="AB136" s="21">
        <f>Timing!AB77*IF(AB132&gt;0,1,0)+(Timing!AB78+Timing!AB79+Timing!AB80)*IF(AB133&gt;0,1,0)</f>
        <v>0</v>
      </c>
      <c r="AC136" s="21">
        <f>Timing!AC77*IF(AC132&gt;0,1,0)+(Timing!AC78+Timing!AC79+Timing!AC80)*IF(AC133&gt;0,1,0)</f>
        <v>0</v>
      </c>
      <c r="AD136" s="21">
        <f>Timing!AD77*IF(AD132&gt;0,1,0)+(Timing!AD78+Timing!AD79+Timing!AD80)*IF(AD133&gt;0,1,0)</f>
        <v>0</v>
      </c>
      <c r="AE136" s="21">
        <f>Timing!AE77*IF(AE132&gt;0,1,0)+(Timing!AE78+Timing!AE79+Timing!AE80)*IF(AE133&gt;0,1,0)</f>
        <v>0</v>
      </c>
    </row>
    <row r="137">
      <c r="A137" s="6" t="inlineStr">
        <is>
          <t xml:space="preserve">AW in force (day-weighted)</t>
        </is>
      </c>
      <c r="B137" s="10" t="inlineStr">
        <is>
          <t xml:space="preserve">€/kWh</t>
        </is>
      </c>
      <c r="F137" s="37">
        <f>IF(Timing!F69&gt;0,Timing!F77*$C$124+(Timing!F78+Timing!F79+Timing!F80)*$C$125,$C$125)</f>
        <v>0.063</v>
      </c>
      <c r="G137" s="37">
        <f>IF(Timing!G69&gt;0,Timing!G77*$C$124+(Timing!G78+Timing!G79+Timing!G80)*$C$125,$C$125)</f>
        <v>0.063</v>
      </c>
      <c r="H137" s="37">
        <f>IF(Timing!H69&gt;0,Timing!H77*$C$124+(Timing!H78+Timing!H79+Timing!H80)*$C$125,$C$125)</f>
        <v>0.063</v>
      </c>
      <c r="I137" s="37">
        <f>IF(Timing!I69&gt;0,Timing!I77*$C$124+(Timing!I78+Timing!I79+Timing!I80)*$C$125,$C$125)</f>
        <v>0.063</v>
      </c>
      <c r="J137" s="37">
        <f>IF(Timing!J69&gt;0,Timing!J77*$C$124+(Timing!J78+Timing!J79+Timing!J80)*$C$125,$C$125)</f>
        <v>0.063</v>
      </c>
      <c r="K137" s="37">
        <f>IF(Timing!K69&gt;0,Timing!K77*$C$124+(Timing!K78+Timing!K79+Timing!K80)*$C$125,$C$125)</f>
        <v>0.06552054794520548</v>
      </c>
      <c r="L137" s="37">
        <f>IF(Timing!L69&gt;0,Timing!L77*$C$124+(Timing!L78+Timing!L79+Timing!L80)*$C$125,$C$125)</f>
        <v>0.068</v>
      </c>
      <c r="M137" s="37">
        <f>IF(Timing!M69&gt;0,Timing!M77*$C$124+(Timing!M78+Timing!M79+Timing!M80)*$C$125,$C$125)</f>
        <v>0.068</v>
      </c>
      <c r="N137" s="37">
        <f>IF(Timing!N69&gt;0,Timing!N77*$C$124+(Timing!N78+Timing!N79+Timing!N80)*$C$125,$C$125)</f>
        <v>0.068</v>
      </c>
      <c r="O137" s="37">
        <f>IF(Timing!O69&gt;0,Timing!O77*$C$124+(Timing!O78+Timing!O79+Timing!O80)*$C$125,$C$125)</f>
        <v>0.068</v>
      </c>
      <c r="P137" s="37">
        <f>IF(Timing!P69&gt;0,Timing!P77*$C$124+(Timing!P78+Timing!P79+Timing!P80)*$C$125,$C$125)</f>
        <v>0.068</v>
      </c>
      <c r="Q137" s="37">
        <f>IF(Timing!Q69&gt;0,Timing!Q77*$C$124+(Timing!Q78+Timing!Q79+Timing!Q80)*$C$125,$C$125)</f>
        <v>0.068</v>
      </c>
      <c r="R137" s="37">
        <f>IF(Timing!R69&gt;0,Timing!R77*$C$124+(Timing!R78+Timing!R79+Timing!R80)*$C$125,$C$125)</f>
        <v>0.068</v>
      </c>
      <c r="S137" s="37">
        <f>IF(Timing!S69&gt;0,Timing!S77*$C$124+(Timing!S78+Timing!S79+Timing!S80)*$C$125,$C$125)</f>
        <v>0.068</v>
      </c>
      <c r="T137" s="37">
        <f>IF(Timing!T69&gt;0,Timing!T77*$C$124+(Timing!T78+Timing!T79+Timing!T80)*$C$125,$C$125)</f>
        <v>0.068</v>
      </c>
      <c r="U137" s="37">
        <f>IF(Timing!U69&gt;0,Timing!U77*$C$124+(Timing!U78+Timing!U79+Timing!U80)*$C$125,$C$125)</f>
        <v>0.068</v>
      </c>
      <c r="V137" s="37">
        <f>IF(Timing!V69&gt;0,Timing!V77*$C$124+(Timing!V78+Timing!V79+Timing!V80)*$C$125,$C$125)</f>
        <v>0.068</v>
      </c>
      <c r="W137" s="37">
        <f>IF(Timing!W69&gt;0,Timing!W77*$C$124+(Timing!W78+Timing!W79+Timing!W80)*$C$125,$C$125)</f>
        <v>0.068</v>
      </c>
      <c r="X137" s="37">
        <f>IF(Timing!X69&gt;0,Timing!X77*$C$124+(Timing!X78+Timing!X79+Timing!X80)*$C$125,$C$125)</f>
        <v>0.068</v>
      </c>
      <c r="Y137" s="37">
        <f>IF(Timing!Y69&gt;0,Timing!Y77*$C$124+(Timing!Y78+Timing!Y79+Timing!Y80)*$C$125,$C$125)</f>
        <v>0.068</v>
      </c>
      <c r="Z137" s="37">
        <f>IF(Timing!Z69&gt;0,Timing!Z77*$C$124+(Timing!Z78+Timing!Z79+Timing!Z80)*$C$125,$C$125)</f>
        <v>0.068</v>
      </c>
      <c r="AA137" s="37">
        <f>IF(Timing!AA69&gt;0,Timing!AA77*$C$124+(Timing!AA78+Timing!AA79+Timing!AA80)*$C$125,$C$125)</f>
        <v>0.068</v>
      </c>
      <c r="AB137" s="37">
        <f>IF(Timing!AB69&gt;0,Timing!AB77*$C$124+(Timing!AB78+Timing!AB79+Timing!AB80)*$C$125,$C$125)</f>
        <v>0.068</v>
      </c>
      <c r="AC137" s="37">
        <f>IF(Timing!AC69&gt;0,Timing!AC77*$C$124+(Timing!AC78+Timing!AC79+Timing!AC80)*$C$125,$C$125)</f>
        <v>0.068</v>
      </c>
      <c r="AD137" s="37">
        <f>IF(Timing!AD69&gt;0,Timing!AD77*$C$124+(Timing!AD78+Timing!AD79+Timing!AD80)*$C$125,$C$125)</f>
        <v>0.068</v>
      </c>
      <c r="AE137" s="37">
        <f>IF(Timing!AE69&gt;0,Timing!AE77*$C$124+(Timing!AE78+Timing!AE79+Timing!AE80)*$C$125,$C$125)</f>
        <v>0.068</v>
      </c>
    </row>
    <row r="138">
      <c r="A138" s="6" t="inlineStr">
        <is>
          <t xml:space="preserve">Revenue: market (floor case: up to the AW on output sold)</t>
        </is>
      </c>
      <c r="B138" s="10" t="inlineStr">
        <is>
          <t xml:space="preserve">€</t>
        </is>
      </c>
      <c r="F138" s="23">
        <f>IF($C$118=1,F130*Timing!F69*(Timing!F77*MIN(F127,$C$124)+(Timing!F78+Timing!F79+Timing!F80)*MIN(F127,$C$125)),F129*F127*Timing!F69)</f>
        <v>2651465.404779349</v>
      </c>
      <c r="G138" s="23">
        <f>IF($C$118=1,G130*Timing!G69*(Timing!G77*MIN(G127,$C$124)+(Timing!G78+Timing!G79+Timing!G80)*MIN(G127,$C$125)),G129*G127*Timing!G69)</f>
        <v>4404400.745591457</v>
      </c>
      <c r="H138" s="23">
        <f>IF($C$118=1,H130*Timing!H69*(Timing!H77*MIN(H127,$C$124)+(Timing!H78+Timing!H79+Timing!H80)*MIN(H127,$C$125)),H129*H127*Timing!H69)</f>
        <v>4338185.183401865</v>
      </c>
      <c r="I138" s="23">
        <f>IF($C$118=1,I130*Timing!I69*(Timing!I77*MIN(I127,$C$124)+(Timing!I78+Timing!I79+Timing!I80)*MIN(I127,$C$125)),I129*I127*Timing!I69)</f>
        <v>4416098.989295762</v>
      </c>
      <c r="J138" s="23">
        <f>IF($C$118=1,J130*Timing!J69*(Timing!J77*MIN(J127,$C$124)+(Timing!J78+Timing!J79+Timing!J80)*MIN(J127,$C$125)),J129*J127*Timing!J69)</f>
        <v>4495412.127143514</v>
      </c>
      <c r="K138" s="23">
        <f>IF($C$118=1,K130*Timing!K69*(Timing!K77*MIN(K127,$C$124)+(Timing!K78+Timing!K79+Timing!K80)*MIN(K127,$C$125)),K129*K127*Timing!K69)</f>
        <v>4576149.728947013</v>
      </c>
      <c r="L138" s="23">
        <f>IF($C$118=1,L130*Timing!L69*(Timing!L77*MIN(L127,$C$124)+(Timing!L78+Timing!L79+Timing!L80)*MIN(L127,$C$125)),L129*L127*Timing!L69)</f>
        <v>4658337.3780789</v>
      </c>
      <c r="M138" s="23">
        <f>IF($C$118=1,M130*Timing!M69*(Timing!M77*MIN(M127,$C$124)+(Timing!M78+Timing!M79+Timing!M80)*MIN(M127,$C$125)),M129*M127*Timing!M69)</f>
        <v>4742001.1173891965</v>
      </c>
      <c r="N138" s="23">
        <f>IF($C$118=1,N130*Timing!N69*(Timing!N77*MIN(N127,$C$124)+(Timing!N78+Timing!N79+Timing!N80)*MIN(N127,$C$125)),N129*N127*Timing!N69)</f>
        <v>4827167.457457507</v>
      </c>
      <c r="O138" s="23">
        <f>IF($C$118=1,O130*Timing!O69*(Timing!O77*MIN(O127,$C$124)+(Timing!O78+Timing!O79+Timing!O80)*MIN(O127,$C$125)),O129*O127*Timing!O69)</f>
        <v>4913863.384993445</v>
      </c>
      <c r="P138" s="23">
        <f>IF($C$118=1,P130*Timing!P69*(Timing!P77*MIN(P127,$C$124)+(Timing!P78+Timing!P79+Timing!P80)*MIN(P127,$C$125)),P129*P127*Timing!P69)</f>
        <v>5002116.371387926</v>
      </c>
      <c r="Q138" s="23">
        <f>IF($C$118=1,Q130*Timing!Q69*(Timing!Q77*MIN(Q127,$C$124)+(Timing!Q78+Timing!Q79+Timing!Q80)*MIN(Q127,$C$125)),Q129*Q127*Timing!Q69)</f>
        <v>5091954.381418053</v>
      </c>
      <c r="R138" s="23">
        <f>IF($C$118=1,R130*Timing!R69*(Timing!R77*MIN(R127,$C$124)+(Timing!R78+Timing!R79+Timing!R80)*MIN(R127,$C$125)),R129*R127*Timing!R69)</f>
        <v>5183405.882108321</v>
      </c>
      <c r="S138" s="23">
        <f>IF($C$118=1,S130*Timing!S69*(Timing!S77*MIN(S127,$C$124)+(Timing!S78+Timing!S79+Timing!S80)*MIN(S127,$C$125)),S129*S127*Timing!S69)</f>
        <v>5276499.851750988</v>
      </c>
      <c r="T138" s="23">
        <f>IF($C$118=1,T130*Timing!T69*(Timing!T77*MIN(T127,$C$124)+(Timing!T78+Timing!T79+Timing!T80)*MIN(T127,$C$125)),T129*T127*Timing!T69)</f>
        <v>5371265.789088435</v>
      </c>
      <c r="U138" s="23">
        <f>IF($C$118=1,U130*Timing!U69*(Timing!U77*MIN(U127,$C$124)+(Timing!U78+Timing!U79+Timing!U80)*MIN(U127,$C$125)),U129*U127*Timing!U69)</f>
        <v>5467733.722660462</v>
      </c>
      <c r="V138" s="23">
        <f>IF($C$118=1,V130*Timing!V69*(Timing!V77*MIN(V127,$C$124)+(Timing!V78+Timing!V79+Timing!V80)*MIN(V127,$C$125)),V129*V127*Timing!V69)</f>
        <v>5565934.220319444</v>
      </c>
      <c r="W138" s="23">
        <f>IF($C$118=1,W130*Timing!W69*(Timing!W77*MIN(W127,$C$124)+(Timing!W78+Timing!W79+Timing!W80)*MIN(W127,$C$125)),W129*W127*Timing!W69)</f>
        <v>5665898.398916381</v>
      </c>
      <c r="X138" s="23">
        <f>IF($C$118=1,X130*Timing!X69*(Timing!X77*MIN(X127,$C$124)+(Timing!X78+Timing!X79+Timing!X80)*MIN(X127,$C$125)),X129*X127*Timing!X69)</f>
        <v>5767657.93416092</v>
      </c>
      <c r="Y138" s="23">
        <f>IF($C$118=1,Y130*Timing!Y69*(Timing!Y77*MIN(Y127,$C$124)+(Timing!Y78+Timing!Y79+Timing!Y80)*MIN(Y127,$C$125)),Y129*Y127*Timing!Y69)</f>
        <v>5871245.07065845</v>
      </c>
      <c r="Z138" s="23">
        <f>IF($C$118=1,Z130*Timing!Z69*(Timing!Z77*MIN(Z127,$C$124)+(Timing!Z78+Timing!Z79+Timing!Z80)*MIN(Z127,$C$125)),Z129*Z127*Timing!Z69)</f>
        <v>5976692.632127477</v>
      </c>
      <c r="AA138" s="23">
        <f>IF($C$118=1,AA130*Timing!AA69*(Timing!AA77*MIN(AA127,$C$124)+(Timing!AA78+Timing!AA79+Timing!AA80)*MIN(AA127,$C$125)),AA129*AA127*Timing!AA69)</f>
        <v>4650535.60238996</v>
      </c>
      <c r="AB138" s="23">
        <f>IF($C$118=1,AB130*Timing!AB69*(Timing!AB77*MIN(AB127,$C$124)+(Timing!AB78+Timing!AB79+Timing!AB80)*MIN(AB127,$C$125)),AB129*AB127*Timing!AB69)</f>
        <v>0</v>
      </c>
      <c r="AC138" s="23">
        <f>IF($C$118=1,AC130*Timing!AC69*(Timing!AC77*MIN(AC127,$C$124)+(Timing!AC78+Timing!AC79+Timing!AC80)*MIN(AC127,$C$125)),AC129*AC127*Timing!AC69)</f>
        <v>0</v>
      </c>
      <c r="AD138" s="23">
        <f>IF($C$118=1,AD130*Timing!AD69*(Timing!AD77*MIN(AD127,$C$124)+(Timing!AD78+Timing!AD79+Timing!AD80)*MIN(AD127,$C$125)),AD129*AD127*Timing!AD69)</f>
        <v>0</v>
      </c>
      <c r="AE138" s="23">
        <f>IF($C$118=1,AE130*Timing!AE69*(Timing!AE77*MIN(AE127,$C$124)+(Timing!AE78+Timing!AE79+Timing!AE80)*MIN(AE127,$C$125)),AE129*AE127*Timing!AE69)</f>
        <v>0</v>
      </c>
    </row>
    <row r="139">
      <c r="A139" s="6" t="inlineStr">
        <is>
          <t xml:space="preserve">Revenue: market premium for the year</t>
        </is>
      </c>
      <c r="B139" s="10" t="inlineStr">
        <is>
          <t xml:space="preserve">€</t>
        </is>
      </c>
      <c r="F139" s="23">
        <f>F131*F134</f>
        <v>0</v>
      </c>
      <c r="G139" s="23">
        <f>G131*G134</f>
        <v>0</v>
      </c>
      <c r="H139" s="23">
        <f>H131*H134</f>
        <v>0</v>
      </c>
      <c r="I139" s="23">
        <f>I131*I134</f>
        <v>0</v>
      </c>
      <c r="J139" s="23">
        <f>J131*J134</f>
        <v>0</v>
      </c>
      <c r="K139" s="23">
        <f>K131*K134</f>
        <v>0</v>
      </c>
      <c r="L139" s="23">
        <f>L131*L134</f>
        <v>0</v>
      </c>
      <c r="M139" s="23">
        <f>M131*M134</f>
        <v>0</v>
      </c>
      <c r="N139" s="23">
        <f>N131*N134</f>
        <v>0</v>
      </c>
      <c r="O139" s="23">
        <f>O131*O134</f>
        <v>0</v>
      </c>
      <c r="P139" s="23">
        <f>P131*P134</f>
        <v>0</v>
      </c>
      <c r="Q139" s="23">
        <f>Q131*Q134</f>
        <v>0</v>
      </c>
      <c r="R139" s="23">
        <f>R131*R134</f>
        <v>0</v>
      </c>
      <c r="S139" s="23">
        <f>S131*S134</f>
        <v>0</v>
      </c>
      <c r="T139" s="23">
        <f>T131*T134</f>
        <v>0</v>
      </c>
      <c r="U139" s="23">
        <f>U131*U134</f>
        <v>0</v>
      </c>
      <c r="V139" s="23">
        <f>V131*V134</f>
        <v>0</v>
      </c>
      <c r="W139" s="23">
        <f>W131*W134</f>
        <v>0</v>
      </c>
      <c r="X139" s="23">
        <f>X131*X134</f>
        <v>0</v>
      </c>
      <c r="Y139" s="23">
        <f>Y131*Y134</f>
        <v>0</v>
      </c>
      <c r="Z139" s="23">
        <f>Z131*Z134</f>
        <v>0</v>
      </c>
      <c r="AA139" s="23">
        <f>AA131*AA134</f>
        <v>0</v>
      </c>
      <c r="AB139" s="23">
        <f>AB131*AB134</f>
        <v>0</v>
      </c>
      <c r="AC139" s="23">
        <f>AC131*AC134</f>
        <v>0</v>
      </c>
      <c r="AD139" s="23">
        <f>AD131*AD134</f>
        <v>0</v>
      </c>
      <c r="AE139" s="23">
        <f>AE131*AE134</f>
        <v>0</v>
      </c>
    </row>
    <row r="140">
      <c r="A140" s="6" t="inlineStr">
        <is>
          <t xml:space="preserve">§ 36h: first five years paid again at the reviewed AW</t>
        </is>
      </c>
      <c r="B140" s="10" t="inlineStr">
        <is>
          <t xml:space="preserve">€</t>
        </is>
      </c>
      <c r="F140" s="23">
        <f>F131*Timing!F77*(F133-F132)</f>
        <v>0</v>
      </c>
      <c r="G140" s="23">
        <f>G131*Timing!G77*(G133-G132)</f>
        <v>114288.71647069075</v>
      </c>
      <c r="H140" s="23">
        <f>H131*Timing!H77*(H133-H132)</f>
        <v>168596.56170123705</v>
      </c>
      <c r="I140" s="23">
        <f>I131*Timing!I77*(I133-I132)</f>
        <v>85998.70113016955</v>
      </c>
      <c r="J140" s="23">
        <f>J131*Timing!J77*(J133-J132)</f>
        <v>2088.634692882771</v>
      </c>
      <c r="K140" s="23">
        <f>K131*Timing!K77*(K133-K132)</f>
        <v>0</v>
      </c>
      <c r="L140" s="23">
        <f>L131*Timing!L77*(L133-L132)</f>
        <v>0</v>
      </c>
      <c r="M140" s="23">
        <f>M131*Timing!M77*(M133-M132)</f>
        <v>0</v>
      </c>
      <c r="N140" s="23">
        <f>N131*Timing!N77*(N133-N132)</f>
        <v>0</v>
      </c>
      <c r="O140" s="23">
        <f>O131*Timing!O77*(O133-O132)</f>
        <v>0</v>
      </c>
      <c r="P140" s="23">
        <f>P131*Timing!P77*(P133-P132)</f>
        <v>0</v>
      </c>
      <c r="Q140" s="23">
        <f>Q131*Timing!Q77*(Q133-Q132)</f>
        <v>0</v>
      </c>
      <c r="R140" s="23">
        <f>R131*Timing!R77*(R133-R132)</f>
        <v>0</v>
      </c>
      <c r="S140" s="23">
        <f>S131*Timing!S77*(S133-S132)</f>
        <v>0</v>
      </c>
      <c r="T140" s="23">
        <f>T131*Timing!T77*(T133-T132)</f>
        <v>0</v>
      </c>
      <c r="U140" s="23">
        <f>U131*Timing!U77*(U133-U132)</f>
        <v>0</v>
      </c>
      <c r="V140" s="23">
        <f>V131*Timing!V77*(V133-V132)</f>
        <v>0</v>
      </c>
      <c r="W140" s="23">
        <f>W131*Timing!W77*(W133-W132)</f>
        <v>0</v>
      </c>
      <c r="X140" s="23">
        <f>X131*Timing!X77*(X133-X132)</f>
        <v>0</v>
      </c>
      <c r="Y140" s="23">
        <f>Y131*Timing!Y77*(Y133-Y132)</f>
        <v>0</v>
      </c>
      <c r="Z140" s="23">
        <f>Z131*Timing!Z77*(Z133-Z132)</f>
        <v>0</v>
      </c>
      <c r="AA140" s="23">
        <f>AA131*Timing!AA77*(AA133-AA132)</f>
        <v>0</v>
      </c>
      <c r="AB140" s="23">
        <f>AB131*Timing!AB77*(AB133-AB132)</f>
        <v>0</v>
      </c>
      <c r="AC140" s="23">
        <f>AC131*Timing!AC77*(AC133-AC132)</f>
        <v>0</v>
      </c>
      <c r="AD140" s="23">
        <f>AD131*Timing!AD77*(AD133-AD132)</f>
        <v>0</v>
      </c>
      <c r="AE140" s="23">
        <f>AE131*Timing!AE77*(AE133-AE132)</f>
        <v>0</v>
      </c>
    </row>
    <row r="141">
      <c r="A141" s="6" t="inlineStr">
        <is>
          <t xml:space="preserve">§ 36h settlement (only if the site quality moved by more than 2 points)</t>
        </is>
      </c>
      <c r="B141" s="10" t="inlineStr">
        <is>
          <t xml:space="preserve">€</t>
        </is>
      </c>
      <c r="C141" s="23">
        <f>IF(ABS($C$121-$C$120)&gt;Inputs!$C$143,SUM($F$140:$AE$140),0)</f>
        <v>370972.6139949801</v>
      </c>
    </row>
    <row r="142">
      <c r="A142" s="6" t="inlineStr">
        <is>
          <t xml:space="preserve">Revenue: § 36h settlement, in the year of the first review</t>
        </is>
      </c>
      <c r="B142" s="10" t="inlineStr">
        <is>
          <t xml:space="preserve">€</t>
        </is>
      </c>
      <c r="F142" s="23">
        <f>IF(Timing!F59=YEAR(Timing!$C$12),$C$141,0)</f>
        <v>0</v>
      </c>
      <c r="G142" s="23">
        <f>IF(Timing!G59=YEAR(Timing!$C$12),$C$141,0)</f>
        <v>0</v>
      </c>
      <c r="H142" s="23">
        <f>IF(Timing!H59=YEAR(Timing!$C$12),$C$141,0)</f>
        <v>0</v>
      </c>
      <c r="I142" s="23">
        <f>IF(Timing!I59=YEAR(Timing!$C$12),$C$141,0)</f>
        <v>0</v>
      </c>
      <c r="J142" s="23">
        <f>IF(Timing!J59=YEAR(Timing!$C$12),$C$141,0)</f>
        <v>0</v>
      </c>
      <c r="K142" s="23">
        <f>IF(Timing!K59=YEAR(Timing!$C$12),$C$141,0)</f>
        <v>370972.6139949801</v>
      </c>
      <c r="L142" s="23">
        <f>IF(Timing!L59=YEAR(Timing!$C$12),$C$141,0)</f>
        <v>0</v>
      </c>
      <c r="M142" s="23">
        <f>IF(Timing!M59=YEAR(Timing!$C$12),$C$141,0)</f>
        <v>0</v>
      </c>
      <c r="N142" s="23">
        <f>IF(Timing!N59=YEAR(Timing!$C$12),$C$141,0)</f>
        <v>0</v>
      </c>
      <c r="O142" s="23">
        <f>IF(Timing!O59=YEAR(Timing!$C$12),$C$141,0)</f>
        <v>0</v>
      </c>
      <c r="P142" s="23">
        <f>IF(Timing!P59=YEAR(Timing!$C$12),$C$141,0)</f>
        <v>0</v>
      </c>
      <c r="Q142" s="23">
        <f>IF(Timing!Q59=YEAR(Timing!$C$12),$C$141,0)</f>
        <v>0</v>
      </c>
      <c r="R142" s="23">
        <f>IF(Timing!R59=YEAR(Timing!$C$12),$C$141,0)</f>
        <v>0</v>
      </c>
      <c r="S142" s="23">
        <f>IF(Timing!S59=YEAR(Timing!$C$12),$C$141,0)</f>
        <v>0</v>
      </c>
      <c r="T142" s="23">
        <f>IF(Timing!T59=YEAR(Timing!$C$12),$C$141,0)</f>
        <v>0</v>
      </c>
      <c r="U142" s="23">
        <f>IF(Timing!U59=YEAR(Timing!$C$12),$C$141,0)</f>
        <v>0</v>
      </c>
      <c r="V142" s="23">
        <f>IF(Timing!V59=YEAR(Timing!$C$12),$C$141,0)</f>
        <v>0</v>
      </c>
      <c r="W142" s="23">
        <f>IF(Timing!W59=YEAR(Timing!$C$12),$C$141,0)</f>
        <v>0</v>
      </c>
      <c r="X142" s="23">
        <f>IF(Timing!X59=YEAR(Timing!$C$12),$C$141,0)</f>
        <v>0</v>
      </c>
      <c r="Y142" s="23">
        <f>IF(Timing!Y59=YEAR(Timing!$C$12),$C$141,0)</f>
        <v>0</v>
      </c>
      <c r="Z142" s="23">
        <f>IF(Timing!Z59=YEAR(Timing!$C$12),$C$141,0)</f>
        <v>0</v>
      </c>
      <c r="AA142" s="23">
        <f>IF(Timing!AA59=YEAR(Timing!$C$12),$C$141,0)</f>
        <v>0</v>
      </c>
      <c r="AB142" s="23">
        <f>IF(Timing!AB59=YEAR(Timing!$C$12),$C$141,0)</f>
        <v>0</v>
      </c>
      <c r="AC142" s="23">
        <f>IF(Timing!AC59=YEAR(Timing!$C$12),$C$141,0)</f>
        <v>0</v>
      </c>
      <c r="AD142" s="23">
        <f>IF(Timing!AD59=YEAR(Timing!$C$12),$C$141,0)</f>
        <v>0</v>
      </c>
      <c r="AE142" s="23">
        <f>IF(Timing!AE59=YEAR(Timing!$C$12),$C$141,0)</f>
        <v>0</v>
      </c>
    </row>
    <row r="143">
      <c r="A143" s="6" t="inlineStr">
        <is>
          <t xml:space="preserve">Revenue: market premium</t>
        </is>
      </c>
      <c r="B143" s="10" t="inlineStr">
        <is>
          <t xml:space="preserve">€</t>
        </is>
      </c>
      <c r="F143" s="23">
        <f>F139+F142</f>
        <v>0</v>
      </c>
      <c r="G143" s="23">
        <f>G139+G142</f>
        <v>0</v>
      </c>
      <c r="H143" s="23">
        <f>H139+H142</f>
        <v>0</v>
      </c>
      <c r="I143" s="23">
        <f>I139+I142</f>
        <v>0</v>
      </c>
      <c r="J143" s="23">
        <f>J139+J142</f>
        <v>0</v>
      </c>
      <c r="K143" s="23">
        <f>K139+K142</f>
        <v>370972.6139949801</v>
      </c>
      <c r="L143" s="23">
        <f>L139+L142</f>
        <v>0</v>
      </c>
      <c r="M143" s="23">
        <f>M139+M142</f>
        <v>0</v>
      </c>
      <c r="N143" s="23">
        <f>N139+N142</f>
        <v>0</v>
      </c>
      <c r="O143" s="23">
        <f>O139+O142</f>
        <v>0</v>
      </c>
      <c r="P143" s="23">
        <f>P139+P142</f>
        <v>0</v>
      </c>
      <c r="Q143" s="23">
        <f>Q139+Q142</f>
        <v>0</v>
      </c>
      <c r="R143" s="23">
        <f>R139+R142</f>
        <v>0</v>
      </c>
      <c r="S143" s="23">
        <f>S139+S142</f>
        <v>0</v>
      </c>
      <c r="T143" s="23">
        <f>T139+T142</f>
        <v>0</v>
      </c>
      <c r="U143" s="23">
        <f>U139+U142</f>
        <v>0</v>
      </c>
      <c r="V143" s="23">
        <f>V139+V142</f>
        <v>0</v>
      </c>
      <c r="W143" s="23">
        <f>W139+W142</f>
        <v>0</v>
      </c>
      <c r="X143" s="23">
        <f>X139+X142</f>
        <v>0</v>
      </c>
      <c r="Y143" s="23">
        <f>Y139+Y142</f>
        <v>0</v>
      </c>
      <c r="Z143" s="23">
        <f>Z139+Z142</f>
        <v>0</v>
      </c>
      <c r="AA143" s="23">
        <f>AA139+AA142</f>
        <v>0</v>
      </c>
      <c r="AB143" s="23">
        <f>AB139+AB142</f>
        <v>0</v>
      </c>
      <c r="AC143" s="23">
        <f>AC139+AC142</f>
        <v>0</v>
      </c>
      <c r="AD143" s="23">
        <f>AD139+AD142</f>
        <v>0</v>
      </c>
      <c r="AE143" s="23">
        <f>AE139+AE142</f>
        <v>0</v>
      </c>
    </row>
    <row r="144">
      <c r="A144" s="6" t="inlineStr">
        <is>
          <t xml:space="preserve">Price after support (market value or PPA)</t>
        </is>
      </c>
      <c r="B144" s="10" t="inlineStr">
        <is>
          <t xml:space="preserve">€/kWh</t>
        </is>
      </c>
      <c r="F144" s="37">
        <f>IF(Inputs!$C$33="ppa",Inputs!$C$34*Timing!F76*1/1000,F127)</f>
        <v>0.079104</v>
      </c>
      <c r="G144" s="37">
        <f>IF(Inputs!$C$33="ppa",Inputs!$C$34*Timing!G76*1/1000,G127)</f>
        <v>0.06619199999999999</v>
      </c>
      <c r="H144" s="37">
        <f>IF(Inputs!$C$33="ppa",Inputs!$C$34*Timing!H76*1/1000,H127)</f>
        <v>0.06532752751200001</v>
      </c>
      <c r="I144" s="37">
        <f>IF(Inputs!$C$33="ppa",Inputs!$C$34*Timing!I76*1/1000,I127)</f>
        <v>0.06663407806223999</v>
      </c>
      <c r="J144" s="37">
        <f>IF(Inputs!$C$33="ppa",Inputs!$C$34*Timing!J76*1/1000,J127)</f>
        <v>0.0679667596234848</v>
      </c>
      <c r="K144" s="37">
        <f>IF(Inputs!$C$33="ppa",Inputs!$C$34*Timing!K76*1/1000,K127)</f>
        <v>0.0693260948159545</v>
      </c>
      <c r="L144" s="37">
        <f>IF(Inputs!$C$33="ppa",Inputs!$C$34*Timing!L76*1/1000,L127)</f>
        <v>0.0707126167122736</v>
      </c>
      <c r="M144" s="37">
        <f>IF(Inputs!$C$33="ppa",Inputs!$C$34*Timing!M76*1/1000,M127)</f>
        <v>0.07212686904651905</v>
      </c>
      <c r="N144" s="37">
        <f>IF(Inputs!$C$33="ppa",Inputs!$C$34*Timing!N76*1/1000,N127)</f>
        <v>0.07356940642744944</v>
      </c>
      <c r="O144" s="37">
        <f>IF(Inputs!$C$33="ppa",Inputs!$C$34*Timing!O76*1/1000,O127)</f>
        <v>0.07504079455599844</v>
      </c>
      <c r="P144" s="37">
        <f>IF(Inputs!$C$33="ppa",Inputs!$C$34*Timing!P76*1/1000,P127)</f>
        <v>0.0765416104471184</v>
      </c>
      <c r="Q144" s="37">
        <f>IF(Inputs!$C$33="ppa",Inputs!$C$34*Timing!Q76*1/1000,Q127)</f>
        <v>0.07807244265606075</v>
      </c>
      <c r="R144" s="37">
        <f>IF(Inputs!$C$33="ppa",Inputs!$C$34*Timing!R76*1/1000,R127)</f>
        <v>0.07963389150918197</v>
      </c>
      <c r="S144" s="37">
        <f>IF(Inputs!$C$33="ppa",Inputs!$C$34*Timing!S76*1/1000,S127)</f>
        <v>0.08122656933936562</v>
      </c>
      <c r="T144" s="37">
        <f>IF(Inputs!$C$33="ppa",Inputs!$C$34*Timing!T76*1/1000,T127)</f>
        <v>0.08285110072615294</v>
      </c>
      <c r="U144" s="37">
        <f>IF(Inputs!$C$33="ppa",Inputs!$C$34*Timing!U76*1/1000,U127)</f>
        <v>0.08450812274067597</v>
      </c>
      <c r="V144" s="37">
        <f>IF(Inputs!$C$33="ppa",Inputs!$C$34*Timing!V76*1/1000,V127)</f>
        <v>0.0861982851954895</v>
      </c>
      <c r="W144" s="37">
        <f>IF(Inputs!$C$33="ppa",Inputs!$C$34*Timing!W76*1/1000,W127)</f>
        <v>0.08792225089939928</v>
      </c>
      <c r="X144" s="37">
        <f>IF(Inputs!$C$33="ppa",Inputs!$C$34*Timing!X76*1/1000,X127)</f>
        <v>0.08968069591738728</v>
      </c>
      <c r="Y144" s="37">
        <f>IF(Inputs!$C$33="ppa",Inputs!$C$34*Timing!Y76*1/1000,Y127)</f>
        <v>0.09147430983573503</v>
      </c>
      <c r="Z144" s="37">
        <f>IF(Inputs!$C$33="ppa",Inputs!$C$34*Timing!Z76*1/1000,Z127)</f>
        <v>0.09330379603244973</v>
      </c>
      <c r="AA144" s="37">
        <f>IF(Inputs!$C$33="ppa",Inputs!$C$34*Timing!AA76*1/1000,AA127)</f>
        <v>0.09516987195309871</v>
      </c>
      <c r="AB144" s="37">
        <f>IF(Inputs!$C$33="ppa",Inputs!$C$34*Timing!AB76*1/1000,AB127)</f>
        <v>0.0970732693921607</v>
      </c>
      <c r="AC144" s="37">
        <f>IF(Inputs!$C$33="ppa",Inputs!$C$34*Timing!AC76*1/1000,AC127)</f>
        <v>0.09901473478000392</v>
      </c>
      <c r="AD144" s="37">
        <f>IF(Inputs!$C$33="ppa",Inputs!$C$34*Timing!AD76*1/1000,AD127)</f>
        <v>0.100995029475604</v>
      </c>
      <c r="AE144" s="37">
        <f>IF(Inputs!$C$33="ppa",Inputs!$C$34*Timing!AE76*1/1000,AE127)</f>
        <v>0.1030149300651161</v>
      </c>
    </row>
    <row r="145">
      <c r="A145" s="6" t="inlineStr">
        <is>
          <t xml:space="preserve">Revenue: after support</t>
        </is>
      </c>
      <c r="B145" s="10" t="inlineStr">
        <is>
          <t xml:space="preserve">€</t>
        </is>
      </c>
      <c r="F145" s="23">
        <f>IF(Inputs!$C$33="ppa",F130,F129)*F144*(1-Timing!F69)</f>
        <v>0</v>
      </c>
      <c r="G145" s="23">
        <f>IF(Inputs!$C$33="ppa",G130,G129)*G144*(1-Timing!G69)</f>
        <v>0</v>
      </c>
      <c r="H145" s="23">
        <f>IF(Inputs!$C$33="ppa",H130,H129)*H144*(1-Timing!H69)</f>
        <v>0</v>
      </c>
      <c r="I145" s="23">
        <f>IF(Inputs!$C$33="ppa",I130,I129)*I144*(1-Timing!I69)</f>
        <v>0</v>
      </c>
      <c r="J145" s="23">
        <f>IF(Inputs!$C$33="ppa",J130,J129)*J144*(1-Timing!J69)</f>
        <v>0</v>
      </c>
      <c r="K145" s="23">
        <f>IF(Inputs!$C$33="ppa",K130,K129)*K144*(1-Timing!K69)</f>
        <v>0</v>
      </c>
      <c r="L145" s="23">
        <f>IF(Inputs!$C$33="ppa",L130,L129)*L144*(1-Timing!L69)</f>
        <v>0</v>
      </c>
      <c r="M145" s="23">
        <f>IF(Inputs!$C$33="ppa",M130,M129)*M144*(1-Timing!M69)</f>
        <v>0</v>
      </c>
      <c r="N145" s="23">
        <f>IF(Inputs!$C$33="ppa",N130,N129)*N144*(1-Timing!N69)</f>
        <v>0</v>
      </c>
      <c r="O145" s="23">
        <f>IF(Inputs!$C$33="ppa",O130,O129)*O144*(1-Timing!O69)</f>
        <v>0</v>
      </c>
      <c r="P145" s="23">
        <f>IF(Inputs!$C$33="ppa",P130,P129)*P144*(1-Timing!P69)</f>
        <v>0</v>
      </c>
      <c r="Q145" s="23">
        <f>IF(Inputs!$C$33="ppa",Q130,Q129)*Q144*(1-Timing!Q69)</f>
        <v>0</v>
      </c>
      <c r="R145" s="23">
        <f>IF(Inputs!$C$33="ppa",R130,R129)*R144*(1-Timing!R69)</f>
        <v>0</v>
      </c>
      <c r="S145" s="23">
        <f>IF(Inputs!$C$33="ppa",S130,S129)*S144*(1-Timing!S69)</f>
        <v>0</v>
      </c>
      <c r="T145" s="23">
        <f>IF(Inputs!$C$33="ppa",T130,T129)*T144*(1-Timing!T69)</f>
        <v>0</v>
      </c>
      <c r="U145" s="23">
        <f>IF(Inputs!$C$33="ppa",U130,U129)*U144*(1-Timing!U69)</f>
        <v>0</v>
      </c>
      <c r="V145" s="23">
        <f>IF(Inputs!$C$33="ppa",V130,V129)*V144*(1-Timing!V69)</f>
        <v>0</v>
      </c>
      <c r="W145" s="23">
        <f>IF(Inputs!$C$33="ppa",W130,W129)*W144*(1-Timing!W69)</f>
        <v>0</v>
      </c>
      <c r="X145" s="23">
        <f>IF(Inputs!$C$33="ppa",X130,X129)*X144*(1-Timing!X69)</f>
        <v>0</v>
      </c>
      <c r="Y145" s="23">
        <f>IF(Inputs!$C$33="ppa",Y130,Y129)*Y144*(1-Timing!Y69)</f>
        <v>0</v>
      </c>
      <c r="Z145" s="23">
        <f>IF(Inputs!$C$33="ppa",Z130,Z129)*Z144*(1-Timing!Z69)</f>
        <v>0</v>
      </c>
      <c r="AA145" s="23">
        <f>IF(Inputs!$C$33="ppa",AA130,AA129)*AA144*(1-Timing!AA69)</f>
        <v>1433498.4294105254</v>
      </c>
      <c r="AB145" s="23">
        <f>IF(Inputs!$C$33="ppa",AB130,AB129)*AB144*(1-Timing!AB69)</f>
        <v>6193303.283011623</v>
      </c>
      <c r="AC145" s="23">
        <f>IF(Inputs!$C$33="ppa",AC130,AC129)*AC144*(1-Timing!AC69)</f>
        <v>6304535.009974512</v>
      </c>
      <c r="AD145" s="23">
        <f>IF(Inputs!$C$33="ppa",AD130,AD129)*AD144*(1-Timing!AD69)</f>
        <v>6417764.458753655</v>
      </c>
      <c r="AE145" s="23">
        <f>IF(Inputs!$C$33="ppa",AE130,AE129)*AE144*(1-Timing!AE69)</f>
        <v>3239665.695962602</v>
      </c>
    </row>
    <row r="146">
      <c r="A146" s="41" t="inlineStr">
        <is>
          <t xml:space="preserve">Revenue</t>
        </is>
      </c>
      <c r="B146" s="10" t="inlineStr">
        <is>
          <t xml:space="preserve">€</t>
        </is>
      </c>
      <c r="F146" s="42">
        <f>F138+F143+F145</f>
        <v>2651465.404779349</v>
      </c>
      <c r="G146" s="42">
        <f>G138+G143+G145</f>
        <v>4404400.745591457</v>
      </c>
      <c r="H146" s="42">
        <f>H138+H143+H145</f>
        <v>4338185.183401865</v>
      </c>
      <c r="I146" s="42">
        <f>I138+I143+I145</f>
        <v>4416098.989295762</v>
      </c>
      <c r="J146" s="42">
        <f>J138+J143+J145</f>
        <v>4495412.127143514</v>
      </c>
      <c r="K146" s="42">
        <f>K138+K143+K145</f>
        <v>4947122.342941993</v>
      </c>
      <c r="L146" s="42">
        <f>L138+L143+L145</f>
        <v>4658337.3780789</v>
      </c>
      <c r="M146" s="42">
        <f>M138+M143+M145</f>
        <v>4742001.1173891965</v>
      </c>
      <c r="N146" s="42">
        <f>N138+N143+N145</f>
        <v>4827167.457457507</v>
      </c>
      <c r="O146" s="42">
        <f>O138+O143+O145</f>
        <v>4913863.384993445</v>
      </c>
      <c r="P146" s="42">
        <f>P138+P143+P145</f>
        <v>5002116.371387926</v>
      </c>
      <c r="Q146" s="42">
        <f>Q138+Q143+Q145</f>
        <v>5091954.381418053</v>
      </c>
      <c r="R146" s="42">
        <f>R138+R143+R145</f>
        <v>5183405.882108321</v>
      </c>
      <c r="S146" s="42">
        <f>S138+S143+S145</f>
        <v>5276499.851750988</v>
      </c>
      <c r="T146" s="42">
        <f>T138+T143+T145</f>
        <v>5371265.789088435</v>
      </c>
      <c r="U146" s="42">
        <f>U138+U143+U145</f>
        <v>5467733.722660462</v>
      </c>
      <c r="V146" s="42">
        <f>V138+V143+V145</f>
        <v>5565934.220319444</v>
      </c>
      <c r="W146" s="42">
        <f>W138+W143+W145</f>
        <v>5665898.398916381</v>
      </c>
      <c r="X146" s="42">
        <f>X138+X143+X145</f>
        <v>5767657.93416092</v>
      </c>
      <c r="Y146" s="42">
        <f>Y138+Y143+Y145</f>
        <v>5871245.07065845</v>
      </c>
      <c r="Z146" s="42">
        <f>Z138+Z143+Z145</f>
        <v>5976692.632127477</v>
      </c>
      <c r="AA146" s="42">
        <f>AA138+AA143+AA145</f>
        <v>6084034.031800485</v>
      </c>
      <c r="AB146" s="42">
        <f>AB138+AB143+AB145</f>
        <v>6193303.283011623</v>
      </c>
      <c r="AC146" s="42">
        <f>AC138+AC143+AC145</f>
        <v>6304535.009974512</v>
      </c>
      <c r="AD146" s="42">
        <f>AD138+AD143+AD145</f>
        <v>6417764.458753655</v>
      </c>
      <c r="AE146" s="42">
        <f>AE138+AE143+AE145</f>
        <v>3239665.695962602</v>
      </c>
    </row>
    <row r="147">
      <c r="A147" s="6" t="inlineStr">
        <is>
          <t xml:space="preserve">Premium advances for the year (§ 26)</t>
        </is>
      </c>
      <c r="B147" s="10" t="inlineStr">
        <is>
          <t xml:space="preserve">€</t>
        </is>
      </c>
      <c r="F147" s="23">
        <f>F131*F135</f>
        <v>0</v>
      </c>
      <c r="G147" s="23">
        <f>G131*G135</f>
        <v>0</v>
      </c>
      <c r="H147" s="23">
        <f>H131*H135</f>
        <v>0</v>
      </c>
      <c r="I147" s="23">
        <f>I131*I135</f>
        <v>0</v>
      </c>
      <c r="J147" s="23">
        <f>J131*J135</f>
        <v>0</v>
      </c>
      <c r="K147" s="23">
        <f>K131*K135</f>
        <v>1050.794975132737</v>
      </c>
      <c r="L147" s="23">
        <f>L131*L135</f>
        <v>0</v>
      </c>
      <c r="M147" s="23">
        <f>M131*M135</f>
        <v>0</v>
      </c>
      <c r="N147" s="23">
        <f>N131*N135</f>
        <v>0</v>
      </c>
      <c r="O147" s="23">
        <f>O131*O135</f>
        <v>0</v>
      </c>
      <c r="P147" s="23">
        <f>P131*P135</f>
        <v>0</v>
      </c>
      <c r="Q147" s="23">
        <f>Q131*Q135</f>
        <v>0</v>
      </c>
      <c r="R147" s="23">
        <f>R131*R135</f>
        <v>0</v>
      </c>
      <c r="S147" s="23">
        <f>S131*S135</f>
        <v>0</v>
      </c>
      <c r="T147" s="23">
        <f>T131*T135</f>
        <v>0</v>
      </c>
      <c r="U147" s="23">
        <f>U131*U135</f>
        <v>0</v>
      </c>
      <c r="V147" s="23">
        <f>V131*V135</f>
        <v>0</v>
      </c>
      <c r="W147" s="23">
        <f>W131*W135</f>
        <v>0</v>
      </c>
      <c r="X147" s="23">
        <f>X131*X135</f>
        <v>0</v>
      </c>
      <c r="Y147" s="23">
        <f>Y131*Y135</f>
        <v>0</v>
      </c>
      <c r="Z147" s="23">
        <f>Z131*Z135</f>
        <v>0</v>
      </c>
      <c r="AA147" s="23">
        <f>AA131*AA135</f>
        <v>0</v>
      </c>
      <c r="AB147" s="23">
        <f>AB131*AB135</f>
        <v>0</v>
      </c>
      <c r="AC147" s="23">
        <f>AC131*AC135</f>
        <v>0</v>
      </c>
      <c r="AD147" s="23">
        <f>AD131*AD135</f>
        <v>0</v>
      </c>
      <c r="AE147" s="23">
        <f>AE131*AE135</f>
        <v>0</v>
      </c>
    </row>
    <row r="148">
      <c r="A148" s="6" t="inlineStr">
        <is>
          <t xml:space="preserve">Fixed-cost basis (capacity × index × part year)</t>
        </is>
      </c>
      <c r="B148" s="10" t="inlineStr">
        <is>
          <t xml:space="preserve">kW</t>
        </is>
      </c>
      <c r="F148" s="26">
        <f>Timing!$C$28*Timing!F75*Timing!F66*1</f>
        <v>17053.25529806557</v>
      </c>
      <c r="G148" s="26">
        <f>Timing!$C$28*Timing!G75*Timing!G66*1</f>
        <v>34599.57210801</v>
      </c>
      <c r="H148" s="26">
        <f>Timing!$C$28*Timing!H75*Timing!H66*1</f>
        <v>35291.5635501702</v>
      </c>
      <c r="I148" s="26">
        <f>Timing!$C$28*Timing!I75*Timing!I66*1</f>
        <v>35997.3948211736</v>
      </c>
      <c r="J148" s="26">
        <f>Timing!$C$28*Timing!J75*Timing!J66*1</f>
        <v>36717.34271759707</v>
      </c>
      <c r="K148" s="26">
        <f>Timing!$C$28*Timing!K75*Timing!K66*1</f>
        <v>37451.68957194901</v>
      </c>
      <c r="L148" s="26">
        <f>Timing!$C$28*Timing!L75*Timing!L66*1</f>
        <v>38200.723363387995</v>
      </c>
      <c r="M148" s="26">
        <f>Timing!$C$28*Timing!M75*Timing!M66*1</f>
        <v>38964.73783065575</v>
      </c>
      <c r="N148" s="26">
        <f>Timing!$C$28*Timing!N75*Timing!N66*1</f>
        <v>39744.03258726886</v>
      </c>
      <c r="O148" s="26">
        <f>Timing!$C$28*Timing!O75*Timing!O66*1</f>
        <v>40538.91323901424</v>
      </c>
      <c r="P148" s="26">
        <f>Timing!$C$28*Timing!P75*Timing!P66*1</f>
        <v>41349.69150379453</v>
      </c>
      <c r="Q148" s="26">
        <f>Timing!$C$28*Timing!Q75*Timing!Q66*1</f>
        <v>42176.68533387042</v>
      </c>
      <c r="R148" s="26">
        <f>Timing!$C$28*Timing!R75*Timing!R66*1</f>
        <v>43020.219040547825</v>
      </c>
      <c r="S148" s="26">
        <f>Timing!$C$28*Timing!S75*Timing!S66*1</f>
        <v>43880.62342135878</v>
      </c>
      <c r="T148" s="26">
        <f>Timing!$C$28*Timing!T75*Timing!T66*1</f>
        <v>44758.23588978595</v>
      </c>
      <c r="U148" s="26">
        <f>Timing!$C$28*Timing!U75*Timing!U66*1</f>
        <v>45653.40060758168</v>
      </c>
      <c r="V148" s="26">
        <f>Timing!$C$28*Timing!V75*Timing!V66*1</f>
        <v>46566.468619733314</v>
      </c>
      <c r="W148" s="26">
        <f>Timing!$C$28*Timing!W75*Timing!W66*1</f>
        <v>47497.79799212798</v>
      </c>
      <c r="X148" s="26">
        <f>Timing!$C$28*Timing!X75*Timing!X66*1</f>
        <v>48447.75395197054</v>
      </c>
      <c r="Y148" s="26">
        <f>Timing!$C$28*Timing!Y75*Timing!Y66*1</f>
        <v>49416.709031009945</v>
      </c>
      <c r="Z148" s="26">
        <f>Timing!$C$28*Timing!Z75*Timing!Z66*1</f>
        <v>50405.043211630145</v>
      </c>
      <c r="AA148" s="26">
        <f>Timing!$C$28*Timing!AA75*Timing!AA66*1</f>
        <v>51413.14407586275</v>
      </c>
      <c r="AB148" s="26">
        <f>Timing!$C$28*Timing!AB75*Timing!AB66*1</f>
        <v>52441.40695738001</v>
      </c>
      <c r="AC148" s="26">
        <f>Timing!$C$28*Timing!AC75*Timing!AC66*1</f>
        <v>53490.23509652761</v>
      </c>
      <c r="AD148" s="26">
        <f>Timing!$C$28*Timing!AD75*Timing!AD66*1</f>
        <v>54560.039798458165</v>
      </c>
      <c r="AE148" s="26">
        <f>Timing!$C$28*Timing!AE75*Timing!AE66*1</f>
        <v>27596.916568743418</v>
      </c>
    </row>
    <row r="149">
      <c r="A149" s="6" t="inlineStr">
        <is>
          <t xml:space="preserve">Maintenance</t>
        </is>
      </c>
      <c r="B149" s="10" t="inlineStr">
        <is>
          <t xml:space="preserve">€</t>
        </is>
      </c>
      <c r="F149" s="23">
        <f>CHOOSE(Timing!F71+1,Inputs!$B$61,Inputs!$C$61,Inputs!$D$61)*F148</f>
        <v>238745.574172918</v>
      </c>
      <c r="G149" s="23">
        <f>CHOOSE(Timing!G71+1,Inputs!$B$61,Inputs!$C$61,Inputs!$D$61)*G148</f>
        <v>484394.00951213995</v>
      </c>
      <c r="H149" s="23">
        <f>CHOOSE(Timing!H71+1,Inputs!$B$61,Inputs!$C$61,Inputs!$D$61)*H148</f>
        <v>494081.8897023828</v>
      </c>
      <c r="I149" s="23">
        <f>CHOOSE(Timing!I71+1,Inputs!$B$61,Inputs!$C$61,Inputs!$D$61)*I148</f>
        <v>503963.5274964304</v>
      </c>
      <c r="J149" s="23">
        <f>CHOOSE(Timing!J71+1,Inputs!$B$61,Inputs!$C$61,Inputs!$D$61)*J148</f>
        <v>514042.798046359</v>
      </c>
      <c r="K149" s="23">
        <f>CHOOSE(Timing!K71+1,Inputs!$B$61,Inputs!$C$61,Inputs!$D$61)*K148</f>
        <v>524323.6540072862</v>
      </c>
      <c r="L149" s="23">
        <f>CHOOSE(Timing!L71+1,Inputs!$B$61,Inputs!$C$61,Inputs!$D$61)*L148</f>
        <v>534810.127087432</v>
      </c>
      <c r="M149" s="23">
        <f>CHOOSE(Timing!M71+1,Inputs!$B$61,Inputs!$C$61,Inputs!$D$61)*M148</f>
        <v>545506.3296291805</v>
      </c>
      <c r="N149" s="23">
        <f>CHOOSE(Timing!N71+1,Inputs!$B$61,Inputs!$C$61,Inputs!$D$61)*N148</f>
        <v>556416.4562217641</v>
      </c>
      <c r="O149" s="23">
        <f>CHOOSE(Timing!O71+1,Inputs!$B$61,Inputs!$C$61,Inputs!$D$61)*O148</f>
        <v>567544.7853461994</v>
      </c>
      <c r="P149" s="23">
        <f>CHOOSE(Timing!P71+1,Inputs!$B$61,Inputs!$C$61,Inputs!$D$61)*P148</f>
        <v>661595.0640607125</v>
      </c>
      <c r="Q149" s="23">
        <f>CHOOSE(Timing!Q71+1,Inputs!$B$61,Inputs!$C$61,Inputs!$D$61)*Q148</f>
        <v>674826.9653419267</v>
      </c>
      <c r="R149" s="23">
        <f>CHOOSE(Timing!R71+1,Inputs!$B$61,Inputs!$C$61,Inputs!$D$61)*R148</f>
        <v>688323.5046487652</v>
      </c>
      <c r="S149" s="23">
        <f>CHOOSE(Timing!S71+1,Inputs!$B$61,Inputs!$C$61,Inputs!$D$61)*S148</f>
        <v>702089.9747417405</v>
      </c>
      <c r="T149" s="23">
        <f>CHOOSE(Timing!T71+1,Inputs!$B$61,Inputs!$C$61,Inputs!$D$61)*T148</f>
        <v>716131.7742365752</v>
      </c>
      <c r="U149" s="23">
        <f>CHOOSE(Timing!U71+1,Inputs!$B$61,Inputs!$C$61,Inputs!$D$61)*U148</f>
        <v>730454.4097213069</v>
      </c>
      <c r="V149" s="23">
        <f>CHOOSE(Timing!V71+1,Inputs!$B$61,Inputs!$C$61,Inputs!$D$61)*V148</f>
        <v>745063.497915733</v>
      </c>
      <c r="W149" s="23">
        <f>CHOOSE(Timing!W71+1,Inputs!$B$61,Inputs!$C$61,Inputs!$D$61)*W148</f>
        <v>759964.7678740476</v>
      </c>
      <c r="X149" s="23">
        <f>CHOOSE(Timing!X71+1,Inputs!$B$61,Inputs!$C$61,Inputs!$D$61)*X148</f>
        <v>775164.0632315286</v>
      </c>
      <c r="Y149" s="23">
        <f>CHOOSE(Timing!Y71+1,Inputs!$B$61,Inputs!$C$61,Inputs!$D$61)*Y148</f>
        <v>790667.3444961591</v>
      </c>
      <c r="Z149" s="23">
        <f>CHOOSE(Timing!Z71+1,Inputs!$B$61,Inputs!$C$61,Inputs!$D$61)*Z148</f>
        <v>887128.7605246906</v>
      </c>
      <c r="AA149" s="23">
        <f>CHOOSE(Timing!AA71+1,Inputs!$B$61,Inputs!$C$61,Inputs!$D$61)*AA148</f>
        <v>904871.3357351845</v>
      </c>
      <c r="AB149" s="23">
        <f>CHOOSE(Timing!AB71+1,Inputs!$B$61,Inputs!$C$61,Inputs!$D$61)*AB148</f>
        <v>922968.7624498882</v>
      </c>
      <c r="AC149" s="23">
        <f>CHOOSE(Timing!AC71+1,Inputs!$B$61,Inputs!$C$61,Inputs!$D$61)*AC148</f>
        <v>941428.1376988861</v>
      </c>
      <c r="AD149" s="23">
        <f>CHOOSE(Timing!AD71+1,Inputs!$B$61,Inputs!$C$61,Inputs!$D$61)*AD148</f>
        <v>960256.7004528638</v>
      </c>
      <c r="AE149" s="23">
        <f>CHOOSE(Timing!AE71+1,Inputs!$B$61,Inputs!$C$61,Inputs!$D$61)*AE148</f>
        <v>485705.7316098842</v>
      </c>
    </row>
    <row r="150">
      <c r="A150" s="6" t="inlineStr">
        <is>
          <t xml:space="preserve">Management</t>
        </is>
      </c>
      <c r="B150" s="10" t="inlineStr">
        <is>
          <t xml:space="preserve">€</t>
        </is>
      </c>
      <c r="F150" s="23">
        <f>CHOOSE(Timing!F71+1,Inputs!$B$62,Inputs!$C$62,Inputs!$D$62)*F148</f>
        <v>68213.02119226228</v>
      </c>
      <c r="G150" s="23">
        <f>CHOOSE(Timing!G71+1,Inputs!$B$62,Inputs!$C$62,Inputs!$D$62)*G148</f>
        <v>138398.28843204</v>
      </c>
      <c r="H150" s="23">
        <f>CHOOSE(Timing!H71+1,Inputs!$B$62,Inputs!$C$62,Inputs!$D$62)*H148</f>
        <v>141166.2542006808</v>
      </c>
      <c r="I150" s="23">
        <f>CHOOSE(Timing!I71+1,Inputs!$B$62,Inputs!$C$62,Inputs!$D$62)*I148</f>
        <v>143989.5792846944</v>
      </c>
      <c r="J150" s="23">
        <f>CHOOSE(Timing!J71+1,Inputs!$B$62,Inputs!$C$62,Inputs!$D$62)*J148</f>
        <v>146869.3708703883</v>
      </c>
      <c r="K150" s="23">
        <f>CHOOSE(Timing!K71+1,Inputs!$B$62,Inputs!$C$62,Inputs!$D$62)*K148</f>
        <v>149806.75828779605</v>
      </c>
      <c r="L150" s="23">
        <f>CHOOSE(Timing!L71+1,Inputs!$B$62,Inputs!$C$62,Inputs!$D$62)*L148</f>
        <v>152802.89345355198</v>
      </c>
      <c r="M150" s="23">
        <f>CHOOSE(Timing!M71+1,Inputs!$B$62,Inputs!$C$62,Inputs!$D$62)*M148</f>
        <v>155858.951322623</v>
      </c>
      <c r="N150" s="23">
        <f>CHOOSE(Timing!N71+1,Inputs!$B$62,Inputs!$C$62,Inputs!$D$62)*N148</f>
        <v>158976.13034907545</v>
      </c>
      <c r="O150" s="23">
        <f>CHOOSE(Timing!O71+1,Inputs!$B$62,Inputs!$C$62,Inputs!$D$62)*O148</f>
        <v>162155.65295605696</v>
      </c>
      <c r="P150" s="23">
        <f>CHOOSE(Timing!P71+1,Inputs!$B$62,Inputs!$C$62,Inputs!$D$62)*P148</f>
        <v>206748.45751897263</v>
      </c>
      <c r="Q150" s="23">
        <f>CHOOSE(Timing!Q71+1,Inputs!$B$62,Inputs!$C$62,Inputs!$D$62)*Q148</f>
        <v>210883.42666935208</v>
      </c>
      <c r="R150" s="23">
        <f>CHOOSE(Timing!R71+1,Inputs!$B$62,Inputs!$C$62,Inputs!$D$62)*R148</f>
        <v>215101.09520273912</v>
      </c>
      <c r="S150" s="23">
        <f>CHOOSE(Timing!S71+1,Inputs!$B$62,Inputs!$C$62,Inputs!$D$62)*S148</f>
        <v>219403.1171067939</v>
      </c>
      <c r="T150" s="23">
        <f>CHOOSE(Timing!T71+1,Inputs!$B$62,Inputs!$C$62,Inputs!$D$62)*T148</f>
        <v>223791.17944892976</v>
      </c>
      <c r="U150" s="23">
        <f>CHOOSE(Timing!U71+1,Inputs!$B$62,Inputs!$C$62,Inputs!$D$62)*U148</f>
        <v>228267.0030379084</v>
      </c>
      <c r="V150" s="23">
        <f>CHOOSE(Timing!V71+1,Inputs!$B$62,Inputs!$C$62,Inputs!$D$62)*V148</f>
        <v>232832.34309866658</v>
      </c>
      <c r="W150" s="23">
        <f>CHOOSE(Timing!W71+1,Inputs!$B$62,Inputs!$C$62,Inputs!$D$62)*W148</f>
        <v>237488.98996063988</v>
      </c>
      <c r="X150" s="23">
        <f>CHOOSE(Timing!X71+1,Inputs!$B$62,Inputs!$C$62,Inputs!$D$62)*X148</f>
        <v>242238.7697598527</v>
      </c>
      <c r="Y150" s="23">
        <f>CHOOSE(Timing!Y71+1,Inputs!$B$62,Inputs!$C$62,Inputs!$D$62)*Y148</f>
        <v>247083.5451550497</v>
      </c>
      <c r="Z150" s="23">
        <f>CHOOSE(Timing!Z71+1,Inputs!$B$62,Inputs!$C$62,Inputs!$D$62)*Z148</f>
        <v>252025.21605815072</v>
      </c>
      <c r="AA150" s="23">
        <f>CHOOSE(Timing!AA71+1,Inputs!$B$62,Inputs!$C$62,Inputs!$D$62)*AA148</f>
        <v>257065.72037931375</v>
      </c>
      <c r="AB150" s="23">
        <f>CHOOSE(Timing!AB71+1,Inputs!$B$62,Inputs!$C$62,Inputs!$D$62)*AB148</f>
        <v>262207.03478690004</v>
      </c>
      <c r="AC150" s="23">
        <f>CHOOSE(Timing!AC71+1,Inputs!$B$62,Inputs!$C$62,Inputs!$D$62)*AC148</f>
        <v>267451.17548263806</v>
      </c>
      <c r="AD150" s="23">
        <f>CHOOSE(Timing!AD71+1,Inputs!$B$62,Inputs!$C$62,Inputs!$D$62)*AD148</f>
        <v>272800.1989922908</v>
      </c>
      <c r="AE150" s="23">
        <f>CHOOSE(Timing!AE71+1,Inputs!$B$62,Inputs!$C$62,Inputs!$D$62)*AE148</f>
        <v>137984.5828437171</v>
      </c>
    </row>
    <row r="151">
      <c r="A151" s="6" t="inlineStr">
        <is>
          <t xml:space="preserve">Insurance</t>
        </is>
      </c>
      <c r="B151" s="10" t="inlineStr">
        <is>
          <t xml:space="preserve">€</t>
        </is>
      </c>
      <c r="F151" s="23">
        <f>CHOOSE(Timing!F71+1,Inputs!$B$63,Inputs!$C$63,Inputs!$D$63)*F148</f>
        <v>17053.25529806557</v>
      </c>
      <c r="G151" s="23">
        <f>CHOOSE(Timing!G71+1,Inputs!$B$63,Inputs!$C$63,Inputs!$D$63)*G148</f>
        <v>34599.57210801</v>
      </c>
      <c r="H151" s="23">
        <f>CHOOSE(Timing!H71+1,Inputs!$B$63,Inputs!$C$63,Inputs!$D$63)*H148</f>
        <v>35291.5635501702</v>
      </c>
      <c r="I151" s="23">
        <f>CHOOSE(Timing!I71+1,Inputs!$B$63,Inputs!$C$63,Inputs!$D$63)*I148</f>
        <v>35997.3948211736</v>
      </c>
      <c r="J151" s="23">
        <f>CHOOSE(Timing!J71+1,Inputs!$B$63,Inputs!$C$63,Inputs!$D$63)*J148</f>
        <v>36717.34271759707</v>
      </c>
      <c r="K151" s="23">
        <f>CHOOSE(Timing!K71+1,Inputs!$B$63,Inputs!$C$63,Inputs!$D$63)*K148</f>
        <v>37451.68957194901</v>
      </c>
      <c r="L151" s="23">
        <f>CHOOSE(Timing!L71+1,Inputs!$B$63,Inputs!$C$63,Inputs!$D$63)*L148</f>
        <v>38200.723363387995</v>
      </c>
      <c r="M151" s="23">
        <f>CHOOSE(Timing!M71+1,Inputs!$B$63,Inputs!$C$63,Inputs!$D$63)*M148</f>
        <v>38964.73783065575</v>
      </c>
      <c r="N151" s="23">
        <f>CHOOSE(Timing!N71+1,Inputs!$B$63,Inputs!$C$63,Inputs!$D$63)*N148</f>
        <v>39744.03258726886</v>
      </c>
      <c r="O151" s="23">
        <f>CHOOSE(Timing!O71+1,Inputs!$B$63,Inputs!$C$63,Inputs!$D$63)*O148</f>
        <v>40538.91323901424</v>
      </c>
      <c r="P151" s="23">
        <f>CHOOSE(Timing!P71+1,Inputs!$B$63,Inputs!$C$63,Inputs!$D$63)*P148</f>
        <v>41349.69150379453</v>
      </c>
      <c r="Q151" s="23">
        <f>CHOOSE(Timing!Q71+1,Inputs!$B$63,Inputs!$C$63,Inputs!$D$63)*Q148</f>
        <v>42176.68533387042</v>
      </c>
      <c r="R151" s="23">
        <f>CHOOSE(Timing!R71+1,Inputs!$B$63,Inputs!$C$63,Inputs!$D$63)*R148</f>
        <v>43020.219040547825</v>
      </c>
      <c r="S151" s="23">
        <f>CHOOSE(Timing!S71+1,Inputs!$B$63,Inputs!$C$63,Inputs!$D$63)*S148</f>
        <v>43880.62342135878</v>
      </c>
      <c r="T151" s="23">
        <f>CHOOSE(Timing!T71+1,Inputs!$B$63,Inputs!$C$63,Inputs!$D$63)*T148</f>
        <v>44758.23588978595</v>
      </c>
      <c r="U151" s="23">
        <f>CHOOSE(Timing!U71+1,Inputs!$B$63,Inputs!$C$63,Inputs!$D$63)*U148</f>
        <v>45653.40060758168</v>
      </c>
      <c r="V151" s="23">
        <f>CHOOSE(Timing!V71+1,Inputs!$B$63,Inputs!$C$63,Inputs!$D$63)*V148</f>
        <v>46566.468619733314</v>
      </c>
      <c r="W151" s="23">
        <f>CHOOSE(Timing!W71+1,Inputs!$B$63,Inputs!$C$63,Inputs!$D$63)*W148</f>
        <v>47497.79799212798</v>
      </c>
      <c r="X151" s="23">
        <f>CHOOSE(Timing!X71+1,Inputs!$B$63,Inputs!$C$63,Inputs!$D$63)*X148</f>
        <v>48447.75395197054</v>
      </c>
      <c r="Y151" s="23">
        <f>CHOOSE(Timing!Y71+1,Inputs!$B$63,Inputs!$C$63,Inputs!$D$63)*Y148</f>
        <v>49416.709031009945</v>
      </c>
      <c r="Z151" s="23">
        <f>CHOOSE(Timing!Z71+1,Inputs!$B$63,Inputs!$C$63,Inputs!$D$63)*Z148</f>
        <v>50405.043211630145</v>
      </c>
      <c r="AA151" s="23">
        <f>CHOOSE(Timing!AA71+1,Inputs!$B$63,Inputs!$C$63,Inputs!$D$63)*AA148</f>
        <v>51413.14407586275</v>
      </c>
      <c r="AB151" s="23">
        <f>CHOOSE(Timing!AB71+1,Inputs!$B$63,Inputs!$C$63,Inputs!$D$63)*AB148</f>
        <v>52441.40695738001</v>
      </c>
      <c r="AC151" s="23">
        <f>CHOOSE(Timing!AC71+1,Inputs!$B$63,Inputs!$C$63,Inputs!$D$63)*AC148</f>
        <v>53490.23509652761</v>
      </c>
      <c r="AD151" s="23">
        <f>CHOOSE(Timing!AD71+1,Inputs!$B$63,Inputs!$C$63,Inputs!$D$63)*AD148</f>
        <v>54560.039798458165</v>
      </c>
      <c r="AE151" s="23">
        <f>CHOOSE(Timing!AE71+1,Inputs!$B$63,Inputs!$C$63,Inputs!$D$63)*AE148</f>
        <v>27596.916568743418</v>
      </c>
    </row>
    <row r="152">
      <c r="A152" s="6" t="inlineStr">
        <is>
          <t xml:space="preserve">Other</t>
        </is>
      </c>
      <c r="B152" s="10" t="inlineStr">
        <is>
          <t xml:space="preserve">€</t>
        </is>
      </c>
      <c r="F152" s="23">
        <f>CHOOSE(Timing!F71+1,Inputs!$B$64,Inputs!$C$64,Inputs!$D$64)*F148</f>
        <v>102319.53178839342</v>
      </c>
      <c r="G152" s="23">
        <f>CHOOSE(Timing!G71+1,Inputs!$B$64,Inputs!$C$64,Inputs!$D$64)*G148</f>
        <v>207597.43264805997</v>
      </c>
      <c r="H152" s="23">
        <f>CHOOSE(Timing!H71+1,Inputs!$B$64,Inputs!$C$64,Inputs!$D$64)*H148</f>
        <v>211749.3813010212</v>
      </c>
      <c r="I152" s="23">
        <f>CHOOSE(Timing!I71+1,Inputs!$B$64,Inputs!$C$64,Inputs!$D$64)*I148</f>
        <v>215984.3689270416</v>
      </c>
      <c r="J152" s="23">
        <f>CHOOSE(Timing!J71+1,Inputs!$B$64,Inputs!$C$64,Inputs!$D$64)*J148</f>
        <v>220304.05630558243</v>
      </c>
      <c r="K152" s="23">
        <f>CHOOSE(Timing!K71+1,Inputs!$B$64,Inputs!$C$64,Inputs!$D$64)*K148</f>
        <v>224710.13743169408</v>
      </c>
      <c r="L152" s="23">
        <f>CHOOSE(Timing!L71+1,Inputs!$B$64,Inputs!$C$64,Inputs!$D$64)*L148</f>
        <v>229204.34018032797</v>
      </c>
      <c r="M152" s="23">
        <f>CHOOSE(Timing!M71+1,Inputs!$B$64,Inputs!$C$64,Inputs!$D$64)*M148</f>
        <v>233788.4269839345</v>
      </c>
      <c r="N152" s="23">
        <f>CHOOSE(Timing!N71+1,Inputs!$B$64,Inputs!$C$64,Inputs!$D$64)*N148</f>
        <v>238464.1955236132</v>
      </c>
      <c r="O152" s="23">
        <f>CHOOSE(Timing!O71+1,Inputs!$B$64,Inputs!$C$64,Inputs!$D$64)*O148</f>
        <v>243233.47943408543</v>
      </c>
      <c r="P152" s="23">
        <f>CHOOSE(Timing!P71+1,Inputs!$B$64,Inputs!$C$64,Inputs!$D$64)*P148</f>
        <v>248098.14902276717</v>
      </c>
      <c r="Q152" s="23">
        <f>CHOOSE(Timing!Q71+1,Inputs!$B$64,Inputs!$C$64,Inputs!$D$64)*Q148</f>
        <v>253060.11200322252</v>
      </c>
      <c r="R152" s="23">
        <f>CHOOSE(Timing!R71+1,Inputs!$B$64,Inputs!$C$64,Inputs!$D$64)*R148</f>
        <v>258121.31424328696</v>
      </c>
      <c r="S152" s="23">
        <f>CHOOSE(Timing!S71+1,Inputs!$B$64,Inputs!$C$64,Inputs!$D$64)*S148</f>
        <v>263283.7405281527</v>
      </c>
      <c r="T152" s="23">
        <f>CHOOSE(Timing!T71+1,Inputs!$B$64,Inputs!$C$64,Inputs!$D$64)*T148</f>
        <v>268549.4153387157</v>
      </c>
      <c r="U152" s="23">
        <f>CHOOSE(Timing!U71+1,Inputs!$B$64,Inputs!$C$64,Inputs!$D$64)*U148</f>
        <v>273920.40364549006</v>
      </c>
      <c r="V152" s="23">
        <f>CHOOSE(Timing!V71+1,Inputs!$B$64,Inputs!$C$64,Inputs!$D$64)*V148</f>
        <v>279398.81171839987</v>
      </c>
      <c r="W152" s="23">
        <f>CHOOSE(Timing!W71+1,Inputs!$B$64,Inputs!$C$64,Inputs!$D$64)*W148</f>
        <v>284986.78795276786</v>
      </c>
      <c r="X152" s="23">
        <f>CHOOSE(Timing!X71+1,Inputs!$B$64,Inputs!$C$64,Inputs!$D$64)*X148</f>
        <v>290686.5237118232</v>
      </c>
      <c r="Y152" s="23">
        <f>CHOOSE(Timing!Y71+1,Inputs!$B$64,Inputs!$C$64,Inputs!$D$64)*Y148</f>
        <v>296500.2541860597</v>
      </c>
      <c r="Z152" s="23">
        <f>CHOOSE(Timing!Z71+1,Inputs!$B$64,Inputs!$C$64,Inputs!$D$64)*Z148</f>
        <v>302430.2592697809</v>
      </c>
      <c r="AA152" s="23">
        <f>CHOOSE(Timing!AA71+1,Inputs!$B$64,Inputs!$C$64,Inputs!$D$64)*AA148</f>
        <v>308478.8644551765</v>
      </c>
      <c r="AB152" s="23">
        <f>CHOOSE(Timing!AB71+1,Inputs!$B$64,Inputs!$C$64,Inputs!$D$64)*AB148</f>
        <v>314648.44174428005</v>
      </c>
      <c r="AC152" s="23">
        <f>CHOOSE(Timing!AC71+1,Inputs!$B$64,Inputs!$C$64,Inputs!$D$64)*AC148</f>
        <v>320941.4105791657</v>
      </c>
      <c r="AD152" s="23">
        <f>CHOOSE(Timing!AD71+1,Inputs!$B$64,Inputs!$C$64,Inputs!$D$64)*AD148</f>
        <v>327360.238790749</v>
      </c>
      <c r="AE152" s="23">
        <f>CHOOSE(Timing!AE71+1,Inputs!$B$64,Inputs!$C$64,Inputs!$D$64)*AE148</f>
        <v>165581.49941246051</v>
      </c>
    </row>
    <row r="153">
      <c r="A153" s="6" t="inlineStr">
        <is>
          <t xml:space="preserve">Land lease on revenue</t>
        </is>
      </c>
      <c r="B153" s="10" t="inlineStr">
        <is>
          <t xml:space="preserve">€</t>
        </is>
      </c>
      <c r="F153" s="23">
        <f>Inputs!$C$65*F146</f>
        <v>265146.54047793493</v>
      </c>
      <c r="G153" s="23">
        <f>Inputs!$C$65*G146</f>
        <v>440440.0745591457</v>
      </c>
      <c r="H153" s="23">
        <f>Inputs!$C$65*H146</f>
        <v>433818.5183401865</v>
      </c>
      <c r="I153" s="23">
        <f>Inputs!$C$65*I146</f>
        <v>441609.8989295762</v>
      </c>
      <c r="J153" s="23">
        <f>Inputs!$C$65*J146</f>
        <v>449541.2127143515</v>
      </c>
      <c r="K153" s="23">
        <f>Inputs!$C$65*K146</f>
        <v>494712.2342941993</v>
      </c>
      <c r="L153" s="23">
        <f>Inputs!$C$65*L146</f>
        <v>465833.73780789005</v>
      </c>
      <c r="M153" s="23">
        <f>Inputs!$C$65*M146</f>
        <v>474200.1117389197</v>
      </c>
      <c r="N153" s="23">
        <f>Inputs!$C$65*N146</f>
        <v>482716.7457457507</v>
      </c>
      <c r="O153" s="23">
        <f>Inputs!$C$65*O146</f>
        <v>491386.33849934454</v>
      </c>
      <c r="P153" s="23">
        <f>Inputs!$C$65*P146</f>
        <v>500211.6371387926</v>
      </c>
      <c r="Q153" s="23">
        <f>Inputs!$C$65*Q146</f>
        <v>509195.43814180535</v>
      </c>
      <c r="R153" s="23">
        <f>Inputs!$C$65*R146</f>
        <v>518340.58821083215</v>
      </c>
      <c r="S153" s="23">
        <f>Inputs!$C$65*S146</f>
        <v>527649.9851750988</v>
      </c>
      <c r="T153" s="23">
        <f>Inputs!$C$65*T146</f>
        <v>537126.5789088435</v>
      </c>
      <c r="U153" s="23">
        <f>Inputs!$C$65*U146</f>
        <v>546773.3722660462</v>
      </c>
      <c r="V153" s="23">
        <f>Inputs!$C$65*V146</f>
        <v>556593.4220319445</v>
      </c>
      <c r="W153" s="23">
        <f>Inputs!$C$65*W146</f>
        <v>566589.8398916381</v>
      </c>
      <c r="X153" s="23">
        <f>Inputs!$C$65*X146</f>
        <v>576765.793416092</v>
      </c>
      <c r="Y153" s="23">
        <f>Inputs!$C$65*Y146</f>
        <v>587124.5070658451</v>
      </c>
      <c r="Z153" s="23">
        <f>Inputs!$C$65*Z146</f>
        <v>597669.2632127478</v>
      </c>
      <c r="AA153" s="23">
        <f>Inputs!$C$65*AA146</f>
        <v>608403.4031800486</v>
      </c>
      <c r="AB153" s="23">
        <f>Inputs!$C$65*AB146</f>
        <v>619330.3283011623</v>
      </c>
      <c r="AC153" s="23">
        <f>Inputs!$C$65*AC146</f>
        <v>630453.5009974513</v>
      </c>
      <c r="AD153" s="23">
        <f>Inputs!$C$65*AD146</f>
        <v>641776.4458753655</v>
      </c>
      <c r="AE153" s="23">
        <f>Inputs!$C$65*AE146</f>
        <v>323966.5695962602</v>
      </c>
    </row>
    <row r="154">
      <c r="A154" s="6" t="inlineStr">
        <is>
          <t xml:space="preserve">Land lease minimum</t>
        </is>
      </c>
      <c r="B154" s="10" t="inlineStr">
        <is>
          <t xml:space="preserve">€</t>
        </is>
      </c>
      <c r="F154" s="23">
        <f>Inputs!$C$66*Inputs!$C$6*Timing!F76*Timing!F66</f>
        <v>184140.53879781417</v>
      </c>
      <c r="G154" s="23">
        <f>Inputs!$C$66*Inputs!$C$6*Timing!G76*Timing!G66</f>
        <v>373605.14099999995</v>
      </c>
      <c r="H154" s="23">
        <f>Inputs!$C$66*Inputs!$C$6*Timing!H76*Timing!H66</f>
        <v>381077.24382000003</v>
      </c>
      <c r="I154" s="23">
        <f>Inputs!$C$66*Inputs!$C$6*Timing!I76*Timing!I66</f>
        <v>388698.78869639995</v>
      </c>
      <c r="J154" s="23">
        <f>Inputs!$C$66*Inputs!$C$6*Timing!J76*Timing!J66</f>
        <v>396472.764470328</v>
      </c>
      <c r="K154" s="23">
        <f>Inputs!$C$66*Inputs!$C$6*Timing!K76*Timing!K66</f>
        <v>404402.2197597346</v>
      </c>
      <c r="L154" s="23">
        <f>Inputs!$C$66*Inputs!$C$6*Timing!L76*Timing!L66</f>
        <v>412490.26415492926</v>
      </c>
      <c r="M154" s="23">
        <f>Inputs!$C$66*Inputs!$C$6*Timing!M76*Timing!M66</f>
        <v>420740.0694380278</v>
      </c>
      <c r="N154" s="23">
        <f>Inputs!$C$66*Inputs!$C$6*Timing!N76*Timing!N66</f>
        <v>429154.87082678836</v>
      </c>
      <c r="O154" s="23">
        <f>Inputs!$C$66*Inputs!$C$6*Timing!O76*Timing!O66</f>
        <v>437737.9682433241</v>
      </c>
      <c r="P154" s="23">
        <f>Inputs!$C$66*Inputs!$C$6*Timing!P76*Timing!P66</f>
        <v>446492.72760819056</v>
      </c>
      <c r="Q154" s="23">
        <f>Inputs!$C$66*Inputs!$C$6*Timing!Q76*Timing!Q66</f>
        <v>455422.58216035436</v>
      </c>
      <c r="R154" s="23">
        <f>Inputs!$C$66*Inputs!$C$6*Timing!R76*Timing!R66</f>
        <v>464531.0338035615</v>
      </c>
      <c r="S154" s="23">
        <f>Inputs!$C$66*Inputs!$C$6*Timing!S76*Timing!S66</f>
        <v>473821.6544796327</v>
      </c>
      <c r="T154" s="23">
        <f>Inputs!$C$66*Inputs!$C$6*Timing!T76*Timing!T66</f>
        <v>483298.08756922535</v>
      </c>
      <c r="U154" s="23">
        <f>Inputs!$C$66*Inputs!$C$6*Timing!U76*Timing!U66</f>
        <v>492964.04932060983</v>
      </c>
      <c r="V154" s="23">
        <f>Inputs!$C$66*Inputs!$C$6*Timing!V76*Timing!V66</f>
        <v>502823.3303070221</v>
      </c>
      <c r="W154" s="23">
        <f>Inputs!$C$66*Inputs!$C$6*Timing!W76*Timing!W66</f>
        <v>512879.7969131625</v>
      </c>
      <c r="X154" s="23">
        <f>Inputs!$C$66*Inputs!$C$6*Timing!X76*Timing!X66</f>
        <v>523137.39285142574</v>
      </c>
      <c r="Y154" s="23">
        <f>Inputs!$C$66*Inputs!$C$6*Timing!Y76*Timing!Y66</f>
        <v>533600.1407084543</v>
      </c>
      <c r="Z154" s="23">
        <f>Inputs!$C$66*Inputs!$C$6*Timing!Z76*Timing!Z66</f>
        <v>544272.1435226233</v>
      </c>
      <c r="AA154" s="23">
        <f>Inputs!$C$66*Inputs!$C$6*Timing!AA76*Timing!AA66</f>
        <v>555157.5863930759</v>
      </c>
      <c r="AB154" s="23">
        <f>Inputs!$C$66*Inputs!$C$6*Timing!AB76*Timing!AB66</f>
        <v>566260.7381209374</v>
      </c>
      <c r="AC154" s="23">
        <f>Inputs!$C$66*Inputs!$C$6*Timing!AC76*Timing!AC66</f>
        <v>577585.9528833561</v>
      </c>
      <c r="AD154" s="23">
        <f>Inputs!$C$66*Inputs!$C$6*Timing!AD76*Timing!AD66</f>
        <v>589137.6719410233</v>
      </c>
      <c r="AE154" s="23">
        <f>Inputs!$C$66*Inputs!$C$6*Timing!AE76*Timing!AE66</f>
        <v>297990.6766952102</v>
      </c>
    </row>
    <row r="155">
      <c r="A155" s="6" t="inlineStr">
        <is>
          <t xml:space="preserve">Land lease</t>
        </is>
      </c>
      <c r="B155" s="10" t="inlineStr">
        <is>
          <t xml:space="preserve">€</t>
        </is>
      </c>
      <c r="F155" s="23">
        <f>MAX(F153,F154)</f>
        <v>265146.54047793493</v>
      </c>
      <c r="G155" s="23">
        <f>MAX(G153,G154)</f>
        <v>440440.0745591457</v>
      </c>
      <c r="H155" s="23">
        <f>MAX(H153,H154)</f>
        <v>433818.5183401865</v>
      </c>
      <c r="I155" s="23">
        <f>MAX(I153,I154)</f>
        <v>441609.8989295762</v>
      </c>
      <c r="J155" s="23">
        <f>MAX(J153,J154)</f>
        <v>449541.2127143515</v>
      </c>
      <c r="K155" s="23">
        <f>MAX(K153,K154)</f>
        <v>494712.2342941993</v>
      </c>
      <c r="L155" s="23">
        <f>MAX(L153,L154)</f>
        <v>465833.73780789005</v>
      </c>
      <c r="M155" s="23">
        <f>MAX(M153,M154)</f>
        <v>474200.1117389197</v>
      </c>
      <c r="N155" s="23">
        <f>MAX(N153,N154)</f>
        <v>482716.7457457507</v>
      </c>
      <c r="O155" s="23">
        <f>MAX(O153,O154)</f>
        <v>491386.33849934454</v>
      </c>
      <c r="P155" s="23">
        <f>MAX(P153,P154)</f>
        <v>500211.6371387926</v>
      </c>
      <c r="Q155" s="23">
        <f>MAX(Q153,Q154)</f>
        <v>509195.43814180535</v>
      </c>
      <c r="R155" s="23">
        <f>MAX(R153,R154)</f>
        <v>518340.58821083215</v>
      </c>
      <c r="S155" s="23">
        <f>MAX(S153,S154)</f>
        <v>527649.9851750988</v>
      </c>
      <c r="T155" s="23">
        <f>MAX(T153,T154)</f>
        <v>537126.5789088435</v>
      </c>
      <c r="U155" s="23">
        <f>MAX(U153,U154)</f>
        <v>546773.3722660462</v>
      </c>
      <c r="V155" s="23">
        <f>MAX(V153,V154)</f>
        <v>556593.4220319445</v>
      </c>
      <c r="W155" s="23">
        <f>MAX(W153,W154)</f>
        <v>566589.8398916381</v>
      </c>
      <c r="X155" s="23">
        <f>MAX(X153,X154)</f>
        <v>576765.793416092</v>
      </c>
      <c r="Y155" s="23">
        <f>MAX(Y153,Y154)</f>
        <v>587124.5070658451</v>
      </c>
      <c r="Z155" s="23">
        <f>MAX(Z153,Z154)</f>
        <v>597669.2632127478</v>
      </c>
      <c r="AA155" s="23">
        <f>MAX(AA153,AA154)</f>
        <v>608403.4031800486</v>
      </c>
      <c r="AB155" s="23">
        <f>MAX(AB153,AB154)</f>
        <v>619330.3283011623</v>
      </c>
      <c r="AC155" s="23">
        <f>MAX(AC153,AC154)</f>
        <v>630453.5009974513</v>
      </c>
      <c r="AD155" s="23">
        <f>MAX(AD153,AD154)</f>
        <v>641776.4458753655</v>
      </c>
      <c r="AE155" s="23">
        <f>MAX(AE153,AE154)</f>
        <v>323966.5695962602</v>
      </c>
    </row>
    <row r="156">
      <c r="A156" s="6" t="inlineStr">
        <is>
          <t xml:space="preserve">Direct marketing</t>
        </is>
      </c>
      <c r="B156" s="10" t="inlineStr">
        <is>
          <t xml:space="preserve">€</t>
        </is>
      </c>
      <c r="F156" s="23">
        <f>Inputs!$C$32*Timing!F76/100*F130</f>
        <v>66647.78935058297</v>
      </c>
      <c r="G156" s="23">
        <f>Inputs!$C$32*Timing!G76/100*G130</f>
        <v>134952.1239941246</v>
      </c>
      <c r="H156" s="23">
        <f>Inputs!$C$32*Timing!H76/100*H130</f>
        <v>137375.86414105908</v>
      </c>
      <c r="I156" s="23">
        <f>Inputs!$C$32*Timing!I76/100*I130</f>
        <v>139843.13466103247</v>
      </c>
      <c r="J156" s="23">
        <f>Inputs!$C$32*Timing!J76/100*J130</f>
        <v>142354.7173595446</v>
      </c>
      <c r="K156" s="23">
        <f>Inputs!$C$32*Timing!K76/100*K130</f>
        <v>144911.40808332205</v>
      </c>
      <c r="L156" s="23">
        <f>Inputs!$C$32*Timing!L76/100*L130</f>
        <v>147514.01697249853</v>
      </c>
      <c r="M156" s="23">
        <f>Inputs!$C$32*Timing!M76/100*M130</f>
        <v>150163.36871732457</v>
      </c>
      <c r="N156" s="23">
        <f>Inputs!$C$32*Timing!N76/100*N130</f>
        <v>152860.3028194877</v>
      </c>
      <c r="O156" s="23">
        <f>Inputs!$C$32*Timing!O76/100*O130</f>
        <v>155605.67385812575</v>
      </c>
      <c r="P156" s="23">
        <f>Inputs!$C$32*Timing!P76/100*P130</f>
        <v>158400.35176061766</v>
      </c>
      <c r="Q156" s="23">
        <f>Inputs!$C$32*Timing!Q76/100*Q130</f>
        <v>161245.22207823832</v>
      </c>
      <c r="R156" s="23">
        <f>Inputs!$C$32*Timing!R76/100*R130</f>
        <v>164141.1862667635</v>
      </c>
      <c r="S156" s="23">
        <f>Inputs!$C$32*Timing!S76/100*S130</f>
        <v>167089.16197211458</v>
      </c>
      <c r="T156" s="23">
        <f>Inputs!$C$32*Timing!T76/100*T130</f>
        <v>170090.08332113374</v>
      </c>
      <c r="U156" s="23">
        <f>Inputs!$C$32*Timing!U76/100*U130</f>
        <v>173144.90121758133</v>
      </c>
      <c r="V156" s="23">
        <f>Inputs!$C$32*Timing!V76/100*V130</f>
        <v>176254.58364344906</v>
      </c>
      <c r="W156" s="23">
        <f>Inputs!$C$32*Timing!W76/100*W130</f>
        <v>179420.11596568543</v>
      </c>
      <c r="X156" s="23">
        <f>Inputs!$C$32*Timing!X76/100*X130</f>
        <v>182642.50124842915</v>
      </c>
      <c r="Y156" s="23">
        <f>Inputs!$C$32*Timing!Y76/100*Y130</f>
        <v>185922.76057085092</v>
      </c>
      <c r="Z156" s="23">
        <f>Inputs!$C$32*Timing!Z76/100*Z130</f>
        <v>189261.93335070342</v>
      </c>
      <c r="AA156" s="23">
        <f>Inputs!$C$32*Timing!AA76/100*AA130</f>
        <v>192661.07767368204</v>
      </c>
      <c r="AB156" s="23">
        <f>Inputs!$C$32*Timing!AB76/100*AB130</f>
        <v>196121.27062870137</v>
      </c>
      <c r="AC156" s="23">
        <f>Inputs!$C$32*Timing!AC76/100*AC130</f>
        <v>199643.60864919287</v>
      </c>
      <c r="AD156" s="23">
        <f>Inputs!$C$32*Timing!AD76/100*AD130</f>
        <v>203229.20786053236</v>
      </c>
      <c r="AE156" s="23">
        <f>Inputs!$C$32*Timing!AE76/100*AE130</f>
        <v>102589.41370548238</v>
      </c>
    </row>
    <row r="157">
      <c r="A157" s="6" t="inlineStr">
        <is>
          <t xml:space="preserve">Municipal payment (§ 6)</t>
        </is>
      </c>
      <c r="B157" s="10" t="inlineStr">
        <is>
          <t xml:space="preserve">€</t>
        </is>
      </c>
      <c r="F157" s="23">
        <f>Inputs!$C$38/100*F129*(Timing!F69+IF(Inputs!$C$39,1-Timing!F69,0))</f>
        <v>67037.45461112837</v>
      </c>
      <c r="G157" s="23">
        <f>Inputs!$C$38/100*G129*(Timing!G69+IF(Inputs!$C$39,1-Timing!G69,0))</f>
        <v>133079.54875487846</v>
      </c>
      <c r="H157" s="23">
        <f>Inputs!$C$38/100*H129*(Timing!H69+IF(Inputs!$C$39,1-Timing!H69,0))</f>
        <v>132813.38965736868</v>
      </c>
      <c r="I157" s="23">
        <f>Inputs!$C$38/100*I129*(Timing!I69+IF(Inputs!$C$39,1-Timing!I69,0))</f>
        <v>132547.76287805397</v>
      </c>
      <c r="J157" s="23">
        <f>Inputs!$C$38/100*J129*(Timing!J69+IF(Inputs!$C$39,1-Timing!J69,0))</f>
        <v>132282.66735229787</v>
      </c>
      <c r="K157" s="23">
        <f>Inputs!$C$38/100*K129*(Timing!K69+IF(Inputs!$C$39,1-Timing!K69,0))</f>
        <v>132018.10201759328</v>
      </c>
      <c r="L157" s="23">
        <f>Inputs!$C$38/100*L129*(Timing!L69+IF(Inputs!$C$39,1-Timing!L69,0))</f>
        <v>131754.0658135581</v>
      </c>
      <c r="M157" s="23">
        <f>Inputs!$C$38/100*M129*(Timing!M69+IF(Inputs!$C$39,1-Timing!M69,0))</f>
        <v>131490.55768193095</v>
      </c>
      <c r="N157" s="23">
        <f>Inputs!$C$38/100*N129*(Timing!N69+IF(Inputs!$C$39,1-Timing!N69,0))</f>
        <v>131227.5765665671</v>
      </c>
      <c r="O157" s="23">
        <f>Inputs!$C$38/100*O129*(Timing!O69+IF(Inputs!$C$39,1-Timing!O69,0))</f>
        <v>130965.12141343398</v>
      </c>
      <c r="P157" s="23">
        <f>Inputs!$C$38/100*P129*(Timing!P69+IF(Inputs!$C$39,1-Timing!P69,0))</f>
        <v>130703.1911706071</v>
      </c>
      <c r="Q157" s="23">
        <f>Inputs!$C$38/100*Q129*(Timing!Q69+IF(Inputs!$C$39,1-Timing!Q69,0))</f>
        <v>130441.78478826588</v>
      </c>
      <c r="R157" s="23">
        <f>Inputs!$C$38/100*R129*(Timing!R69+IF(Inputs!$C$39,1-Timing!R69,0))</f>
        <v>130180.90121868935</v>
      </c>
      <c r="S157" s="23">
        <f>Inputs!$C$38/100*S129*(Timing!S69+IF(Inputs!$C$39,1-Timing!S69,0))</f>
        <v>129920.539416252</v>
      </c>
      <c r="T157" s="23">
        <f>Inputs!$C$38/100*T129*(Timing!T69+IF(Inputs!$C$39,1-Timing!T69,0))</f>
        <v>129660.69833741945</v>
      </c>
      <c r="U157" s="23">
        <f>Inputs!$C$38/100*U129*(Timing!U69+IF(Inputs!$C$39,1-Timing!U69,0))</f>
        <v>129401.37694074464</v>
      </c>
      <c r="V157" s="23">
        <f>Inputs!$C$38/100*V129*(Timing!V69+IF(Inputs!$C$39,1-Timing!V69,0))</f>
        <v>129142.57418686314</v>
      </c>
      <c r="W157" s="23">
        <f>Inputs!$C$38/100*W129*(Timing!W69+IF(Inputs!$C$39,1-Timing!W69,0))</f>
        <v>128884.2890384894</v>
      </c>
      <c r="X157" s="23">
        <f>Inputs!$C$38/100*X129*(Timing!X69+IF(Inputs!$C$39,1-Timing!X69,0))</f>
        <v>128626.52046041243</v>
      </c>
      <c r="Y157" s="23">
        <f>Inputs!$C$38/100*Y129*(Timing!Y69+IF(Inputs!$C$39,1-Timing!Y69,0))</f>
        <v>128369.2674194916</v>
      </c>
      <c r="Z157" s="23">
        <f>Inputs!$C$38/100*Z129*(Timing!Z69+IF(Inputs!$C$39,1-Timing!Z69,0))</f>
        <v>128112.52888465264</v>
      </c>
      <c r="AA157" s="23">
        <f>Inputs!$C$38/100*AA129*(Timing!AA69+IF(Inputs!$C$39,1-Timing!AA69,0))</f>
        <v>127856.30382688332</v>
      </c>
      <c r="AB157" s="23">
        <f>Inputs!$C$38/100*AB129*(Timing!AB69+IF(Inputs!$C$39,1-Timing!AB69,0))</f>
        <v>127600.59121922955</v>
      </c>
      <c r="AC157" s="23">
        <f>Inputs!$C$38/100*AC129*(Timing!AC69+IF(Inputs!$C$39,1-Timing!AC69,0))</f>
        <v>127345.3900367911</v>
      </c>
      <c r="AD157" s="23">
        <f>Inputs!$C$38/100*AD129*(Timing!AD69+IF(Inputs!$C$39,1-Timing!AD69,0))</f>
        <v>127090.69925671752</v>
      </c>
      <c r="AE157" s="23">
        <f>Inputs!$C$38/100*AE129*(Timing!AE69+IF(Inputs!$C$39,1-Timing!AE69,0))</f>
        <v>62897.012965301205</v>
      </c>
    </row>
    <row r="158">
      <c r="A158" s="6" t="inlineStr">
        <is>
          <t xml:space="preserve">Guarantee fee</t>
        </is>
      </c>
      <c r="B158" s="10" t="inlineStr">
        <is>
          <t xml:space="preserve">€</t>
        </is>
      </c>
      <c r="F158" s="23">
        <f>Timing!$C$33*Inputs!$C$68*Timing!F66</f>
        <v>4995.901639344263</v>
      </c>
      <c r="G158" s="23">
        <f>Timing!$C$33*Inputs!$C$68*Timing!G66</f>
        <v>9937.5</v>
      </c>
      <c r="H158" s="23">
        <f>Timing!$C$33*Inputs!$C$68*Timing!H66</f>
        <v>9937.5</v>
      </c>
      <c r="I158" s="23">
        <f>Timing!$C$33*Inputs!$C$68*Timing!I66</f>
        <v>9937.5</v>
      </c>
      <c r="J158" s="23">
        <f>Timing!$C$33*Inputs!$C$68*Timing!J66</f>
        <v>9937.5</v>
      </c>
      <c r="K158" s="23">
        <f>Timing!$C$33*Inputs!$C$68*Timing!K66</f>
        <v>9937.5</v>
      </c>
      <c r="L158" s="23">
        <f>Timing!$C$33*Inputs!$C$68*Timing!L66</f>
        <v>9937.5</v>
      </c>
      <c r="M158" s="23">
        <f>Timing!$C$33*Inputs!$C$68*Timing!M66</f>
        <v>9937.5</v>
      </c>
      <c r="N158" s="23">
        <f>Timing!$C$33*Inputs!$C$68*Timing!N66</f>
        <v>9937.5</v>
      </c>
      <c r="O158" s="23">
        <f>Timing!$C$33*Inputs!$C$68*Timing!O66</f>
        <v>9937.5</v>
      </c>
      <c r="P158" s="23">
        <f>Timing!$C$33*Inputs!$C$68*Timing!P66</f>
        <v>9937.5</v>
      </c>
      <c r="Q158" s="23">
        <f>Timing!$C$33*Inputs!$C$68*Timing!Q66</f>
        <v>9937.5</v>
      </c>
      <c r="R158" s="23">
        <f>Timing!$C$33*Inputs!$C$68*Timing!R66</f>
        <v>9937.5</v>
      </c>
      <c r="S158" s="23">
        <f>Timing!$C$33*Inputs!$C$68*Timing!S66</f>
        <v>9937.5</v>
      </c>
      <c r="T158" s="23">
        <f>Timing!$C$33*Inputs!$C$68*Timing!T66</f>
        <v>9937.5</v>
      </c>
      <c r="U158" s="23">
        <f>Timing!$C$33*Inputs!$C$68*Timing!U66</f>
        <v>9937.5</v>
      </c>
      <c r="V158" s="23">
        <f>Timing!$C$33*Inputs!$C$68*Timing!V66</f>
        <v>9937.5</v>
      </c>
      <c r="W158" s="23">
        <f>Timing!$C$33*Inputs!$C$68*Timing!W66</f>
        <v>9937.5</v>
      </c>
      <c r="X158" s="23">
        <f>Timing!$C$33*Inputs!$C$68*Timing!X66</f>
        <v>9937.5</v>
      </c>
      <c r="Y158" s="23">
        <f>Timing!$C$33*Inputs!$C$68*Timing!Y66</f>
        <v>9937.5</v>
      </c>
      <c r="Z158" s="23">
        <f>Timing!$C$33*Inputs!$C$68*Timing!Z66</f>
        <v>9937.5</v>
      </c>
      <c r="AA158" s="23">
        <f>Timing!$C$33*Inputs!$C$68*Timing!AA66</f>
        <v>9937.5</v>
      </c>
      <c r="AB158" s="23">
        <f>Timing!$C$33*Inputs!$C$68*Timing!AB66</f>
        <v>9937.5</v>
      </c>
      <c r="AC158" s="23">
        <f>Timing!$C$33*Inputs!$C$68*Timing!AC66</f>
        <v>9937.5</v>
      </c>
      <c r="AD158" s="23">
        <f>Timing!$C$33*Inputs!$C$68*Timing!AD66</f>
        <v>9937.5</v>
      </c>
      <c r="AE158" s="23">
        <f>Timing!$C$33*Inputs!$C$68*Timing!AE66</f>
        <v>4927.91095890411</v>
      </c>
    </row>
    <row r="159">
      <c r="A159" s="6" t="inlineStr">
        <is>
          <t xml:space="preserve">Generator grid fee</t>
        </is>
      </c>
      <c r="B159" s="10" t="inlineStr">
        <is>
          <t xml:space="preserve">€</t>
        </is>
      </c>
      <c r="F159" s="23">
        <f>Inputs!$C$71*Timing!$C$28*Timing!F76*Timing!F66*1</f>
        <v>0</v>
      </c>
      <c r="G159" s="23">
        <f>Inputs!$C$71*Timing!$C$28*Timing!G76*Timing!G66*1</f>
        <v>0</v>
      </c>
      <c r="H159" s="23">
        <f>Inputs!$C$71*Timing!$C$28*Timing!H76*Timing!H66*1</f>
        <v>0</v>
      </c>
      <c r="I159" s="23">
        <f>Inputs!$C$71*Timing!$C$28*Timing!I76*Timing!I66*1</f>
        <v>0</v>
      </c>
      <c r="J159" s="23">
        <f>Inputs!$C$71*Timing!$C$28*Timing!J76*Timing!J66*1</f>
        <v>0</v>
      </c>
      <c r="K159" s="23">
        <f>Inputs!$C$71*Timing!$C$28*Timing!K76*Timing!K66*1</f>
        <v>0</v>
      </c>
      <c r="L159" s="23">
        <f>Inputs!$C$71*Timing!$C$28*Timing!L76*Timing!L66*1</f>
        <v>0</v>
      </c>
      <c r="M159" s="23">
        <f>Inputs!$C$71*Timing!$C$28*Timing!M76*Timing!M66*1</f>
        <v>0</v>
      </c>
      <c r="N159" s="23">
        <f>Inputs!$C$71*Timing!$C$28*Timing!N76*Timing!N66*1</f>
        <v>0</v>
      </c>
      <c r="O159" s="23">
        <f>Inputs!$C$71*Timing!$C$28*Timing!O76*Timing!O66*1</f>
        <v>0</v>
      </c>
      <c r="P159" s="23">
        <f>Inputs!$C$71*Timing!$C$28*Timing!P76*Timing!P66*1</f>
        <v>0</v>
      </c>
      <c r="Q159" s="23">
        <f>Inputs!$C$71*Timing!$C$28*Timing!Q76*Timing!Q66*1</f>
        <v>0</v>
      </c>
      <c r="R159" s="23">
        <f>Inputs!$C$71*Timing!$C$28*Timing!R76*Timing!R66*1</f>
        <v>0</v>
      </c>
      <c r="S159" s="23">
        <f>Inputs!$C$71*Timing!$C$28*Timing!S76*Timing!S66*1</f>
        <v>0</v>
      </c>
      <c r="T159" s="23">
        <f>Inputs!$C$71*Timing!$C$28*Timing!T76*Timing!T66*1</f>
        <v>0</v>
      </c>
      <c r="U159" s="23">
        <f>Inputs!$C$71*Timing!$C$28*Timing!U76*Timing!U66*1</f>
        <v>0</v>
      </c>
      <c r="V159" s="23">
        <f>Inputs!$C$71*Timing!$C$28*Timing!V76*Timing!V66*1</f>
        <v>0</v>
      </c>
      <c r="W159" s="23">
        <f>Inputs!$C$71*Timing!$C$28*Timing!W76*Timing!W66*1</f>
        <v>0</v>
      </c>
      <c r="X159" s="23">
        <f>Inputs!$C$71*Timing!$C$28*Timing!X76*Timing!X66*1</f>
        <v>0</v>
      </c>
      <c r="Y159" s="23">
        <f>Inputs!$C$71*Timing!$C$28*Timing!Y76*Timing!Y66*1</f>
        <v>0</v>
      </c>
      <c r="Z159" s="23">
        <f>Inputs!$C$71*Timing!$C$28*Timing!Z76*Timing!Z66*1</f>
        <v>0</v>
      </c>
      <c r="AA159" s="23">
        <f>Inputs!$C$71*Timing!$C$28*Timing!AA76*Timing!AA66*1</f>
        <v>0</v>
      </c>
      <c r="AB159" s="23">
        <f>Inputs!$C$71*Timing!$C$28*Timing!AB76*Timing!AB66*1</f>
        <v>0</v>
      </c>
      <c r="AC159" s="23">
        <f>Inputs!$C$71*Timing!$C$28*Timing!AC76*Timing!AC66*1</f>
        <v>0</v>
      </c>
      <c r="AD159" s="23">
        <f>Inputs!$C$71*Timing!$C$28*Timing!AD76*Timing!AD66*1</f>
        <v>0</v>
      </c>
      <c r="AE159" s="23">
        <f>Inputs!$C$71*Timing!$C$28*Timing!AE76*Timing!AE66*1</f>
        <v>0</v>
      </c>
    </row>
    <row r="160">
      <c r="A160" s="41" t="inlineStr">
        <is>
          <t xml:space="preserve">Operating costs</t>
        </is>
      </c>
      <c r="B160" s="10" t="inlineStr">
        <is>
          <t xml:space="preserve">€</t>
        </is>
      </c>
      <c r="F160" s="42">
        <f>F149+F150+F151+F152+F155+F156+F157+F158+F159</f>
        <v>830159.06853063</v>
      </c>
      <c r="G160" s="42">
        <f>G149+G150+G151+G152+G155+G156+G157+G158+G159</f>
        <v>1583398.5500083985</v>
      </c>
      <c r="H160" s="42">
        <f>H149+H150+H151+H152+H155+H156+H157+H158+H159</f>
        <v>1596234.3608928693</v>
      </c>
      <c r="I160" s="42">
        <f>I149+I150+I151+I152+I155+I156+I157+I158+I159</f>
        <v>1623873.166998003</v>
      </c>
      <c r="J160" s="42">
        <f>J149+J150+J151+J152+J155+J156+J157+J158+J159</f>
        <v>1652049.6653661206</v>
      </c>
      <c r="K160" s="42">
        <f>K149+K150+K151+K152+K155+K156+K157+K158+K159</f>
        <v>1717871.48369384</v>
      </c>
      <c r="L160" s="42">
        <f>L149+L150+L151+L152+L155+L156+L157+L158+L159</f>
        <v>1710057.4046786465</v>
      </c>
      <c r="M160" s="42">
        <f>M149+M150+M151+M152+M155+M156+M157+M158+M159</f>
        <v>1739909.9839045692</v>
      </c>
      <c r="N160" s="42">
        <f>N149+N150+N151+N152+N155+N156+N157+N158+N159</f>
        <v>1770342.9398135273</v>
      </c>
      <c r="O160" s="42">
        <f>O149+O150+O151+O152+O155+O156+O157+O158+O159</f>
        <v>1801367.46474626</v>
      </c>
      <c r="P160" s="42">
        <f>P149+P150+P151+P152+P155+P156+P157+P158+P159</f>
        <v>1957044.042176264</v>
      </c>
      <c r="Q160" s="42">
        <f>Q149+Q150+Q151+Q152+Q155+Q156+Q157+Q158+Q159</f>
        <v>1991767.1343566813</v>
      </c>
      <c r="R160" s="42">
        <f>R149+R150+R151+R152+R155+R156+R157+R158+R159</f>
        <v>2027166.3088316242</v>
      </c>
      <c r="S160" s="42">
        <f>S149+S150+S151+S152+S155+S156+S157+S158+S159</f>
        <v>2063254.642361511</v>
      </c>
      <c r="T160" s="42">
        <f>T149+T150+T151+T152+T155+T156+T157+T158+T159</f>
        <v>2100045.4654814033</v>
      </c>
      <c r="U160" s="42">
        <f>U149+U150+U151+U152+U155+U156+U157+U158+U159</f>
        <v>2137552.367436659</v>
      </c>
      <c r="V160" s="42">
        <f>V149+V150+V151+V152+V155+V156+V157+V158+V159</f>
        <v>2175789.2012147894</v>
      </c>
      <c r="W160" s="42">
        <f>W149+W150+W151+W152+W155+W156+W157+W158+W159</f>
        <v>2214770.088675396</v>
      </c>
      <c r="X160" s="42">
        <f>X149+X150+X151+X152+X155+X156+X157+X158+X159</f>
        <v>2254509.4257801087</v>
      </c>
      <c r="Y160" s="42">
        <f>Y149+Y150+Y151+Y152+Y155+Y156+Y157+Y158+Y159</f>
        <v>2295021.887924466</v>
      </c>
      <c r="Z160" s="42">
        <f>Z149+Z150+Z151+Z152+Z155+Z156+Z157+Z158+Z159</f>
        <v>2416970.5045123557</v>
      </c>
      <c r="AA160" s="42">
        <f>AA149+AA150+AA151+AA152+AA155+AA156+AA157+AA158+AA159</f>
        <v>2460687.3493261514</v>
      </c>
      <c r="AB160" s="42">
        <f>AB149+AB150+AB151+AB152+AB155+AB156+AB157+AB158+AB159</f>
        <v>2505255.3360875417</v>
      </c>
      <c r="AC160" s="42">
        <f>AC149+AC150+AC151+AC152+AC155+AC156+AC157+AC158+AC159</f>
        <v>2550690.958540653</v>
      </c>
      <c r="AD160" s="42">
        <f>AD149+AD150+AD151+AD152+AD155+AD156+AD157+AD158+AD159</f>
        <v>2597011.0310269776</v>
      </c>
      <c r="AE160" s="42">
        <f>AE149+AE150+AE151+AE152+AE155+AE156+AE157+AE158+AE159</f>
        <v>1311249.6376607532</v>
      </c>
    </row>
    <row r="161">
      <c r="A161" s="6" t="inlineStr">
        <is>
          <t xml:space="preserve">§ 6 refund (up to 0.2 ct/kWh, years with a premium)</t>
        </is>
      </c>
      <c r="B161" s="10" t="inlineStr">
        <is>
          <t xml:space="preserve">€</t>
        </is>
      </c>
      <c r="F161" s="23">
        <f>Timing!$C$32*F131*F136</f>
        <v>0</v>
      </c>
      <c r="G161" s="23">
        <f>Timing!$C$32*G131*G136</f>
        <v>0</v>
      </c>
      <c r="H161" s="23">
        <f>Timing!$C$32*H131*H136</f>
        <v>0</v>
      </c>
      <c r="I161" s="23">
        <f>Timing!$C$32*I131*I136</f>
        <v>0</v>
      </c>
      <c r="J161" s="23">
        <f>Timing!$C$32*J131*J136</f>
        <v>0</v>
      </c>
      <c r="K161" s="23">
        <f>Timing!$C$32*K131*K136</f>
        <v>0</v>
      </c>
      <c r="L161" s="23">
        <f>Timing!$C$32*L131*L136</f>
        <v>0</v>
      </c>
      <c r="M161" s="23">
        <f>Timing!$C$32*M131*M136</f>
        <v>0</v>
      </c>
      <c r="N161" s="23">
        <f>Timing!$C$32*N131*N136</f>
        <v>0</v>
      </c>
      <c r="O161" s="23">
        <f>Timing!$C$32*O131*O136</f>
        <v>0</v>
      </c>
      <c r="P161" s="23">
        <f>Timing!$C$32*P131*P136</f>
        <v>0</v>
      </c>
      <c r="Q161" s="23">
        <f>Timing!$C$32*Q131*Q136</f>
        <v>0</v>
      </c>
      <c r="R161" s="23">
        <f>Timing!$C$32*R131*R136</f>
        <v>0</v>
      </c>
      <c r="S161" s="23">
        <f>Timing!$C$32*S131*S136</f>
        <v>0</v>
      </c>
      <c r="T161" s="23">
        <f>Timing!$C$32*T131*T136</f>
        <v>0</v>
      </c>
      <c r="U161" s="23">
        <f>Timing!$C$32*U131*U136</f>
        <v>0</v>
      </c>
      <c r="V161" s="23">
        <f>Timing!$C$32*V131*V136</f>
        <v>0</v>
      </c>
      <c r="W161" s="23">
        <f>Timing!$C$32*W131*W136</f>
        <v>0</v>
      </c>
      <c r="X161" s="23">
        <f>Timing!$C$32*X131*X136</f>
        <v>0</v>
      </c>
      <c r="Y161" s="23">
        <f>Timing!$C$32*Y131*Y136</f>
        <v>0</v>
      </c>
      <c r="Z161" s="23">
        <f>Timing!$C$32*Z131*Z136</f>
        <v>0</v>
      </c>
      <c r="AA161" s="23">
        <f>Timing!$C$32*AA131*AA136</f>
        <v>0</v>
      </c>
      <c r="AB161" s="23">
        <f>Timing!$C$32*AB131*AB136</f>
        <v>0</v>
      </c>
      <c r="AC161" s="23">
        <f>Timing!$C$32*AC131*AC136</f>
        <v>0</v>
      </c>
      <c r="AD161" s="23">
        <f>Timing!$C$32*AD131*AD136</f>
        <v>0</v>
      </c>
      <c r="AE161" s="23">
        <f>Timing!$C$32*AE131*AE136</f>
        <v>0</v>
      </c>
    </row>
    <row r="162">
      <c r="A162" s="41" t="inlineStr">
        <is>
          <t xml:space="preserve">EBITDA</t>
        </is>
      </c>
      <c r="B162" s="10" t="inlineStr">
        <is>
          <t xml:space="preserve">€</t>
        </is>
      </c>
      <c r="F162" s="42">
        <f>F146+F161-F160</f>
        <v>1821306.3362487191</v>
      </c>
      <c r="G162" s="42">
        <f>G146+G161-G160</f>
        <v>2821002.1955830585</v>
      </c>
      <c r="H162" s="42">
        <f>H146+H161-H160</f>
        <v>2741950.8225089954</v>
      </c>
      <c r="I162" s="42">
        <f>I146+I161-I160</f>
        <v>2792225.8222977594</v>
      </c>
      <c r="J162" s="42">
        <f>J146+J161-J160</f>
        <v>2843362.4617773937</v>
      </c>
      <c r="K162" s="42">
        <f>K146+K161-K160</f>
        <v>3229250.859248153</v>
      </c>
      <c r="L162" s="42">
        <f>L146+L161-L160</f>
        <v>2948279.973400254</v>
      </c>
      <c r="M162" s="42">
        <f>M146+M161-M160</f>
        <v>3002091.133484627</v>
      </c>
      <c r="N162" s="42">
        <f>N146+N161-N160</f>
        <v>3056824.5176439798</v>
      </c>
      <c r="O162" s="42">
        <f>O146+O161-O160</f>
        <v>3112495.920247185</v>
      </c>
      <c r="P162" s="42">
        <f>P146+P161-P160</f>
        <v>3045072.3292116616</v>
      </c>
      <c r="Q162" s="42">
        <f>Q146+Q161-Q160</f>
        <v>3100187.247061372</v>
      </c>
      <c r="R162" s="42">
        <f>R146+R161-R160</f>
        <v>3156239.573276697</v>
      </c>
      <c r="S162" s="42">
        <f>S146+S161-S160</f>
        <v>3213245.2093894766</v>
      </c>
      <c r="T162" s="42">
        <f>T146+T161-T160</f>
        <v>3271220.3236070313</v>
      </c>
      <c r="U162" s="42">
        <f>U146+U161-U160</f>
        <v>3330181.3552238033</v>
      </c>
      <c r="V162" s="42">
        <f>V146+V161-V160</f>
        <v>3390145.019104655</v>
      </c>
      <c r="W162" s="42">
        <f>W146+W161-W160</f>
        <v>3451128.3102409854</v>
      </c>
      <c r="X162" s="42">
        <f>X146+X161-X160</f>
        <v>3513148.508380811</v>
      </c>
      <c r="Y162" s="42">
        <f>Y146+Y161-Y160</f>
        <v>3576223.182733984</v>
      </c>
      <c r="Z162" s="42">
        <f>Z146+Z161-Z160</f>
        <v>3559722.127615121</v>
      </c>
      <c r="AA162" s="42">
        <f>AA146+AA161-AA160</f>
        <v>3623346.682474334</v>
      </c>
      <c r="AB162" s="42">
        <f>AB146+AB161-AB160</f>
        <v>3688047.946924081</v>
      </c>
      <c r="AC162" s="42">
        <f>AC146+AC161-AC160</f>
        <v>3753844.0514338594</v>
      </c>
      <c r="AD162" s="42">
        <f>AD146+AD161-AD160</f>
        <v>3820753.427726677</v>
      </c>
      <c r="AE162" s="42">
        <f>AE146+AE161-AE160</f>
        <v>1928416.0583018486</v>
      </c>
    </row>
    <row r="163">
      <c r="A163" s="6" t="inlineStr">
        <is>
          <t xml:space="preserve">Market and PPA sales billed</t>
        </is>
      </c>
      <c r="B163" s="10" t="inlineStr">
        <is>
          <t xml:space="preserve">€</t>
        </is>
      </c>
      <c r="F163" s="23">
        <f>F138+F145</f>
        <v>2651465.404779349</v>
      </c>
      <c r="G163" s="23">
        <f>G138+G145</f>
        <v>4404400.745591457</v>
      </c>
      <c r="H163" s="23">
        <f>H138+H145</f>
        <v>4338185.183401865</v>
      </c>
      <c r="I163" s="23">
        <f>I138+I145</f>
        <v>4416098.989295762</v>
      </c>
      <c r="J163" s="23">
        <f>J138+J145</f>
        <v>4495412.127143514</v>
      </c>
      <c r="K163" s="23">
        <f>K138+K145</f>
        <v>4576149.728947013</v>
      </c>
      <c r="L163" s="23">
        <f>L138+L145</f>
        <v>4658337.3780789</v>
      </c>
      <c r="M163" s="23">
        <f>M138+M145</f>
        <v>4742001.1173891965</v>
      </c>
      <c r="N163" s="23">
        <f>N138+N145</f>
        <v>4827167.457457507</v>
      </c>
      <c r="O163" s="23">
        <f>O138+O145</f>
        <v>4913863.384993445</v>
      </c>
      <c r="P163" s="23">
        <f>P138+P145</f>
        <v>5002116.371387926</v>
      </c>
      <c r="Q163" s="23">
        <f>Q138+Q145</f>
        <v>5091954.381418053</v>
      </c>
      <c r="R163" s="23">
        <f>R138+R145</f>
        <v>5183405.882108321</v>
      </c>
      <c r="S163" s="23">
        <f>S138+S145</f>
        <v>5276499.851750988</v>
      </c>
      <c r="T163" s="23">
        <f>T138+T145</f>
        <v>5371265.789088435</v>
      </c>
      <c r="U163" s="23">
        <f>U138+U145</f>
        <v>5467733.722660462</v>
      </c>
      <c r="V163" s="23">
        <f>V138+V145</f>
        <v>5565934.220319444</v>
      </c>
      <c r="W163" s="23">
        <f>W138+W145</f>
        <v>5665898.398916381</v>
      </c>
      <c r="X163" s="23">
        <f>X138+X145</f>
        <v>5767657.93416092</v>
      </c>
      <c r="Y163" s="23">
        <f>Y138+Y145</f>
        <v>5871245.07065845</v>
      </c>
      <c r="Z163" s="23">
        <f>Z138+Z145</f>
        <v>5976692.632127477</v>
      </c>
      <c r="AA163" s="23">
        <f>AA138+AA145</f>
        <v>6084034.031800485</v>
      </c>
      <c r="AB163" s="23">
        <f>AB138+AB145</f>
        <v>6193303.283011623</v>
      </c>
      <c r="AC163" s="23">
        <f>AC138+AC145</f>
        <v>6304535.009974512</v>
      </c>
      <c r="AD163" s="23">
        <f>AD138+AD145</f>
        <v>6417764.458753655</v>
      </c>
      <c r="AE163" s="23">
        <f>AE138+AE145</f>
        <v>3239665.695962602</v>
      </c>
    </row>
    <row r="164">
      <c r="A164" s="6" t="inlineStr">
        <is>
          <t xml:space="preserve">Premium and § 6 refund still due after the advances</t>
        </is>
      </c>
      <c r="B164" s="10" t="inlineStr">
        <is>
          <t xml:space="preserve">€</t>
        </is>
      </c>
      <c r="F164" s="23">
        <f>F143-F147+F161</f>
        <v>0</v>
      </c>
      <c r="G164" s="23">
        <f>G143-G147+G161</f>
        <v>0</v>
      </c>
      <c r="H164" s="23">
        <f>H143-H147+H161</f>
        <v>0</v>
      </c>
      <c r="I164" s="23">
        <f>I143-I147+I161</f>
        <v>0</v>
      </c>
      <c r="J164" s="23">
        <f>J143-J147+J161</f>
        <v>0</v>
      </c>
      <c r="K164" s="23">
        <f>K143-K147+K161</f>
        <v>369921.8190198474</v>
      </c>
      <c r="L164" s="23">
        <f>L143-L147+L161</f>
        <v>0</v>
      </c>
      <c r="M164" s="23">
        <f>M143-M147+M161</f>
        <v>0</v>
      </c>
      <c r="N164" s="23">
        <f>N143-N147+N161</f>
        <v>0</v>
      </c>
      <c r="O164" s="23">
        <f>O143-O147+O161</f>
        <v>0</v>
      </c>
      <c r="P164" s="23">
        <f>P143-P147+P161</f>
        <v>0</v>
      </c>
      <c r="Q164" s="23">
        <f>Q143-Q147+Q161</f>
        <v>0</v>
      </c>
      <c r="R164" s="23">
        <f>R143-R147+R161</f>
        <v>0</v>
      </c>
      <c r="S164" s="23">
        <f>S143-S147+S161</f>
        <v>0</v>
      </c>
      <c r="T164" s="23">
        <f>T143-T147+T161</f>
        <v>0</v>
      </c>
      <c r="U164" s="23">
        <f>U143-U147+U161</f>
        <v>0</v>
      </c>
      <c r="V164" s="23">
        <f>V143-V147+V161</f>
        <v>0</v>
      </c>
      <c r="W164" s="23">
        <f>W143-W147+W161</f>
        <v>0</v>
      </c>
      <c r="X164" s="23">
        <f>X143-X147+X161</f>
        <v>0</v>
      </c>
      <c r="Y164" s="23">
        <f>Y143-Y147+Y161</f>
        <v>0</v>
      </c>
      <c r="Z164" s="23">
        <f>Z143-Z147+Z161</f>
        <v>0</v>
      </c>
      <c r="AA164" s="23">
        <f>AA143-AA147+AA161</f>
        <v>0</v>
      </c>
      <c r="AB164" s="23">
        <f>AB143-AB147+AB161</f>
        <v>0</v>
      </c>
      <c r="AC164" s="23">
        <f>AC143-AC147+AC161</f>
        <v>0</v>
      </c>
      <c r="AD164" s="23">
        <f>AD143-AD147+AD161</f>
        <v>0</v>
      </c>
      <c r="AE164" s="23">
        <f>AE143-AE147+AE161</f>
        <v>0</v>
      </c>
    </row>
    <row r="165">
      <c r="A165" s="6" t="inlineStr">
        <is>
          <t xml:space="preserve">Receivables: market sales</t>
        </is>
      </c>
      <c r="B165" s="10" t="inlineStr">
        <is>
          <t xml:space="preserve">€</t>
        </is>
      </c>
      <c r="F165" s="23">
        <f>IF(Timing!F72=1,0,IF(Timing!F64&gt;0,MIN(F163,F163/Timing!F64*Inputs!$C$36),0))</f>
        <v>432304.1420835895</v>
      </c>
      <c r="G165" s="23">
        <f>IF(Timing!G72=1,0,IF(Timing!G64&gt;0,MIN(G163,G163/Timing!G64*Inputs!$C$36),0))</f>
        <v>362005.5407335444</v>
      </c>
      <c r="H165" s="23">
        <f>IF(Timing!H72=1,0,IF(Timing!H64&gt;0,MIN(H163,H163/Timing!H64*Inputs!$C$36),0))</f>
        <v>356563.1657590574</v>
      </c>
      <c r="I165" s="23">
        <f>IF(Timing!I72=1,0,IF(Timing!I64&gt;0,MIN(I163,I163/Timing!I64*Inputs!$C$36),0))</f>
        <v>362967.04021609004</v>
      </c>
      <c r="J165" s="23">
        <f>IF(Timing!J72=1,0,IF(Timing!J64&gt;0,MIN(J163,J163/Timing!J64*Inputs!$C$36),0))</f>
        <v>368476.4038642225</v>
      </c>
      <c r="K165" s="23">
        <f>IF(Timing!K72=1,0,IF(Timing!K64&gt;0,MIN(K163,K163/Timing!K64*Inputs!$C$36),0))</f>
        <v>376121.8955298914</v>
      </c>
      <c r="L165" s="23">
        <f>IF(Timing!L72=1,0,IF(Timing!L64&gt;0,MIN(L163,L163/Timing!L64*Inputs!$C$36),0))</f>
        <v>382877.0447736083</v>
      </c>
      <c r="M165" s="23">
        <f>IF(Timing!M72=1,0,IF(Timing!M64&gt;0,MIN(M163,M163/Timing!M64*Inputs!$C$36),0))</f>
        <v>389753.5164977422</v>
      </c>
      <c r="N165" s="23">
        <f>IF(Timing!N72=1,0,IF(Timing!N64&gt;0,MIN(N163,N163/Timing!N64*Inputs!$C$36),0))</f>
        <v>395669.46372602513</v>
      </c>
      <c r="O165" s="23">
        <f>IF(Timing!O72=1,0,IF(Timing!O64&gt;0,MIN(O163,O163/Timing!O64*Inputs!$C$36),0))</f>
        <v>403879.1823282284</v>
      </c>
      <c r="P165" s="23">
        <f>IF(Timing!P72=1,0,IF(Timing!P64&gt;0,MIN(P163,P163/Timing!P64*Inputs!$C$36),0))</f>
        <v>411132.85244284326</v>
      </c>
      <c r="Q165" s="23">
        <f>IF(Timing!Q72=1,0,IF(Timing!Q64&gt;0,MIN(Q163,Q163/Timing!Q64*Inputs!$C$36),0))</f>
        <v>418516.7984727167</v>
      </c>
      <c r="R165" s="23">
        <f>IF(Timing!R72=1,0,IF(Timing!R64&gt;0,MIN(R163,R163/Timing!R64*Inputs!$C$36),0))</f>
        <v>424869.3345990428</v>
      </c>
      <c r="S165" s="23">
        <f>IF(Timing!S72=1,0,IF(Timing!S64&gt;0,MIN(S163,S163/Timing!S64*Inputs!$C$36),0))</f>
        <v>433684.919321999</v>
      </c>
      <c r="T165" s="23">
        <f>IF(Timing!T72=1,0,IF(Timing!T64&gt;0,MIN(T163,T163/Timing!T64*Inputs!$C$36),0))</f>
        <v>441473.900473022</v>
      </c>
      <c r="U165" s="23">
        <f>IF(Timing!U72=1,0,IF(Timing!U64&gt;0,MIN(U163,U163/Timing!U64*Inputs!$C$36),0))</f>
        <v>449402.7717255174</v>
      </c>
      <c r="V165" s="23">
        <f>IF(Timing!V72=1,0,IF(Timing!V64&gt;0,MIN(V163,V163/Timing!V64*Inputs!$C$36),0))</f>
        <v>456224.11641962663</v>
      </c>
      <c r="W165" s="23">
        <f>IF(Timing!W72=1,0,IF(Timing!W64&gt;0,MIN(W163,W163/Timing!W64*Inputs!$C$36),0))</f>
        <v>465690.2793629903</v>
      </c>
      <c r="X165" s="23">
        <f>IF(Timing!X72=1,0,IF(Timing!X64&gt;0,MIN(X163,X163/Timing!X64*Inputs!$C$36),0))</f>
        <v>474054.0767803496</v>
      </c>
      <c r="Y165" s="23">
        <f>IF(Timing!Y72=1,0,IF(Timing!Y64&gt;0,MIN(Y163,Y163/Timing!Y64*Inputs!$C$36),0))</f>
        <v>482568.08799932466</v>
      </c>
      <c r="Z165" s="23">
        <f>IF(Timing!Z72=1,0,IF(Timing!Z64&gt;0,MIN(Z163,Z163/Timing!Z64*Inputs!$C$36),0))</f>
        <v>489892.83869897353</v>
      </c>
      <c r="AA165" s="23">
        <f>IF(Timing!AA72=1,0,IF(Timing!AA64&gt;0,MIN(AA163,AA163/Timing!AA64*Inputs!$C$36),0))</f>
        <v>500057.59165483445</v>
      </c>
      <c r="AB165" s="23">
        <f>IF(Timing!AB72=1,0,IF(Timing!AB64&gt;0,MIN(AB163,AB163/Timing!AB64*Inputs!$C$36),0))</f>
        <v>509038.6260009553</v>
      </c>
      <c r="AC165" s="23">
        <f>IF(Timing!AC72=1,0,IF(Timing!AC64&gt;0,MIN(AC163,AC163/Timing!AC64*Inputs!$C$36),0))</f>
        <v>518180.95972393255</v>
      </c>
      <c r="AD165" s="23">
        <f>IF(Timing!AD72=1,0,IF(Timing!AD64&gt;0,MIN(AD163,AD163/Timing!AD64*Inputs!$C$36),0))</f>
        <v>526046.2671109553</v>
      </c>
      <c r="AE165" s="23">
        <f>IF(Timing!AE72=1,0,IF(Timing!AE64&gt;0,MIN(AE163,AE163/Timing!AE64*Inputs!$C$36),0))</f>
        <v>0</v>
      </c>
    </row>
    <row r="166">
      <c r="A166" s="6" t="inlineStr">
        <is>
          <t xml:space="preserve">Receivables: December advance (paid on 15 January)</t>
        </is>
      </c>
      <c r="B166" s="10" t="inlineStr">
        <is>
          <t xml:space="preserve">€</t>
        </is>
      </c>
      <c r="F166" s="23">
        <f>IF(OR(Timing!F72=1,Timing!$C$31=0,Timing!$C$11&lt;=DATE(Timing!F59,12,1)),0,F147/Timing!F67)</f>
        <v>0</v>
      </c>
      <c r="G166" s="23">
        <f>IF(OR(Timing!G72=1,Timing!$C$31=0,Timing!$C$11&lt;=DATE(Timing!G59,12,1)),0,G147/Timing!G67)</f>
        <v>0</v>
      </c>
      <c r="H166" s="23">
        <f>IF(OR(Timing!H72=1,Timing!$C$31=0,Timing!$C$11&lt;=DATE(Timing!H59,12,1)),0,H147/Timing!H67)</f>
        <v>0</v>
      </c>
      <c r="I166" s="23">
        <f>IF(OR(Timing!I72=1,Timing!$C$31=0,Timing!$C$11&lt;=DATE(Timing!I59,12,1)),0,I147/Timing!I67)</f>
        <v>0</v>
      </c>
      <c r="J166" s="23">
        <f>IF(OR(Timing!J72=1,Timing!$C$31=0,Timing!$C$11&lt;=DATE(Timing!J59,12,1)),0,J147/Timing!J67)</f>
        <v>0</v>
      </c>
      <c r="K166" s="23">
        <f>IF(OR(Timing!K72=1,Timing!$C$31=0,Timing!$C$11&lt;=DATE(Timing!K59,12,1)),0,K147/Timing!K67)</f>
        <v>87.56624792772807</v>
      </c>
      <c r="L166" s="23">
        <f>IF(OR(Timing!L72=1,Timing!$C$31=0,Timing!$C$11&lt;=DATE(Timing!L59,12,1)),0,L147/Timing!L67)</f>
        <v>0</v>
      </c>
      <c r="M166" s="23">
        <f>IF(OR(Timing!M72=1,Timing!$C$31=0,Timing!$C$11&lt;=DATE(Timing!M59,12,1)),0,M147/Timing!M67)</f>
        <v>0</v>
      </c>
      <c r="N166" s="23">
        <f>IF(OR(Timing!N72=1,Timing!$C$31=0,Timing!$C$11&lt;=DATE(Timing!N59,12,1)),0,N147/Timing!N67)</f>
        <v>0</v>
      </c>
      <c r="O166" s="23">
        <f>IF(OR(Timing!O72=1,Timing!$C$31=0,Timing!$C$11&lt;=DATE(Timing!O59,12,1)),0,O147/Timing!O67)</f>
        <v>0</v>
      </c>
      <c r="P166" s="23">
        <f>IF(OR(Timing!P72=1,Timing!$C$31=0,Timing!$C$11&lt;=DATE(Timing!P59,12,1)),0,P147/Timing!P67)</f>
        <v>0</v>
      </c>
      <c r="Q166" s="23">
        <f>IF(OR(Timing!Q72=1,Timing!$C$31=0,Timing!$C$11&lt;=DATE(Timing!Q59,12,1)),0,Q147/Timing!Q67)</f>
        <v>0</v>
      </c>
      <c r="R166" s="23">
        <f>IF(OR(Timing!R72=1,Timing!$C$31=0,Timing!$C$11&lt;=DATE(Timing!R59,12,1)),0,R147/Timing!R67)</f>
        <v>0</v>
      </c>
      <c r="S166" s="23">
        <f>IF(OR(Timing!S72=1,Timing!$C$31=0,Timing!$C$11&lt;=DATE(Timing!S59,12,1)),0,S147/Timing!S67)</f>
        <v>0</v>
      </c>
      <c r="T166" s="23">
        <f>IF(OR(Timing!T72=1,Timing!$C$31=0,Timing!$C$11&lt;=DATE(Timing!T59,12,1)),0,T147/Timing!T67)</f>
        <v>0</v>
      </c>
      <c r="U166" s="23">
        <f>IF(OR(Timing!U72=1,Timing!$C$31=0,Timing!$C$11&lt;=DATE(Timing!U59,12,1)),0,U147/Timing!U67)</f>
        <v>0</v>
      </c>
      <c r="V166" s="23">
        <f>IF(OR(Timing!V72=1,Timing!$C$31=0,Timing!$C$11&lt;=DATE(Timing!V59,12,1)),0,V147/Timing!V67)</f>
        <v>0</v>
      </c>
      <c r="W166" s="23">
        <f>IF(OR(Timing!W72=1,Timing!$C$31=0,Timing!$C$11&lt;=DATE(Timing!W59,12,1)),0,W147/Timing!W67)</f>
        <v>0</v>
      </c>
      <c r="X166" s="23">
        <f>IF(OR(Timing!X72=1,Timing!$C$31=0,Timing!$C$11&lt;=DATE(Timing!X59,12,1)),0,X147/Timing!X67)</f>
        <v>0</v>
      </c>
      <c r="Y166" s="23">
        <f>IF(OR(Timing!Y72=1,Timing!$C$31=0,Timing!$C$11&lt;=DATE(Timing!Y59,12,1)),0,Y147/Timing!Y67)</f>
        <v>0</v>
      </c>
      <c r="Z166" s="23">
        <f>IF(OR(Timing!Z72=1,Timing!$C$31=0,Timing!$C$11&lt;=DATE(Timing!Z59,12,1)),0,Z147/Timing!Z67)</f>
        <v>0</v>
      </c>
      <c r="AA166" s="23">
        <f>IF(OR(Timing!AA72=1,Timing!$C$31=0,Timing!$C$11&lt;=DATE(Timing!AA59,12,1)),0,AA147/Timing!AA67)</f>
        <v>0</v>
      </c>
      <c r="AB166" s="23">
        <f>IF(OR(Timing!AB72=1,Timing!$C$31=0,Timing!$C$11&lt;=DATE(Timing!AB59,12,1)),0,AB147/Timing!AB67)</f>
        <v>0</v>
      </c>
      <c r="AC166" s="23">
        <f>IF(OR(Timing!AC72=1,Timing!$C$31=0,Timing!$C$11&lt;=DATE(Timing!AC59,12,1)),0,AC147/Timing!AC67)</f>
        <v>0</v>
      </c>
      <c r="AD166" s="23">
        <f>IF(OR(Timing!AD72=1,Timing!$C$31=0,Timing!$C$11&lt;=DATE(Timing!AD59,12,1)),0,AD147/Timing!AD67)</f>
        <v>0</v>
      </c>
      <c r="AE166" s="23">
        <f>IF(OR(Timing!AE72=1,Timing!$C$31=0,Timing!$C$11&lt;=DATE(Timing!AE59,12,1)),0,AE147/Timing!AE67)</f>
        <v>0</v>
      </c>
    </row>
    <row r="167">
      <c r="A167" s="6" t="inlineStr">
        <is>
          <t xml:space="preserve">Receivables: premium and § 6 refund awaiting the final settlement</t>
        </is>
      </c>
      <c r="B167" s="10" t="inlineStr">
        <is>
          <t xml:space="preserve">€</t>
        </is>
      </c>
      <c r="F167" s="23">
        <f>IF(OR(Timing!F72=1,Timing!$C$31=0),0,SUMIFS($F$164:$AE$164,Timing!$F$59:$AE$59,"&gt;"&amp;(Timing!F59-Timing!$C$31),Timing!$F$59:$AE$59,"&lt;="&amp;Timing!F59))</f>
        <v>0</v>
      </c>
      <c r="G167" s="23">
        <f>IF(OR(Timing!G72=1,Timing!$C$31=0),0,SUMIFS($F$164:$AE$164,Timing!$F$59:$AE$59,"&gt;"&amp;(Timing!G59-Timing!$C$31),Timing!$F$59:$AE$59,"&lt;="&amp;Timing!G59))</f>
        <v>0</v>
      </c>
      <c r="H167" s="23">
        <f>IF(OR(Timing!H72=1,Timing!$C$31=0),0,SUMIFS($F$164:$AE$164,Timing!$F$59:$AE$59,"&gt;"&amp;(Timing!H59-Timing!$C$31),Timing!$F$59:$AE$59,"&lt;="&amp;Timing!H59))</f>
        <v>0</v>
      </c>
      <c r="I167" s="23">
        <f>IF(OR(Timing!I72=1,Timing!$C$31=0),0,SUMIFS($F$164:$AE$164,Timing!$F$59:$AE$59,"&gt;"&amp;(Timing!I59-Timing!$C$31),Timing!$F$59:$AE$59,"&lt;="&amp;Timing!I59))</f>
        <v>0</v>
      </c>
      <c r="J167" s="23">
        <f>IF(OR(Timing!J72=1,Timing!$C$31=0),0,SUMIFS($F$164:$AE$164,Timing!$F$59:$AE$59,"&gt;"&amp;(Timing!J59-Timing!$C$31),Timing!$F$59:$AE$59,"&lt;="&amp;Timing!J59))</f>
        <v>0</v>
      </c>
      <c r="K167" s="23">
        <f>IF(OR(Timing!K72=1,Timing!$C$31=0),0,SUMIFS($F$164:$AE$164,Timing!$F$59:$AE$59,"&gt;"&amp;(Timing!K59-Timing!$C$31),Timing!$F$59:$AE$59,"&lt;="&amp;Timing!K59))</f>
        <v>369921.8190198474</v>
      </c>
      <c r="L167" s="23">
        <f>IF(OR(Timing!L72=1,Timing!$C$31=0),0,SUMIFS($F$164:$AE$164,Timing!$F$59:$AE$59,"&gt;"&amp;(Timing!L59-Timing!$C$31),Timing!$F$59:$AE$59,"&lt;="&amp;Timing!L59))</f>
        <v>0</v>
      </c>
      <c r="M167" s="23">
        <f>IF(OR(Timing!M72=1,Timing!$C$31=0),0,SUMIFS($F$164:$AE$164,Timing!$F$59:$AE$59,"&gt;"&amp;(Timing!M59-Timing!$C$31),Timing!$F$59:$AE$59,"&lt;="&amp;Timing!M59))</f>
        <v>0</v>
      </c>
      <c r="N167" s="23">
        <f>IF(OR(Timing!N72=1,Timing!$C$31=0),0,SUMIFS($F$164:$AE$164,Timing!$F$59:$AE$59,"&gt;"&amp;(Timing!N59-Timing!$C$31),Timing!$F$59:$AE$59,"&lt;="&amp;Timing!N59))</f>
        <v>0</v>
      </c>
      <c r="O167" s="23">
        <f>IF(OR(Timing!O72=1,Timing!$C$31=0),0,SUMIFS($F$164:$AE$164,Timing!$F$59:$AE$59,"&gt;"&amp;(Timing!O59-Timing!$C$31),Timing!$F$59:$AE$59,"&lt;="&amp;Timing!O59))</f>
        <v>0</v>
      </c>
      <c r="P167" s="23">
        <f>IF(OR(Timing!P72=1,Timing!$C$31=0),0,SUMIFS($F$164:$AE$164,Timing!$F$59:$AE$59,"&gt;"&amp;(Timing!P59-Timing!$C$31),Timing!$F$59:$AE$59,"&lt;="&amp;Timing!P59))</f>
        <v>0</v>
      </c>
      <c r="Q167" s="23">
        <f>IF(OR(Timing!Q72=1,Timing!$C$31=0),0,SUMIFS($F$164:$AE$164,Timing!$F$59:$AE$59,"&gt;"&amp;(Timing!Q59-Timing!$C$31),Timing!$F$59:$AE$59,"&lt;="&amp;Timing!Q59))</f>
        <v>0</v>
      </c>
      <c r="R167" s="23">
        <f>IF(OR(Timing!R72=1,Timing!$C$31=0),0,SUMIFS($F$164:$AE$164,Timing!$F$59:$AE$59,"&gt;"&amp;(Timing!R59-Timing!$C$31),Timing!$F$59:$AE$59,"&lt;="&amp;Timing!R59))</f>
        <v>0</v>
      </c>
      <c r="S167" s="23">
        <f>IF(OR(Timing!S72=1,Timing!$C$31=0),0,SUMIFS($F$164:$AE$164,Timing!$F$59:$AE$59,"&gt;"&amp;(Timing!S59-Timing!$C$31),Timing!$F$59:$AE$59,"&lt;="&amp;Timing!S59))</f>
        <v>0</v>
      </c>
      <c r="T167" s="23">
        <f>IF(OR(Timing!T72=1,Timing!$C$31=0),0,SUMIFS($F$164:$AE$164,Timing!$F$59:$AE$59,"&gt;"&amp;(Timing!T59-Timing!$C$31),Timing!$F$59:$AE$59,"&lt;="&amp;Timing!T59))</f>
        <v>0</v>
      </c>
      <c r="U167" s="23">
        <f>IF(OR(Timing!U72=1,Timing!$C$31=0),0,SUMIFS($F$164:$AE$164,Timing!$F$59:$AE$59,"&gt;"&amp;(Timing!U59-Timing!$C$31),Timing!$F$59:$AE$59,"&lt;="&amp;Timing!U59))</f>
        <v>0</v>
      </c>
      <c r="V167" s="23">
        <f>IF(OR(Timing!V72=1,Timing!$C$31=0),0,SUMIFS($F$164:$AE$164,Timing!$F$59:$AE$59,"&gt;"&amp;(Timing!V59-Timing!$C$31),Timing!$F$59:$AE$59,"&lt;="&amp;Timing!V59))</f>
        <v>0</v>
      </c>
      <c r="W167" s="23">
        <f>IF(OR(Timing!W72=1,Timing!$C$31=0),0,SUMIFS($F$164:$AE$164,Timing!$F$59:$AE$59,"&gt;"&amp;(Timing!W59-Timing!$C$31),Timing!$F$59:$AE$59,"&lt;="&amp;Timing!W59))</f>
        <v>0</v>
      </c>
      <c r="X167" s="23">
        <f>IF(OR(Timing!X72=1,Timing!$C$31=0),0,SUMIFS($F$164:$AE$164,Timing!$F$59:$AE$59,"&gt;"&amp;(Timing!X59-Timing!$C$31),Timing!$F$59:$AE$59,"&lt;="&amp;Timing!X59))</f>
        <v>0</v>
      </c>
      <c r="Y167" s="23">
        <f>IF(OR(Timing!Y72=1,Timing!$C$31=0),0,SUMIFS($F$164:$AE$164,Timing!$F$59:$AE$59,"&gt;"&amp;(Timing!Y59-Timing!$C$31),Timing!$F$59:$AE$59,"&lt;="&amp;Timing!Y59))</f>
        <v>0</v>
      </c>
      <c r="Z167" s="23">
        <f>IF(OR(Timing!Z72=1,Timing!$C$31=0),0,SUMIFS($F$164:$AE$164,Timing!$F$59:$AE$59,"&gt;"&amp;(Timing!Z59-Timing!$C$31),Timing!$F$59:$AE$59,"&lt;="&amp;Timing!Z59))</f>
        <v>0</v>
      </c>
      <c r="AA167" s="23">
        <f>IF(OR(Timing!AA72=1,Timing!$C$31=0),0,SUMIFS($F$164:$AE$164,Timing!$F$59:$AE$59,"&gt;"&amp;(Timing!AA59-Timing!$C$31),Timing!$F$59:$AE$59,"&lt;="&amp;Timing!AA59))</f>
        <v>0</v>
      </c>
      <c r="AB167" s="23">
        <f>IF(OR(Timing!AB72=1,Timing!$C$31=0),0,SUMIFS($F$164:$AE$164,Timing!$F$59:$AE$59,"&gt;"&amp;(Timing!AB59-Timing!$C$31),Timing!$F$59:$AE$59,"&lt;="&amp;Timing!AB59))</f>
        <v>0</v>
      </c>
      <c r="AC167" s="23">
        <f>IF(OR(Timing!AC72=1,Timing!$C$31=0),0,SUMIFS($F$164:$AE$164,Timing!$F$59:$AE$59,"&gt;"&amp;(Timing!AC59-Timing!$C$31),Timing!$F$59:$AE$59,"&lt;="&amp;Timing!AC59))</f>
        <v>0</v>
      </c>
      <c r="AD167" s="23">
        <f>IF(OR(Timing!AD72=1,Timing!$C$31=0),0,SUMIFS($F$164:$AE$164,Timing!$F$59:$AE$59,"&gt;"&amp;(Timing!AD59-Timing!$C$31),Timing!$F$59:$AE$59,"&lt;="&amp;Timing!AD59))</f>
        <v>0</v>
      </c>
      <c r="AE167" s="23">
        <f>IF(OR(Timing!AE72=1,Timing!$C$31=0),0,SUMIFS($F$164:$AE$164,Timing!$F$59:$AE$59,"&gt;"&amp;(Timing!AE59-Timing!$C$31),Timing!$F$59:$AE$59,"&lt;="&amp;Timing!AE59))</f>
        <v>0</v>
      </c>
    </row>
    <row r="168">
      <c r="A168" s="6" t="inlineStr">
        <is>
          <t xml:space="preserve">Receivables: premium</t>
        </is>
      </c>
      <c r="B168" s="10" t="inlineStr">
        <is>
          <t xml:space="preserve">€</t>
        </is>
      </c>
      <c r="F168" s="23">
        <f>F166+F167</f>
        <v>0</v>
      </c>
      <c r="G168" s="23">
        <f>G166+G167</f>
        <v>0</v>
      </c>
      <c r="H168" s="23">
        <f>H166+H167</f>
        <v>0</v>
      </c>
      <c r="I168" s="23">
        <f>I166+I167</f>
        <v>0</v>
      </c>
      <c r="J168" s="23">
        <f>J166+J167</f>
        <v>0</v>
      </c>
      <c r="K168" s="23">
        <f>K166+K167</f>
        <v>370009.3852677751</v>
      </c>
      <c r="L168" s="23">
        <f>L166+L167</f>
        <v>0</v>
      </c>
      <c r="M168" s="23">
        <f>M166+M167</f>
        <v>0</v>
      </c>
      <c r="N168" s="23">
        <f>N166+N167</f>
        <v>0</v>
      </c>
      <c r="O168" s="23">
        <f>O166+O167</f>
        <v>0</v>
      </c>
      <c r="P168" s="23">
        <f>P166+P167</f>
        <v>0</v>
      </c>
      <c r="Q168" s="23">
        <f>Q166+Q167</f>
        <v>0</v>
      </c>
      <c r="R168" s="23">
        <f>R166+R167</f>
        <v>0</v>
      </c>
      <c r="S168" s="23">
        <f>S166+S167</f>
        <v>0</v>
      </c>
      <c r="T168" s="23">
        <f>T166+T167</f>
        <v>0</v>
      </c>
      <c r="U168" s="23">
        <f>U166+U167</f>
        <v>0</v>
      </c>
      <c r="V168" s="23">
        <f>V166+V167</f>
        <v>0</v>
      </c>
      <c r="W168" s="23">
        <f>W166+W167</f>
        <v>0</v>
      </c>
      <c r="X168" s="23">
        <f>X166+X167</f>
        <v>0</v>
      </c>
      <c r="Y168" s="23">
        <f>Y166+Y167</f>
        <v>0</v>
      </c>
      <c r="Z168" s="23">
        <f>Z166+Z167</f>
        <v>0</v>
      </c>
      <c r="AA168" s="23">
        <f>AA166+AA167</f>
        <v>0</v>
      </c>
      <c r="AB168" s="23">
        <f>AB166+AB167</f>
        <v>0</v>
      </c>
      <c r="AC168" s="23">
        <f>AC166+AC167</f>
        <v>0</v>
      </c>
      <c r="AD168" s="23">
        <f>AD166+AD167</f>
        <v>0</v>
      </c>
      <c r="AE168" s="23">
        <f>AE166+AE167</f>
        <v>0</v>
      </c>
    </row>
    <row r="169">
      <c r="A169" s="41" t="inlineStr">
        <is>
          <t xml:space="preserve">Receivables at year end</t>
        </is>
      </c>
      <c r="B169" s="10" t="inlineStr">
        <is>
          <t xml:space="preserve">€</t>
        </is>
      </c>
      <c r="E169" s="23">
        <f>$C$60</f>
        <v>498049.00082810305</v>
      </c>
      <c r="F169" s="42">
        <f>F165+F168</f>
        <v>432304.1420835895</v>
      </c>
      <c r="G169" s="42">
        <f>G165+G168</f>
        <v>362005.5407335444</v>
      </c>
      <c r="H169" s="42">
        <f>H165+H168</f>
        <v>356563.1657590574</v>
      </c>
      <c r="I169" s="42">
        <f>I165+I168</f>
        <v>362967.04021609004</v>
      </c>
      <c r="J169" s="42">
        <f>J165+J168</f>
        <v>368476.4038642225</v>
      </c>
      <c r="K169" s="42">
        <f>K165+K168</f>
        <v>746131.2807976665</v>
      </c>
      <c r="L169" s="42">
        <f>L165+L168</f>
        <v>382877.0447736083</v>
      </c>
      <c r="M169" s="42">
        <f>M165+M168</f>
        <v>389753.5164977422</v>
      </c>
      <c r="N169" s="42">
        <f>N165+N168</f>
        <v>395669.46372602513</v>
      </c>
      <c r="O169" s="42">
        <f>O165+O168</f>
        <v>403879.1823282284</v>
      </c>
      <c r="P169" s="42">
        <f>P165+P168</f>
        <v>411132.85244284326</v>
      </c>
      <c r="Q169" s="42">
        <f>Q165+Q168</f>
        <v>418516.7984727167</v>
      </c>
      <c r="R169" s="42">
        <f>R165+R168</f>
        <v>424869.3345990428</v>
      </c>
      <c r="S169" s="42">
        <f>S165+S168</f>
        <v>433684.919321999</v>
      </c>
      <c r="T169" s="42">
        <f>T165+T168</f>
        <v>441473.900473022</v>
      </c>
      <c r="U169" s="42">
        <f>U165+U168</f>
        <v>449402.7717255174</v>
      </c>
      <c r="V169" s="42">
        <f>V165+V168</f>
        <v>456224.11641962663</v>
      </c>
      <c r="W169" s="42">
        <f>W165+W168</f>
        <v>465690.2793629903</v>
      </c>
      <c r="X169" s="42">
        <f>X165+X168</f>
        <v>474054.0767803496</v>
      </c>
      <c r="Y169" s="42">
        <f>Y165+Y168</f>
        <v>482568.08799932466</v>
      </c>
      <c r="Z169" s="42">
        <f>Z165+Z168</f>
        <v>489892.83869897353</v>
      </c>
      <c r="AA169" s="42">
        <f>AA165+AA168</f>
        <v>500057.59165483445</v>
      </c>
      <c r="AB169" s="42">
        <f>AB165+AB168</f>
        <v>509038.6260009553</v>
      </c>
      <c r="AC169" s="42">
        <f>AC165+AC168</f>
        <v>518180.95972393255</v>
      </c>
      <c r="AD169" s="42">
        <f>AD165+AD168</f>
        <v>526046.2671109553</v>
      </c>
      <c r="AE169" s="42">
        <f>AE165+AE168</f>
        <v>0</v>
      </c>
    </row>
    <row r="170">
      <c r="A170" s="6" t="inlineStr">
        <is>
          <t xml:space="preserve">Change in working capital</t>
        </is>
      </c>
      <c r="B170" s="10" t="inlineStr">
        <is>
          <t xml:space="preserve">€</t>
        </is>
      </c>
      <c r="F170" s="23">
        <f>F169-E169</f>
        <v>-65744.85874451353</v>
      </c>
      <c r="G170" s="23">
        <f>G169-F169</f>
        <v>-70298.60135004512</v>
      </c>
      <c r="H170" s="23">
        <f>H169-G169</f>
        <v>-5442.374974487</v>
      </c>
      <c r="I170" s="23">
        <f>I169-H169</f>
        <v>6403.874457032653</v>
      </c>
      <c r="J170" s="23">
        <f>J169-I169</f>
        <v>5509.363648132479</v>
      </c>
      <c r="K170" s="23">
        <f>K169-J169</f>
        <v>377654.876933444</v>
      </c>
      <c r="L170" s="23">
        <f>L169-K169</f>
        <v>-363254.23602405825</v>
      </c>
      <c r="M170" s="23">
        <f>M169-L169</f>
        <v>6876.471724133939</v>
      </c>
      <c r="N170" s="23">
        <f>N169-M169</f>
        <v>5915.947228282923</v>
      </c>
      <c r="O170" s="23">
        <f>O169-N169</f>
        <v>8209.71860220324</v>
      </c>
      <c r="P170" s="23">
        <f>P169-O169</f>
        <v>7253.670114614884</v>
      </c>
      <c r="Q170" s="23">
        <f>Q169-P169</f>
        <v>7383.946029873448</v>
      </c>
      <c r="R170" s="23">
        <f>R169-Q169</f>
        <v>6352.536126326071</v>
      </c>
      <c r="S170" s="23">
        <f>S169-R169</f>
        <v>8815.584722956235</v>
      </c>
      <c r="T170" s="23">
        <f>T169-S169</f>
        <v>7788.9811510230065</v>
      </c>
      <c r="U170" s="23">
        <f>U169-T169</f>
        <v>7928.871252495388</v>
      </c>
      <c r="V170" s="23">
        <f>V169-U169</f>
        <v>6821.344694109226</v>
      </c>
      <c r="W170" s="23">
        <f>W169-V169</f>
        <v>9466.162943363655</v>
      </c>
      <c r="X170" s="23">
        <f>X169-W169</f>
        <v>8363.79741735931</v>
      </c>
      <c r="Y170" s="23">
        <f>Y169-X169</f>
        <v>8514.011218975065</v>
      </c>
      <c r="Z170" s="23">
        <f>Z169-Y169</f>
        <v>7324.750699648866</v>
      </c>
      <c r="AA170" s="23">
        <f>AA169-Z169</f>
        <v>10164.752955860924</v>
      </c>
      <c r="AB170" s="23">
        <f>AB169-AA169</f>
        <v>8981.03434612084</v>
      </c>
      <c r="AC170" s="23">
        <f>AC169-AB169</f>
        <v>9142.333722977259</v>
      </c>
      <c r="AD170" s="23">
        <f>AD169-AC169</f>
        <v>7865.307387022767</v>
      </c>
      <c r="AE170" s="23">
        <f>AE169-AD169</f>
        <v>-526046.2671109553</v>
      </c>
    </row>
    <row r="172">
      <c r="A172" s="5" t="inlineStr">
        <is>
          <t xml:space="preserve">Downside</t>
        </is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>
      <c r="A173" s="6" t="inlineStr">
        <is>
          <t xml:space="preserve">Lender's floor: revenue counted up to the AW (1 = yes)</t>
        </is>
      </c>
      <c r="C173" s="23">
        <v>0</v>
      </c>
    </row>
    <row r="174">
      <c r="A174" s="6" t="inlineStr">
        <is>
          <t xml:space="preserve">Two-sided premium in this case (1 = yes)</t>
        </is>
      </c>
      <c r="C174" s="23">
        <f>IF(AND($C$173=0,Inputs!$C$35),1,0)</f>
        <v>0</v>
      </c>
    </row>
    <row r="175">
      <c r="A175" s="6" t="inlineStr">
        <is>
          <t xml:space="preserve">Site quality until the first § 36h review</t>
        </is>
      </c>
      <c r="C175" s="43">
        <f>Inputs!$C$16</f>
        <v>0.68</v>
      </c>
    </row>
    <row r="176">
      <c r="A176" s="6" t="inlineStr">
        <is>
          <t xml:space="preserve">Site quality after the reviews</t>
        </is>
      </c>
      <c r="C176" s="24">
        <f>Inputs!$C$16*Inputs!$C$108</f>
        <v>0.590236736</v>
      </c>
      <c r="D176" s="2" t="inlineStr">
        <is>
          <t xml:space="preserve">multi-year stress: § 36h review applies</t>
        </is>
      </c>
    </row>
    <row r="177">
      <c r="A177" s="6" t="inlineStr">
        <is>
          <t xml:space="preserve">Correction factor until the first review</t>
        </is>
      </c>
      <c r="C177" s="44">
        <f>IF($C$175*100&lt;=IF(Inputs!$C$17,Inputs!$C$187,Inputs!$C$188),IF(Inputs!$C$17,Inputs!$C$185,Inputs!$C$184),IF($C$175*100&gt;=Inputs!$C$189,Inputs!$C$186,INDEX(Inputs!$B$173:$B$183,MATCH($C$175*100,Inputs!$A$173:$A$183,1))+($C$175*100-INDEX(Inputs!$A$173:$A$183,MATCH($C$175*100,Inputs!$A$173:$A$183,1)))/(INDEX(Inputs!$A$173:$A$183,MATCH($C$175*100,Inputs!$A$173:$A$183,1)+1)-INDEX(Inputs!$A$173:$A$183,MATCH($C$175*100,Inputs!$A$173:$A$183,1)))*(INDEX(Inputs!$B$173:$B$183,MATCH($C$175*100,Inputs!$A$173:$A$183,1)+1)-INDEX(Inputs!$B$173:$B$183,MATCH($C$175*100,Inputs!$A$173:$A$183,1)))))</f>
        <v>1.316</v>
      </c>
    </row>
    <row r="178">
      <c r="A178" s="6" t="inlineStr">
        <is>
          <t xml:space="preserve">Correction factor after the reviews</t>
        </is>
      </c>
      <c r="C178" s="44">
        <f>IF($C$176*100&lt;=IF(Inputs!$C$17,Inputs!$C$187,Inputs!$C$188),IF(Inputs!$C$17,Inputs!$C$185,Inputs!$C$184),IF($C$176*100&gt;=Inputs!$C$189,Inputs!$C$186,INDEX(Inputs!$B$173:$B$183,MATCH($C$176*100,Inputs!$A$173:$A$183,1))+($C$176*100-INDEX(Inputs!$A$173:$A$183,MATCH($C$176*100,Inputs!$A$173:$A$183,1)))/(INDEX(Inputs!$A$173:$A$183,MATCH($C$176*100,Inputs!$A$173:$A$183,1)+1)-INDEX(Inputs!$A$173:$A$183,MATCH($C$176*100,Inputs!$A$173:$A$183,1)))*(INDEX(Inputs!$B$173:$B$183,MATCH($C$176*100,Inputs!$A$173:$A$183,1)+1)-INDEX(Inputs!$B$173:$B$183,MATCH($C$176*100,Inputs!$A$173:$A$183,1)))))</f>
        <v>1.42</v>
      </c>
    </row>
    <row r="179">
      <c r="A179" s="6" t="inlineStr">
        <is>
          <t xml:space="preserve">AW until the first review (rounded to 0.01 ct)</t>
        </is>
      </c>
      <c r="B179" s="10" t="inlineStr">
        <is>
          <t xml:space="preserve">€/kWh</t>
        </is>
      </c>
      <c r="C179" s="21">
        <f>ROUND(Inputs!$C$27*$C$177,2)/100</f>
        <v>0.063</v>
      </c>
    </row>
    <row r="180">
      <c r="A180" s="6" t="inlineStr">
        <is>
          <t xml:space="preserve">AW after the reviews</t>
        </is>
      </c>
      <c r="B180" s="10" t="inlineStr">
        <is>
          <t xml:space="preserve">€/kWh</t>
        </is>
      </c>
      <c r="C180" s="21">
        <f>ROUND(Inputs!$C$27*$C$178,2)/100</f>
        <v>0.068</v>
      </c>
    </row>
    <row r="181">
      <c r="A181" s="6" t="inlineStr">
        <is>
          <t xml:space="preserve">Baseload price</t>
        </is>
      </c>
      <c r="B181" s="10" t="inlineStr">
        <is>
          <t xml:space="preserve">€/MWh</t>
        </is>
      </c>
      <c r="E181" s="26">
        <f>IF(COUNTIF(Inputs!$A$42:$A$44,Timing!$C$15-1)&gt;0,SUMIFS(Inputs!$B$42:$B$44,Inputs!$A$42:$A$44,Timing!$C$15-1),Inputs!$C$30*Timing!E76)*Inputs!$C$109</f>
        <v>102.69600000000001</v>
      </c>
      <c r="F181" s="26">
        <f>IF(COUNTIF(Inputs!$A$42:$A$44,Timing!F59)&gt;0,SUMIFS(Inputs!$B$42:$B$44,Inputs!$A$42:$A$44,Timing!F59),Inputs!$C$30*Timing!F76)*Inputs!$C$109</f>
        <v>79.104</v>
      </c>
      <c r="G181" s="26">
        <f>IF(COUNTIF(Inputs!$A$42:$A$44,Timing!G59)&gt;0,SUMIFS(Inputs!$B$42:$B$44,Inputs!$A$42:$A$44,Timing!G59),Inputs!$C$30*Timing!G76)*Inputs!$C$109</f>
        <v>66.192</v>
      </c>
      <c r="H181" s="26">
        <f>IF(COUNTIF(Inputs!$A$42:$A$44,Timing!H59)&gt;0,SUMIFS(Inputs!$B$42:$B$44,Inputs!$A$42:$A$44,Timing!H59),Inputs!$C$30*Timing!H76)*Inputs!$C$109</f>
        <v>65.327527512</v>
      </c>
      <c r="I181" s="26">
        <f>IF(COUNTIF(Inputs!$A$42:$A$44,Timing!I59)&gt;0,SUMIFS(Inputs!$B$42:$B$44,Inputs!$A$42:$A$44,Timing!I59),Inputs!$C$30*Timing!I76)*Inputs!$C$109</f>
        <v>66.63407806224</v>
      </c>
      <c r="J181" s="26">
        <f>IF(COUNTIF(Inputs!$A$42:$A$44,Timing!J59)&gt;0,SUMIFS(Inputs!$B$42:$B$44,Inputs!$A$42:$A$44,Timing!J59),Inputs!$C$30*Timing!J76)*Inputs!$C$109</f>
        <v>67.96675962348479</v>
      </c>
      <c r="K181" s="26">
        <f>IF(COUNTIF(Inputs!$A$42:$A$44,Timing!K59)&gt;0,SUMIFS(Inputs!$B$42:$B$44,Inputs!$A$42:$A$44,Timing!K59),Inputs!$C$30*Timing!K76)*Inputs!$C$109</f>
        <v>69.3260948159545</v>
      </c>
      <c r="L181" s="26">
        <f>IF(COUNTIF(Inputs!$A$42:$A$44,Timing!L59)&gt;0,SUMIFS(Inputs!$B$42:$B$44,Inputs!$A$42:$A$44,Timing!L59),Inputs!$C$30*Timing!L76)*Inputs!$C$109</f>
        <v>70.71261671227359</v>
      </c>
      <c r="M181" s="26">
        <f>IF(COUNTIF(Inputs!$A$42:$A$44,Timing!M59)&gt;0,SUMIFS(Inputs!$B$42:$B$44,Inputs!$A$42:$A$44,Timing!M59),Inputs!$C$30*Timing!M76)*Inputs!$C$109</f>
        <v>72.12686904651905</v>
      </c>
      <c r="N181" s="26">
        <f>IF(COUNTIF(Inputs!$A$42:$A$44,Timing!N59)&gt;0,SUMIFS(Inputs!$B$42:$B$44,Inputs!$A$42:$A$44,Timing!N59),Inputs!$C$30*Timing!N76)*Inputs!$C$109</f>
        <v>73.56940642744944</v>
      </c>
      <c r="O181" s="26">
        <f>IF(COUNTIF(Inputs!$A$42:$A$44,Timing!O59)&gt;0,SUMIFS(Inputs!$B$42:$B$44,Inputs!$A$42:$A$44,Timing!O59),Inputs!$C$30*Timing!O76)*Inputs!$C$109</f>
        <v>75.04079455599843</v>
      </c>
      <c r="P181" s="26">
        <f>IF(COUNTIF(Inputs!$A$42:$A$44,Timing!P59)&gt;0,SUMIFS(Inputs!$B$42:$B$44,Inputs!$A$42:$A$44,Timing!P59),Inputs!$C$30*Timing!P76)*Inputs!$C$109</f>
        <v>76.54161044711839</v>
      </c>
      <c r="Q181" s="26">
        <f>IF(COUNTIF(Inputs!$A$42:$A$44,Timing!Q59)&gt;0,SUMIFS(Inputs!$B$42:$B$44,Inputs!$A$42:$A$44,Timing!Q59),Inputs!$C$30*Timing!Q76)*Inputs!$C$109</f>
        <v>78.07244265606076</v>
      </c>
      <c r="R181" s="26">
        <f>IF(COUNTIF(Inputs!$A$42:$A$44,Timing!R59)&gt;0,SUMIFS(Inputs!$B$42:$B$44,Inputs!$A$42:$A$44,Timing!R59),Inputs!$C$30*Timing!R76)*Inputs!$C$109</f>
        <v>79.63389150918198</v>
      </c>
      <c r="S181" s="26">
        <f>IF(COUNTIF(Inputs!$A$42:$A$44,Timing!S59)&gt;0,SUMIFS(Inputs!$B$42:$B$44,Inputs!$A$42:$A$44,Timing!S59),Inputs!$C$30*Timing!S76)*Inputs!$C$109</f>
        <v>81.22656933936561</v>
      </c>
      <c r="T181" s="26">
        <f>IF(COUNTIF(Inputs!$A$42:$A$44,Timing!T59)&gt;0,SUMIFS(Inputs!$B$42:$B$44,Inputs!$A$42:$A$44,Timing!T59),Inputs!$C$30*Timing!T76)*Inputs!$C$109</f>
        <v>82.85110072615294</v>
      </c>
      <c r="U181" s="26">
        <f>IF(COUNTIF(Inputs!$A$42:$A$44,Timing!U59)&gt;0,SUMIFS(Inputs!$B$42:$B$44,Inputs!$A$42:$A$44,Timing!U59),Inputs!$C$30*Timing!U76)*Inputs!$C$109</f>
        <v>84.50812274067597</v>
      </c>
      <c r="V181" s="26">
        <f>IF(COUNTIF(Inputs!$A$42:$A$44,Timing!V59)&gt;0,SUMIFS(Inputs!$B$42:$B$44,Inputs!$A$42:$A$44,Timing!V59),Inputs!$C$30*Timing!V76)*Inputs!$C$109</f>
        <v>86.1982851954895</v>
      </c>
      <c r="W181" s="26">
        <f>IF(COUNTIF(Inputs!$A$42:$A$44,Timing!W59)&gt;0,SUMIFS(Inputs!$B$42:$B$44,Inputs!$A$42:$A$44,Timing!W59),Inputs!$C$30*Timing!W76)*Inputs!$C$109</f>
        <v>87.92225089939929</v>
      </c>
      <c r="X181" s="26">
        <f>IF(COUNTIF(Inputs!$A$42:$A$44,Timing!X59)&gt;0,SUMIFS(Inputs!$B$42:$B$44,Inputs!$A$42:$A$44,Timing!X59),Inputs!$C$30*Timing!X76)*Inputs!$C$109</f>
        <v>89.68069591738728</v>
      </c>
      <c r="Y181" s="26">
        <f>IF(COUNTIF(Inputs!$A$42:$A$44,Timing!Y59)&gt;0,SUMIFS(Inputs!$B$42:$B$44,Inputs!$A$42:$A$44,Timing!Y59),Inputs!$C$30*Timing!Y76)*Inputs!$C$109</f>
        <v>91.47430983573503</v>
      </c>
      <c r="Z181" s="26">
        <f>IF(COUNTIF(Inputs!$A$42:$A$44,Timing!Z59)&gt;0,SUMIFS(Inputs!$B$42:$B$44,Inputs!$A$42:$A$44,Timing!Z59),Inputs!$C$30*Timing!Z76)*Inputs!$C$109</f>
        <v>93.30379603244972</v>
      </c>
      <c r="AA181" s="26">
        <f>IF(COUNTIF(Inputs!$A$42:$A$44,Timing!AA59)&gt;0,SUMIFS(Inputs!$B$42:$B$44,Inputs!$A$42:$A$44,Timing!AA59),Inputs!$C$30*Timing!AA76)*Inputs!$C$109</f>
        <v>95.16987195309872</v>
      </c>
      <c r="AB181" s="26">
        <f>IF(COUNTIF(Inputs!$A$42:$A$44,Timing!AB59)&gt;0,SUMIFS(Inputs!$B$42:$B$44,Inputs!$A$42:$A$44,Timing!AB59),Inputs!$C$30*Timing!AB76)*Inputs!$C$109</f>
        <v>97.0732693921607</v>
      </c>
      <c r="AC181" s="26">
        <f>IF(COUNTIF(Inputs!$A$42:$A$44,Timing!AC59)&gt;0,SUMIFS(Inputs!$B$42:$B$44,Inputs!$A$42:$A$44,Timing!AC59),Inputs!$C$30*Timing!AC76)*Inputs!$C$109</f>
        <v>99.01473478000392</v>
      </c>
      <c r="AD181" s="26">
        <f>IF(COUNTIF(Inputs!$A$42:$A$44,Timing!AD59)&gt;0,SUMIFS(Inputs!$B$42:$B$44,Inputs!$A$42:$A$44,Timing!AD59),Inputs!$C$30*Timing!AD76)*Inputs!$C$109</f>
        <v>100.995029475604</v>
      </c>
      <c r="AE181" s="26">
        <f>IF(COUNTIF(Inputs!$A$42:$A$44,Timing!AE59)&gt;0,SUMIFS(Inputs!$B$42:$B$44,Inputs!$A$42:$A$44,Timing!AE59),Inputs!$C$30*Timing!AE76)*Inputs!$C$109</f>
        <v>103.0149300651161</v>
      </c>
    </row>
    <row r="182">
      <c r="A182" s="6" t="inlineStr">
        <is>
          <t xml:space="preserve">Market value of wind (JW)</t>
        </is>
      </c>
      <c r="B182" s="10" t="inlineStr">
        <is>
          <t xml:space="preserve">€/kWh</t>
        </is>
      </c>
      <c r="E182" s="37">
        <f>E181*Inputs!$C$31/1000</f>
        <v>0.08215680000000002</v>
      </c>
      <c r="F182" s="37">
        <f>F181*Inputs!$C$31/1000</f>
        <v>0.0632832</v>
      </c>
      <c r="G182" s="37">
        <f>G181*Inputs!$C$31/1000</f>
        <v>0.052953599999999997</v>
      </c>
      <c r="H182" s="37">
        <f>H181*Inputs!$C$31/1000</f>
        <v>0.0522620220096</v>
      </c>
      <c r="I182" s="37">
        <f>I181*Inputs!$C$31/1000</f>
        <v>0.053307262449791996</v>
      </c>
      <c r="J182" s="37">
        <f>J181*Inputs!$C$31/1000</f>
        <v>0.05437340769878784</v>
      </c>
      <c r="K182" s="37">
        <f>K181*Inputs!$C$31/1000</f>
        <v>0.05546087585276361</v>
      </c>
      <c r="L182" s="37">
        <f>L181*Inputs!$C$31/1000</f>
        <v>0.05657009336981887</v>
      </c>
      <c r="M182" s="37">
        <f>M181*Inputs!$C$31/1000</f>
        <v>0.05770149523721524</v>
      </c>
      <c r="N182" s="37">
        <f>N181*Inputs!$C$31/1000</f>
        <v>0.058855525141959554</v>
      </c>
      <c r="O182" s="37">
        <f>O181*Inputs!$C$31/1000</f>
        <v>0.06003263564479874</v>
      </c>
      <c r="P182" s="37">
        <f>P181*Inputs!$C$31/1000</f>
        <v>0.06123328835769471</v>
      </c>
      <c r="Q182" s="37">
        <f>Q181*Inputs!$C$31/1000</f>
        <v>0.062457954124848614</v>
      </c>
      <c r="R182" s="37">
        <f>R181*Inputs!$C$31/1000</f>
        <v>0.06370711320734558</v>
      </c>
      <c r="S182" s="37">
        <f>S181*Inputs!$C$31/1000</f>
        <v>0.06498125547149249</v>
      </c>
      <c r="T182" s="37">
        <f>T181*Inputs!$C$31/1000</f>
        <v>0.06628088058092235</v>
      </c>
      <c r="U182" s="37">
        <f>U181*Inputs!$C$31/1000</f>
        <v>0.06760649819254079</v>
      </c>
      <c r="V182" s="37">
        <f>V181*Inputs!$C$31/1000</f>
        <v>0.06895862815639162</v>
      </c>
      <c r="W182" s="37">
        <f>W181*Inputs!$C$31/1000</f>
        <v>0.07033780071951944</v>
      </c>
      <c r="X182" s="37">
        <f>X181*Inputs!$C$31/1000</f>
        <v>0.07174455673390984</v>
      </c>
      <c r="Y182" s="37">
        <f>Y181*Inputs!$C$31/1000</f>
        <v>0.07317944786858803</v>
      </c>
      <c r="Z182" s="37">
        <f>Z181*Inputs!$C$31/1000</f>
        <v>0.07464303682595978</v>
      </c>
      <c r="AA182" s="37">
        <f>AA181*Inputs!$C$31/1000</f>
        <v>0.07613589756247897</v>
      </c>
      <c r="AB182" s="37">
        <f>AB181*Inputs!$C$31/1000</f>
        <v>0.07765861551372856</v>
      </c>
      <c r="AC182" s="37">
        <f>AC181*Inputs!$C$31/1000</f>
        <v>0.07921178782400314</v>
      </c>
      <c r="AD182" s="37">
        <f>AD181*Inputs!$C$31/1000</f>
        <v>0.08079602358048321</v>
      </c>
      <c r="AE182" s="37">
        <f>AE181*Inputs!$C$31/1000</f>
        <v>0.08241194405209289</v>
      </c>
    </row>
    <row r="183">
      <c r="A183" s="6" t="inlineStr">
        <is>
          <t xml:space="preserve">Market value of the year before (basis of the advances, § 26)</t>
        </is>
      </c>
      <c r="B183" s="10" t="inlineStr">
        <is>
          <t xml:space="preserve">€/kWh</t>
        </is>
      </c>
      <c r="F183" s="37">
        <f>E182</f>
        <v>0.08215680000000002</v>
      </c>
      <c r="G183" s="37">
        <f>F182</f>
        <v>0.0632832</v>
      </c>
      <c r="H183" s="37">
        <f>G182</f>
        <v>0.052953599999999997</v>
      </c>
      <c r="I183" s="37">
        <f>H182</f>
        <v>0.0522620220096</v>
      </c>
      <c r="J183" s="37">
        <f>I182</f>
        <v>0.053307262449791996</v>
      </c>
      <c r="K183" s="37">
        <f>J182</f>
        <v>0.05437340769878784</v>
      </c>
      <c r="L183" s="37">
        <f>K182</f>
        <v>0.05546087585276361</v>
      </c>
      <c r="M183" s="37">
        <f>L182</f>
        <v>0.05657009336981887</v>
      </c>
      <c r="N183" s="37">
        <f>M182</f>
        <v>0.05770149523721524</v>
      </c>
      <c r="O183" s="37">
        <f>N182</f>
        <v>0.058855525141959554</v>
      </c>
      <c r="P183" s="37">
        <f>O182</f>
        <v>0.06003263564479874</v>
      </c>
      <c r="Q183" s="37">
        <f>P182</f>
        <v>0.06123328835769471</v>
      </c>
      <c r="R183" s="37">
        <f>Q182</f>
        <v>0.062457954124848614</v>
      </c>
      <c r="S183" s="37">
        <f>R182</f>
        <v>0.06370711320734558</v>
      </c>
      <c r="T183" s="37">
        <f>S182</f>
        <v>0.06498125547149249</v>
      </c>
      <c r="U183" s="37">
        <f>T182</f>
        <v>0.06628088058092235</v>
      </c>
      <c r="V183" s="37">
        <f>U182</f>
        <v>0.06760649819254079</v>
      </c>
      <c r="W183" s="37">
        <f>V182</f>
        <v>0.06895862815639162</v>
      </c>
      <c r="X183" s="37">
        <f>W182</f>
        <v>0.07033780071951944</v>
      </c>
      <c r="Y183" s="37">
        <f>X182</f>
        <v>0.07174455673390984</v>
      </c>
      <c r="Z183" s="37">
        <f>Y182</f>
        <v>0.07317944786858803</v>
      </c>
      <c r="AA183" s="37">
        <f>Z182</f>
        <v>0.07464303682595978</v>
      </c>
      <c r="AB183" s="37">
        <f>AA182</f>
        <v>0.07613589756247897</v>
      </c>
      <c r="AC183" s="37">
        <f>AB182</f>
        <v>0.07765861551372856</v>
      </c>
      <c r="AD183" s="37">
        <f>AC182</f>
        <v>0.07921178782400314</v>
      </c>
      <c r="AE183" s="37">
        <f>AD182</f>
        <v>0.08079602358048321</v>
      </c>
    </row>
    <row r="184">
      <c r="A184" s="6" t="inlineStr">
        <is>
          <t xml:space="preserve">Output</t>
        </is>
      </c>
      <c r="B184" s="10" t="inlineStr">
        <is>
          <t xml:space="preserve">kWh</t>
        </is>
      </c>
      <c r="F184" s="23">
        <f>Timing!$C$28*Timing!$C$29*Timing!F66*Timing!F73*Inputs!$C$108</f>
        <v>33518727.305564184</v>
      </c>
      <c r="G184" s="23">
        <f>Timing!$C$28*Timing!$C$29*Timing!G66*Timing!G73*Inputs!$C$108</f>
        <v>66539774.37743923</v>
      </c>
      <c r="H184" s="23">
        <f>Timing!$C$28*Timing!$C$29*Timing!H66*Timing!H73*Inputs!$C$108</f>
        <v>66406694.828684345</v>
      </c>
      <c r="I184" s="23">
        <f>Timing!$C$28*Timing!$C$29*Timing!I66*Timing!I73*Inputs!$C$108</f>
        <v>66273881.43902699</v>
      </c>
      <c r="J184" s="23">
        <f>Timing!$C$28*Timing!$C$29*Timing!J66*Timing!J73*Inputs!$C$108</f>
        <v>66141333.67614893</v>
      </c>
      <c r="K184" s="23">
        <f>Timing!$C$28*Timing!$C$29*Timing!K66*Timing!K73*Inputs!$C$108</f>
        <v>66009051.00879663</v>
      </c>
      <c r="L184" s="23">
        <f>Timing!$C$28*Timing!$C$29*Timing!L66*Timing!L73*Inputs!$C$108</f>
        <v>65877032.906779036</v>
      </c>
      <c r="M184" s="23">
        <f>Timing!$C$28*Timing!$C$29*Timing!M66*Timing!M73*Inputs!$C$108</f>
        <v>65745278.84096547</v>
      </c>
      <c r="N184" s="23">
        <f>Timing!$C$28*Timing!$C$29*Timing!N66*Timing!N73*Inputs!$C$108</f>
        <v>65613788.28328354</v>
      </c>
      <c r="O184" s="23">
        <f>Timing!$C$28*Timing!$C$29*Timing!O66*Timing!O73*Inputs!$C$108</f>
        <v>65482560.70671699</v>
      </c>
      <c r="P184" s="23">
        <f>Timing!$C$28*Timing!$C$29*Timing!P66*Timing!P73*Inputs!$C$108</f>
        <v>65351595.585303545</v>
      </c>
      <c r="Q184" s="23">
        <f>Timing!$C$28*Timing!$C$29*Timing!Q66*Timing!Q73*Inputs!$C$108</f>
        <v>65220892.39413294</v>
      </c>
      <c r="R184" s="23">
        <f>Timing!$C$28*Timing!$C$29*Timing!R66*Timing!R73*Inputs!$C$108</f>
        <v>65090450.609344676</v>
      </c>
      <c r="S184" s="23">
        <f>Timing!$C$28*Timing!$C$29*Timing!S66*Timing!S73*Inputs!$C$108</f>
        <v>64960269.70812599</v>
      </c>
      <c r="T184" s="23">
        <f>Timing!$C$28*Timing!$C$29*Timing!T66*Timing!T73*Inputs!$C$108</f>
        <v>64830349.168709725</v>
      </c>
      <c r="U184" s="23">
        <f>Timing!$C$28*Timing!$C$29*Timing!U66*Timing!U73*Inputs!$C$108</f>
        <v>64700688.47037232</v>
      </c>
      <c r="V184" s="23">
        <f>Timing!$C$28*Timing!$C$29*Timing!V66*Timing!V73*Inputs!$C$108</f>
        <v>64571287.09343157</v>
      </c>
      <c r="W184" s="23">
        <f>Timing!$C$28*Timing!$C$29*Timing!W66*Timing!W73*Inputs!$C$108</f>
        <v>64442144.5192447</v>
      </c>
      <c r="X184" s="23">
        <f>Timing!$C$28*Timing!$C$29*Timing!X66*Timing!X73*Inputs!$C$108</f>
        <v>64313260.230206214</v>
      </c>
      <c r="Y184" s="23">
        <f>Timing!$C$28*Timing!$C$29*Timing!Y66*Timing!Y73*Inputs!$C$108</f>
        <v>64184633.7097458</v>
      </c>
      <c r="Z184" s="23">
        <f>Timing!$C$28*Timing!$C$29*Timing!Z66*Timing!Z73*Inputs!$C$108</f>
        <v>64056264.442326315</v>
      </c>
      <c r="AA184" s="23">
        <f>Timing!$C$28*Timing!$C$29*Timing!AA66*Timing!AA73*Inputs!$C$108</f>
        <v>63928151.91344166</v>
      </c>
      <c r="AB184" s="23">
        <f>Timing!$C$28*Timing!$C$29*Timing!AB66*Timing!AB73*Inputs!$C$108</f>
        <v>63800295.609614775</v>
      </c>
      <c r="AC184" s="23">
        <f>Timing!$C$28*Timing!$C$29*Timing!AC66*Timing!AC73*Inputs!$C$108</f>
        <v>63672695.01839555</v>
      </c>
      <c r="AD184" s="23">
        <f>Timing!$C$28*Timing!$C$29*Timing!AD66*Timing!AD73*Inputs!$C$108</f>
        <v>63545349.62835876</v>
      </c>
      <c r="AE184" s="23">
        <f>Timing!$C$28*Timing!$C$29*Timing!AE66*Timing!AE73*Inputs!$C$108</f>
        <v>31448506.4826506</v>
      </c>
    </row>
    <row r="185">
      <c r="A185" s="6" t="inlineStr">
        <is>
          <t xml:space="preserve">Output sold (not curtailed at negative prices)</t>
        </is>
      </c>
      <c r="B185" s="10" t="inlineStr">
        <is>
          <t xml:space="preserve">kWh</t>
        </is>
      </c>
      <c r="F185" s="23">
        <f>F184*(1-Inputs!$C$23)</f>
        <v>31842790.940285973</v>
      </c>
      <c r="G185" s="23">
        <f>G184*(1-Inputs!$C$23)</f>
        <v>63212785.658567265</v>
      </c>
      <c r="H185" s="23">
        <f>H184*(1-Inputs!$C$23)</f>
        <v>63086360.08725013</v>
      </c>
      <c r="I185" s="23">
        <f>I184*(1-Inputs!$C$23)</f>
        <v>62960187.36707564</v>
      </c>
      <c r="J185" s="23">
        <f>J184*(1-Inputs!$C$23)</f>
        <v>62834266.99234148</v>
      </c>
      <c r="K185" s="23">
        <f>K184*(1-Inputs!$C$23)</f>
        <v>62708598.4583568</v>
      </c>
      <c r="L185" s="23">
        <f>L184*(1-Inputs!$C$23)</f>
        <v>62583181.26144008</v>
      </c>
      <c r="M185" s="23">
        <f>M184*(1-Inputs!$C$23)</f>
        <v>62458014.8989172</v>
      </c>
      <c r="N185" s="23">
        <f>N184*(1-Inputs!$C$23)</f>
        <v>62333098.86911936</v>
      </c>
      <c r="O185" s="23">
        <f>O184*(1-Inputs!$C$23)</f>
        <v>62208432.67138114</v>
      </c>
      <c r="P185" s="23">
        <f>P184*(1-Inputs!$C$23)</f>
        <v>62084015.806038365</v>
      </c>
      <c r="Q185" s="23">
        <f>Q184*(1-Inputs!$C$23)</f>
        <v>61959847.77442629</v>
      </c>
      <c r="R185" s="23">
        <f>R184*(1-Inputs!$C$23)</f>
        <v>61835928.07887744</v>
      </c>
      <c r="S185" s="23">
        <f>S184*(1-Inputs!$C$23)</f>
        <v>61712256.22271969</v>
      </c>
      <c r="T185" s="23">
        <f>T184*(1-Inputs!$C$23)</f>
        <v>61588831.710274234</v>
      </c>
      <c r="U185" s="23">
        <f>U184*(1-Inputs!$C$23)</f>
        <v>61465654.0468537</v>
      </c>
      <c r="V185" s="23">
        <f>V184*(1-Inputs!$C$23)</f>
        <v>61342722.73875999</v>
      </c>
      <c r="W185" s="23">
        <f>W184*(1-Inputs!$C$23)</f>
        <v>61220037.293282464</v>
      </c>
      <c r="X185" s="23">
        <f>X184*(1-Inputs!$C$23)</f>
        <v>61097597.2186959</v>
      </c>
      <c r="Y185" s="23">
        <f>Y184*(1-Inputs!$C$23)</f>
        <v>60975402.02425851</v>
      </c>
      <c r="Z185" s="23">
        <f>Z184*(1-Inputs!$C$23)</f>
        <v>60853451.22020999</v>
      </c>
      <c r="AA185" s="23">
        <f>AA184*(1-Inputs!$C$23)</f>
        <v>60731744.31776957</v>
      </c>
      <c r="AB185" s="23">
        <f>AB184*(1-Inputs!$C$23)</f>
        <v>60610280.82913403</v>
      </c>
      <c r="AC185" s="23">
        <f>AC184*(1-Inputs!$C$23)</f>
        <v>60489060.26747577</v>
      </c>
      <c r="AD185" s="23">
        <f>AD184*(1-Inputs!$C$23)</f>
        <v>60368082.14694082</v>
      </c>
      <c r="AE185" s="23">
        <f>AE184*(1-Inputs!$C$23)</f>
        <v>29876081.15851807</v>
      </c>
    </row>
    <row r="186">
      <c r="A186" s="6" t="inlineStr">
        <is>
          <t xml:space="preserve">Output eligible for the premium</t>
        </is>
      </c>
      <c r="B186" s="10" t="inlineStr">
        <is>
          <t xml:space="preserve">kWh</t>
        </is>
      </c>
      <c r="F186" s="23">
        <f>F185*Timing!F69</f>
        <v>31842790.940285973</v>
      </c>
      <c r="G186" s="23">
        <f>G185*Timing!G69</f>
        <v>63212785.658567265</v>
      </c>
      <c r="H186" s="23">
        <f>H185*Timing!H69</f>
        <v>63086360.08725013</v>
      </c>
      <c r="I186" s="23">
        <f>I185*Timing!I69</f>
        <v>62960187.36707564</v>
      </c>
      <c r="J186" s="23">
        <f>J185*Timing!J69</f>
        <v>62834266.99234148</v>
      </c>
      <c r="K186" s="23">
        <f>K185*Timing!K69</f>
        <v>62708598.4583568</v>
      </c>
      <c r="L186" s="23">
        <f>L185*Timing!L69</f>
        <v>62583181.26144008</v>
      </c>
      <c r="M186" s="23">
        <f>M185*Timing!M69</f>
        <v>62458014.8989172</v>
      </c>
      <c r="N186" s="23">
        <f>N185*Timing!N69</f>
        <v>62333098.86911936</v>
      </c>
      <c r="O186" s="23">
        <f>O185*Timing!O69</f>
        <v>62208432.67138114</v>
      </c>
      <c r="P186" s="23">
        <f>P185*Timing!P69</f>
        <v>62084015.806038365</v>
      </c>
      <c r="Q186" s="23">
        <f>Q185*Timing!Q69</f>
        <v>61959847.77442629</v>
      </c>
      <c r="R186" s="23">
        <f>R185*Timing!R69</f>
        <v>61835928.07887744</v>
      </c>
      <c r="S186" s="23">
        <f>S185*Timing!S69</f>
        <v>61712256.22271969</v>
      </c>
      <c r="T186" s="23">
        <f>T185*Timing!T69</f>
        <v>61588831.710274234</v>
      </c>
      <c r="U186" s="23">
        <f>U185*Timing!U69</f>
        <v>61465654.0468537</v>
      </c>
      <c r="V186" s="23">
        <f>V185*Timing!V69</f>
        <v>61342722.73875999</v>
      </c>
      <c r="W186" s="23">
        <f>W185*Timing!W69</f>
        <v>61220037.293282464</v>
      </c>
      <c r="X186" s="23">
        <f>X185*Timing!X69</f>
        <v>61097597.2186959</v>
      </c>
      <c r="Y186" s="23">
        <f>Y185*Timing!Y69</f>
        <v>60975402.02425851</v>
      </c>
      <c r="Z186" s="23">
        <f>Z185*Timing!Z69</f>
        <v>60853451.22020999</v>
      </c>
      <c r="AA186" s="23">
        <f>AA185*Timing!AA69</f>
        <v>46422347.02645948</v>
      </c>
      <c r="AB186" s="23">
        <f>AB185*Timing!AB69</f>
        <v>0</v>
      </c>
      <c r="AC186" s="23">
        <f>AC185*Timing!AC69</f>
        <v>0</v>
      </c>
      <c r="AD186" s="23">
        <f>AD185*Timing!AD69</f>
        <v>0</v>
      </c>
      <c r="AE186" s="23">
        <f>AE185*Timing!AE69</f>
        <v>0</v>
      </c>
    </row>
    <row r="187">
      <c r="A187" s="6" t="inlineStr">
        <is>
          <t xml:space="preserve">Premium per kWh at the first AW</t>
        </is>
      </c>
      <c r="B187" s="10" t="inlineStr">
        <is>
          <t xml:space="preserve">€/kWh</t>
        </is>
      </c>
      <c r="F187" s="37">
        <f>IF($C$174=1,$C$179-F182,MAX(0,$C$179-F182))</f>
        <v>0</v>
      </c>
      <c r="G187" s="37">
        <f>IF($C$174=1,$C$179-G182,MAX(0,$C$179-G182))</f>
        <v>0.010046400000000004</v>
      </c>
      <c r="H187" s="37">
        <f>IF($C$174=1,$C$179-H182,MAX(0,$C$179-H182))</f>
        <v>0.0107379779904</v>
      </c>
      <c r="I187" s="37">
        <f>IF($C$174=1,$C$179-I182,MAX(0,$C$179-I182))</f>
        <v>0.009692737550208004</v>
      </c>
      <c r="J187" s="37">
        <f>IF($C$174=1,$C$179-J182,MAX(0,$C$179-J182))</f>
        <v>0.008626592301212162</v>
      </c>
      <c r="K187" s="37">
        <f>IF($C$174=1,$C$179-K182,MAX(0,$C$179-K182))</f>
        <v>0.007539124147236391</v>
      </c>
      <c r="L187" s="37">
        <f>IF($C$174=1,$C$179-L182,MAX(0,$C$179-L182))</f>
        <v>0.006429906630181129</v>
      </c>
      <c r="M187" s="37">
        <f>IF($C$174=1,$C$179-M182,MAX(0,$C$179-M182))</f>
        <v>0.0052985047627847615</v>
      </c>
      <c r="N187" s="37">
        <f>IF($C$174=1,$C$179-N182,MAX(0,$C$179-N182))</f>
        <v>0.004144474858040446</v>
      </c>
      <c r="O187" s="37">
        <f>IF($C$174=1,$C$179-O182,MAX(0,$C$179-O182))</f>
        <v>0.0029673643552012574</v>
      </c>
      <c r="P187" s="37">
        <f>IF($C$174=1,$C$179-P182,MAX(0,$C$179-P182))</f>
        <v>0.0017667116423052895</v>
      </c>
      <c r="Q187" s="37">
        <f>IF($C$174=1,$C$179-Q182,MAX(0,$C$179-Q182))</f>
        <v>0.0005420458751513868</v>
      </c>
      <c r="R187" s="37">
        <f>IF($C$174=1,$C$179-R182,MAX(0,$C$179-R182))</f>
        <v>0</v>
      </c>
      <c r="S187" s="37">
        <f>IF($C$174=1,$C$179-S182,MAX(0,$C$179-S182))</f>
        <v>0</v>
      </c>
      <c r="T187" s="37">
        <f>IF($C$174=1,$C$179-T182,MAX(0,$C$179-T182))</f>
        <v>0</v>
      </c>
      <c r="U187" s="37">
        <f>IF($C$174=1,$C$179-U182,MAX(0,$C$179-U182))</f>
        <v>0</v>
      </c>
      <c r="V187" s="37">
        <f>IF($C$174=1,$C$179-V182,MAX(0,$C$179-V182))</f>
        <v>0</v>
      </c>
      <c r="W187" s="37">
        <f>IF($C$174=1,$C$179-W182,MAX(0,$C$179-W182))</f>
        <v>0</v>
      </c>
      <c r="X187" s="37">
        <f>IF($C$174=1,$C$179-X182,MAX(0,$C$179-X182))</f>
        <v>0</v>
      </c>
      <c r="Y187" s="37">
        <f>IF($C$174=1,$C$179-Y182,MAX(0,$C$179-Y182))</f>
        <v>0</v>
      </c>
      <c r="Z187" s="37">
        <f>IF($C$174=1,$C$179-Z182,MAX(0,$C$179-Z182))</f>
        <v>0</v>
      </c>
      <c r="AA187" s="37">
        <f>IF($C$174=1,$C$179-AA182,MAX(0,$C$179-AA182))</f>
        <v>0</v>
      </c>
      <c r="AB187" s="37">
        <f>IF($C$174=1,$C$179-AB182,MAX(0,$C$179-AB182))</f>
        <v>0</v>
      </c>
      <c r="AC187" s="37">
        <f>IF($C$174=1,$C$179-AC182,MAX(0,$C$179-AC182))</f>
        <v>0</v>
      </c>
      <c r="AD187" s="37">
        <f>IF($C$174=1,$C$179-AD182,MAX(0,$C$179-AD182))</f>
        <v>0</v>
      </c>
      <c r="AE187" s="37">
        <f>IF($C$174=1,$C$179-AE182,MAX(0,$C$179-AE182))</f>
        <v>0</v>
      </c>
    </row>
    <row r="188">
      <c r="A188" s="6" t="inlineStr">
        <is>
          <t xml:space="preserve">Premium per kWh at the reviewed AW</t>
        </is>
      </c>
      <c r="B188" s="10" t="inlineStr">
        <is>
          <t xml:space="preserve">€/kWh</t>
        </is>
      </c>
      <c r="F188" s="37">
        <f>IF($C$174=1,$C$180-F182,MAX(0,$C$180-F182))</f>
        <v>0.004716800000000007</v>
      </c>
      <c r="G188" s="37">
        <f>IF($C$174=1,$C$180-G182,MAX(0,$C$180-G182))</f>
        <v>0.015046400000000008</v>
      </c>
      <c r="H188" s="37">
        <f>IF($C$174=1,$C$180-H182,MAX(0,$C$180-H182))</f>
        <v>0.015737977990400005</v>
      </c>
      <c r="I188" s="37">
        <f>IF($C$174=1,$C$180-I182,MAX(0,$C$180-I182))</f>
        <v>0.014692737550208008</v>
      </c>
      <c r="J188" s="37">
        <f>IF($C$174=1,$C$180-J182,MAX(0,$C$180-J182))</f>
        <v>0.013626592301212166</v>
      </c>
      <c r="K188" s="37">
        <f>IF($C$174=1,$C$180-K182,MAX(0,$C$180-K182))</f>
        <v>0.012539124147236395</v>
      </c>
      <c r="L188" s="37">
        <f>IF($C$174=1,$C$180-L182,MAX(0,$C$180-L182))</f>
        <v>0.011429906630181133</v>
      </c>
      <c r="M188" s="37">
        <f>IF($C$174=1,$C$180-M182,MAX(0,$C$180-M182))</f>
        <v>0.010298504762784766</v>
      </c>
      <c r="N188" s="37">
        <f>IF($C$174=1,$C$180-N182,MAX(0,$C$180-N182))</f>
        <v>0.00914447485804045</v>
      </c>
      <c r="O188" s="37">
        <f>IF($C$174=1,$C$180-O182,MAX(0,$C$180-O182))</f>
        <v>0.007967364355201262</v>
      </c>
      <c r="P188" s="37">
        <f>IF($C$174=1,$C$180-P182,MAX(0,$C$180-P182))</f>
        <v>0.006766711642305294</v>
      </c>
      <c r="Q188" s="37">
        <f>IF($C$174=1,$C$180-Q182,MAX(0,$C$180-Q182))</f>
        <v>0.005542045875151391</v>
      </c>
      <c r="R188" s="37">
        <f>IF($C$174=1,$C$180-R182,MAX(0,$C$180-R182))</f>
        <v>0.004292886792654424</v>
      </c>
      <c r="S188" s="37">
        <f>IF($C$174=1,$C$180-S182,MAX(0,$C$180-S182))</f>
        <v>0.0030187445285075193</v>
      </c>
      <c r="T188" s="37">
        <f>IF($C$174=1,$C$180-T182,MAX(0,$C$180-T182))</f>
        <v>0.0017191194190776526</v>
      </c>
      <c r="U188" s="37">
        <f>IF($C$174=1,$C$180-U182,MAX(0,$C$180-U182))</f>
        <v>0.00039350180745921504</v>
      </c>
      <c r="V188" s="37">
        <f>IF($C$174=1,$C$180-V182,MAX(0,$C$180-V182))</f>
        <v>0</v>
      </c>
      <c r="W188" s="37">
        <f>IF($C$174=1,$C$180-W182,MAX(0,$C$180-W182))</f>
        <v>0</v>
      </c>
      <c r="X188" s="37">
        <f>IF($C$174=1,$C$180-X182,MAX(0,$C$180-X182))</f>
        <v>0</v>
      </c>
      <c r="Y188" s="37">
        <f>IF($C$174=1,$C$180-Y182,MAX(0,$C$180-Y182))</f>
        <v>0</v>
      </c>
      <c r="Z188" s="37">
        <f>IF($C$174=1,$C$180-Z182,MAX(0,$C$180-Z182))</f>
        <v>0</v>
      </c>
      <c r="AA188" s="37">
        <f>IF($C$174=1,$C$180-AA182,MAX(0,$C$180-AA182))</f>
        <v>0</v>
      </c>
      <c r="AB188" s="37">
        <f>IF($C$174=1,$C$180-AB182,MAX(0,$C$180-AB182))</f>
        <v>0</v>
      </c>
      <c r="AC188" s="37">
        <f>IF($C$174=1,$C$180-AC182,MAX(0,$C$180-AC182))</f>
        <v>0</v>
      </c>
      <c r="AD188" s="37">
        <f>IF($C$174=1,$C$180-AD182,MAX(0,$C$180-AD182))</f>
        <v>0</v>
      </c>
      <c r="AE188" s="37">
        <f>IF($C$174=1,$C$180-AE182,MAX(0,$C$180-AE182))</f>
        <v>0</v>
      </c>
    </row>
    <row r="189">
      <c r="A189" s="6" t="inlineStr">
        <is>
          <t xml:space="preserve">Market premium per kWh (Anlage 1 EEG)</t>
        </is>
      </c>
      <c r="B189" s="10" t="inlineStr">
        <is>
          <t xml:space="preserve">€/kWh</t>
        </is>
      </c>
      <c r="F189" s="37">
        <f>Timing!F77*F187+(Timing!F78+Timing!F79+Timing!F80)*F188</f>
        <v>0</v>
      </c>
      <c r="G189" s="37">
        <f>Timing!G77*G187+(Timing!G78+Timing!G79+Timing!G80)*G188</f>
        <v>0.010046400000000004</v>
      </c>
      <c r="H189" s="37">
        <f>Timing!H77*H187+(Timing!H78+Timing!H79+Timing!H80)*H188</f>
        <v>0.0107379779904</v>
      </c>
      <c r="I189" s="37">
        <f>Timing!I77*I187+(Timing!I78+Timing!I79+Timing!I80)*I188</f>
        <v>0.009692737550208004</v>
      </c>
      <c r="J189" s="37">
        <f>Timing!J77*J187+(Timing!J78+Timing!J79+Timing!J80)*J188</f>
        <v>0.008626592301212162</v>
      </c>
      <c r="K189" s="37">
        <f>Timing!K77*K187+(Timing!K78+Timing!K79+Timing!K80)*K188</f>
        <v>0.010059672092441872</v>
      </c>
      <c r="L189" s="37">
        <f>Timing!L77*L187+(Timing!L78+Timing!L79+Timing!L80)*L188</f>
        <v>0.011429906630181133</v>
      </c>
      <c r="M189" s="37">
        <f>Timing!M77*M187+(Timing!M78+Timing!M79+Timing!M80)*M188</f>
        <v>0.010298504762784766</v>
      </c>
      <c r="N189" s="37">
        <f>Timing!N77*N187+(Timing!N78+Timing!N79+Timing!N80)*N188</f>
        <v>0.00914447485804045</v>
      </c>
      <c r="O189" s="37">
        <f>Timing!O77*O187+(Timing!O78+Timing!O79+Timing!O80)*O188</f>
        <v>0.007967364355201262</v>
      </c>
      <c r="P189" s="37">
        <f>Timing!P77*P187+(Timing!P78+Timing!P79+Timing!P80)*P188</f>
        <v>0.006766711642305294</v>
      </c>
      <c r="Q189" s="37">
        <f>Timing!Q77*Q187+(Timing!Q78+Timing!Q79+Timing!Q80)*Q188</f>
        <v>0.005542045875151391</v>
      </c>
      <c r="R189" s="37">
        <f>Timing!R77*R187+(Timing!R78+Timing!R79+Timing!R80)*R188</f>
        <v>0.004292886792654424</v>
      </c>
      <c r="S189" s="37">
        <f>Timing!S77*S187+(Timing!S78+Timing!S79+Timing!S80)*S188</f>
        <v>0.0030187445285075193</v>
      </c>
      <c r="T189" s="37">
        <f>Timing!T77*T187+(Timing!T78+Timing!T79+Timing!T80)*T188</f>
        <v>0.0017191194190776526</v>
      </c>
      <c r="U189" s="37">
        <f>Timing!U77*U187+(Timing!U78+Timing!U79+Timing!U80)*U188</f>
        <v>0.00039350180745921504</v>
      </c>
      <c r="V189" s="37">
        <f>Timing!V77*V187+(Timing!V78+Timing!V79+Timing!V80)*V188</f>
        <v>0</v>
      </c>
      <c r="W189" s="37">
        <f>Timing!W77*W187+(Timing!W78+Timing!W79+Timing!W80)*W188</f>
        <v>0</v>
      </c>
      <c r="X189" s="37">
        <f>Timing!X77*X187+(Timing!X78+Timing!X79+Timing!X80)*X188</f>
        <v>0</v>
      </c>
      <c r="Y189" s="37">
        <f>Timing!Y77*Y187+(Timing!Y78+Timing!Y79+Timing!Y80)*Y188</f>
        <v>0</v>
      </c>
      <c r="Z189" s="37">
        <f>Timing!Z77*Z187+(Timing!Z78+Timing!Z79+Timing!Z80)*Z188</f>
        <v>0</v>
      </c>
      <c r="AA189" s="37">
        <f>Timing!AA77*AA187+(Timing!AA78+Timing!AA79+Timing!AA80)*AA188</f>
        <v>0</v>
      </c>
      <c r="AB189" s="37">
        <f>Timing!AB77*AB187+(Timing!AB78+Timing!AB79+Timing!AB80)*AB188</f>
        <v>0</v>
      </c>
      <c r="AC189" s="37">
        <f>Timing!AC77*AC187+(Timing!AC78+Timing!AC79+Timing!AC80)*AC188</f>
        <v>0</v>
      </c>
      <c r="AD189" s="37">
        <f>Timing!AD77*AD187+(Timing!AD78+Timing!AD79+Timing!AD80)*AD188</f>
        <v>0</v>
      </c>
      <c r="AE189" s="37">
        <f>Timing!AE77*AE187+(Timing!AE78+Timing!AE79+Timing!AE80)*AE188</f>
        <v>0</v>
      </c>
    </row>
    <row r="190">
      <c r="A190" s="6" t="inlineStr">
        <is>
          <t xml:space="preserve">Advance per kWh (previous year's market value, never negative)</t>
        </is>
      </c>
      <c r="B190" s="10" t="inlineStr">
        <is>
          <t xml:space="preserve">€/kWh</t>
        </is>
      </c>
      <c r="F190" s="37">
        <f>Timing!F77*MAX(0,$C$179-F183)+(Timing!F78+Timing!F79+Timing!F80)*MAX(0,$C$180-F183)</f>
        <v>0</v>
      </c>
      <c r="G190" s="37">
        <f>Timing!G77*MAX(0,$C$179-G183)+(Timing!G78+Timing!G79+Timing!G80)*MAX(0,$C$180-G183)</f>
        <v>0</v>
      </c>
      <c r="H190" s="37">
        <f>Timing!H77*MAX(0,$C$179-H183)+(Timing!H78+Timing!H79+Timing!H80)*MAX(0,$C$180-H183)</f>
        <v>0.010046400000000004</v>
      </c>
      <c r="I190" s="37">
        <f>Timing!I77*MAX(0,$C$179-I183)+(Timing!I78+Timing!I79+Timing!I80)*MAX(0,$C$180-I183)</f>
        <v>0.0107379779904</v>
      </c>
      <c r="J190" s="37">
        <f>Timing!J77*MAX(0,$C$179-J183)+(Timing!J78+Timing!J79+Timing!J80)*MAX(0,$C$180-J183)</f>
        <v>0.009692737550208004</v>
      </c>
      <c r="K190" s="37">
        <f>Timing!K77*MAX(0,$C$179-K183)+(Timing!K78+Timing!K79+Timing!K80)*MAX(0,$C$180-K183)</f>
        <v>0.011147140246417643</v>
      </c>
      <c r="L190" s="37">
        <f>Timing!L77*MAX(0,$C$179-L183)+(Timing!L78+Timing!L79+Timing!L80)*MAX(0,$C$180-L183)</f>
        <v>0.012539124147236395</v>
      </c>
      <c r="M190" s="37">
        <f>Timing!M77*MAX(0,$C$179-M183)+(Timing!M78+Timing!M79+Timing!M80)*MAX(0,$C$180-M183)</f>
        <v>0.011429906630181133</v>
      </c>
      <c r="N190" s="37">
        <f>Timing!N77*MAX(0,$C$179-N183)+(Timing!N78+Timing!N79+Timing!N80)*MAX(0,$C$180-N183)</f>
        <v>0.010298504762784766</v>
      </c>
      <c r="O190" s="37">
        <f>Timing!O77*MAX(0,$C$179-O183)+(Timing!O78+Timing!O79+Timing!O80)*MAX(0,$C$180-O183)</f>
        <v>0.00914447485804045</v>
      </c>
      <c r="P190" s="37">
        <f>Timing!P77*MAX(0,$C$179-P183)+(Timing!P78+Timing!P79+Timing!P80)*MAX(0,$C$180-P183)</f>
        <v>0.007967364355201262</v>
      </c>
      <c r="Q190" s="37">
        <f>Timing!Q77*MAX(0,$C$179-Q183)+(Timing!Q78+Timing!Q79+Timing!Q80)*MAX(0,$C$180-Q183)</f>
        <v>0.006766711642305294</v>
      </c>
      <c r="R190" s="37">
        <f>Timing!R77*MAX(0,$C$179-R183)+(Timing!R78+Timing!R79+Timing!R80)*MAX(0,$C$180-R183)</f>
        <v>0.005542045875151391</v>
      </c>
      <c r="S190" s="37">
        <f>Timing!S77*MAX(0,$C$179-S183)+(Timing!S78+Timing!S79+Timing!S80)*MAX(0,$C$180-S183)</f>
        <v>0.004292886792654424</v>
      </c>
      <c r="T190" s="37">
        <f>Timing!T77*MAX(0,$C$179-T183)+(Timing!T78+Timing!T79+Timing!T80)*MAX(0,$C$180-T183)</f>
        <v>0.0030187445285075193</v>
      </c>
      <c r="U190" s="37">
        <f>Timing!U77*MAX(0,$C$179-U183)+(Timing!U78+Timing!U79+Timing!U80)*MAX(0,$C$180-U183)</f>
        <v>0.0017191194190776526</v>
      </c>
      <c r="V190" s="37">
        <f>Timing!V77*MAX(0,$C$179-V183)+(Timing!V78+Timing!V79+Timing!V80)*MAX(0,$C$180-V183)</f>
        <v>0.00039350180745921504</v>
      </c>
      <c r="W190" s="37">
        <f>Timing!W77*MAX(0,$C$179-W183)+(Timing!W78+Timing!W79+Timing!W80)*MAX(0,$C$180-W183)</f>
        <v>0</v>
      </c>
      <c r="X190" s="37">
        <f>Timing!X77*MAX(0,$C$179-X183)+(Timing!X78+Timing!X79+Timing!X80)*MAX(0,$C$180-X183)</f>
        <v>0</v>
      </c>
      <c r="Y190" s="37">
        <f>Timing!Y77*MAX(0,$C$179-Y183)+(Timing!Y78+Timing!Y79+Timing!Y80)*MAX(0,$C$180-Y183)</f>
        <v>0</v>
      </c>
      <c r="Z190" s="37">
        <f>Timing!Z77*MAX(0,$C$179-Z183)+(Timing!Z78+Timing!Z79+Timing!Z80)*MAX(0,$C$180-Z183)</f>
        <v>0</v>
      </c>
      <c r="AA190" s="37">
        <f>Timing!AA77*MAX(0,$C$179-AA183)+(Timing!AA78+Timing!AA79+Timing!AA80)*MAX(0,$C$180-AA183)</f>
        <v>0</v>
      </c>
      <c r="AB190" s="37">
        <f>Timing!AB77*MAX(0,$C$179-AB183)+(Timing!AB78+Timing!AB79+Timing!AB80)*MAX(0,$C$180-AB183)</f>
        <v>0</v>
      </c>
      <c r="AC190" s="37">
        <f>Timing!AC77*MAX(0,$C$179-AC183)+(Timing!AC78+Timing!AC79+Timing!AC80)*MAX(0,$C$180-AC183)</f>
        <v>0</v>
      </c>
      <c r="AD190" s="37">
        <f>Timing!AD77*MAX(0,$C$179-AD183)+(Timing!AD78+Timing!AD79+Timing!AD80)*MAX(0,$C$180-AD183)</f>
        <v>0</v>
      </c>
      <c r="AE190" s="37">
        <f>Timing!AE77*MAX(0,$C$179-AE183)+(Timing!AE78+Timing!AE79+Timing!AE80)*MAX(0,$C$180-AE183)</f>
        <v>0</v>
      </c>
    </row>
    <row r="191">
      <c r="A191" s="6" t="inlineStr">
        <is>
          <t xml:space="preserve">Share of support days with a positive premium</t>
        </is>
      </c>
      <c r="F191" s="21">
        <f>Timing!F77*IF(F187&gt;0,1,0)+(Timing!F78+Timing!F79+Timing!F80)*IF(F188&gt;0,1,0)</f>
        <v>0</v>
      </c>
      <c r="G191" s="21">
        <f>Timing!G77*IF(G187&gt;0,1,0)+(Timing!G78+Timing!G79+Timing!G80)*IF(G188&gt;0,1,0)</f>
        <v>1</v>
      </c>
      <c r="H191" s="21">
        <f>Timing!H77*IF(H187&gt;0,1,0)+(Timing!H78+Timing!H79+Timing!H80)*IF(H188&gt;0,1,0)</f>
        <v>1</v>
      </c>
      <c r="I191" s="21">
        <f>Timing!I77*IF(I187&gt;0,1,0)+(Timing!I78+Timing!I79+Timing!I80)*IF(I188&gt;0,1,0)</f>
        <v>1</v>
      </c>
      <c r="J191" s="21">
        <f>Timing!J77*IF(J187&gt;0,1,0)+(Timing!J78+Timing!J79+Timing!J80)*IF(J188&gt;0,1,0)</f>
        <v>1</v>
      </c>
      <c r="K191" s="21">
        <f>Timing!K77*IF(K187&gt;0,1,0)+(Timing!K78+Timing!K79+Timing!K80)*IF(K188&gt;0,1,0)</f>
        <v>1</v>
      </c>
      <c r="L191" s="21">
        <f>Timing!L77*IF(L187&gt;0,1,0)+(Timing!L78+Timing!L79+Timing!L80)*IF(L188&gt;0,1,0)</f>
        <v>1</v>
      </c>
      <c r="M191" s="21">
        <f>Timing!M77*IF(M187&gt;0,1,0)+(Timing!M78+Timing!M79+Timing!M80)*IF(M188&gt;0,1,0)</f>
        <v>1</v>
      </c>
      <c r="N191" s="21">
        <f>Timing!N77*IF(N187&gt;0,1,0)+(Timing!N78+Timing!N79+Timing!N80)*IF(N188&gt;0,1,0)</f>
        <v>1</v>
      </c>
      <c r="O191" s="21">
        <f>Timing!O77*IF(O187&gt;0,1,0)+(Timing!O78+Timing!O79+Timing!O80)*IF(O188&gt;0,1,0)</f>
        <v>1</v>
      </c>
      <c r="P191" s="21">
        <f>Timing!P77*IF(P187&gt;0,1,0)+(Timing!P78+Timing!P79+Timing!P80)*IF(P188&gt;0,1,0)</f>
        <v>1</v>
      </c>
      <c r="Q191" s="21">
        <f>Timing!Q77*IF(Q187&gt;0,1,0)+(Timing!Q78+Timing!Q79+Timing!Q80)*IF(Q188&gt;0,1,0)</f>
        <v>1</v>
      </c>
      <c r="R191" s="21">
        <f>Timing!R77*IF(R187&gt;0,1,0)+(Timing!R78+Timing!R79+Timing!R80)*IF(R188&gt;0,1,0)</f>
        <v>1</v>
      </c>
      <c r="S191" s="21">
        <f>Timing!S77*IF(S187&gt;0,1,0)+(Timing!S78+Timing!S79+Timing!S80)*IF(S188&gt;0,1,0)</f>
        <v>1</v>
      </c>
      <c r="T191" s="21">
        <f>Timing!T77*IF(T187&gt;0,1,0)+(Timing!T78+Timing!T79+Timing!T80)*IF(T188&gt;0,1,0)</f>
        <v>1</v>
      </c>
      <c r="U191" s="21">
        <f>Timing!U77*IF(U187&gt;0,1,0)+(Timing!U78+Timing!U79+Timing!U80)*IF(U188&gt;0,1,0)</f>
        <v>1</v>
      </c>
      <c r="V191" s="21">
        <f>Timing!V77*IF(V187&gt;0,1,0)+(Timing!V78+Timing!V79+Timing!V80)*IF(V188&gt;0,1,0)</f>
        <v>0</v>
      </c>
      <c r="W191" s="21">
        <f>Timing!W77*IF(W187&gt;0,1,0)+(Timing!W78+Timing!W79+Timing!W80)*IF(W188&gt;0,1,0)</f>
        <v>0</v>
      </c>
      <c r="X191" s="21">
        <f>Timing!X77*IF(X187&gt;0,1,0)+(Timing!X78+Timing!X79+Timing!X80)*IF(X188&gt;0,1,0)</f>
        <v>0</v>
      </c>
      <c r="Y191" s="21">
        <f>Timing!Y77*IF(Y187&gt;0,1,0)+(Timing!Y78+Timing!Y79+Timing!Y80)*IF(Y188&gt;0,1,0)</f>
        <v>0</v>
      </c>
      <c r="Z191" s="21">
        <f>Timing!Z77*IF(Z187&gt;0,1,0)+(Timing!Z78+Timing!Z79+Timing!Z80)*IF(Z188&gt;0,1,0)</f>
        <v>0</v>
      </c>
      <c r="AA191" s="21">
        <f>Timing!AA77*IF(AA187&gt;0,1,0)+(Timing!AA78+Timing!AA79+Timing!AA80)*IF(AA188&gt;0,1,0)</f>
        <v>0</v>
      </c>
      <c r="AB191" s="21">
        <f>Timing!AB77*IF(AB187&gt;0,1,0)+(Timing!AB78+Timing!AB79+Timing!AB80)*IF(AB188&gt;0,1,0)</f>
        <v>0</v>
      </c>
      <c r="AC191" s="21">
        <f>Timing!AC77*IF(AC187&gt;0,1,0)+(Timing!AC78+Timing!AC79+Timing!AC80)*IF(AC188&gt;0,1,0)</f>
        <v>0</v>
      </c>
      <c r="AD191" s="21">
        <f>Timing!AD77*IF(AD187&gt;0,1,0)+(Timing!AD78+Timing!AD79+Timing!AD80)*IF(AD188&gt;0,1,0)</f>
        <v>0</v>
      </c>
      <c r="AE191" s="21">
        <f>Timing!AE77*IF(AE187&gt;0,1,0)+(Timing!AE78+Timing!AE79+Timing!AE80)*IF(AE188&gt;0,1,0)</f>
        <v>0</v>
      </c>
    </row>
    <row r="192">
      <c r="A192" s="6" t="inlineStr">
        <is>
          <t xml:space="preserve">AW in force (day-weighted)</t>
        </is>
      </c>
      <c r="B192" s="10" t="inlineStr">
        <is>
          <t xml:space="preserve">€/kWh</t>
        </is>
      </c>
      <c r="F192" s="37">
        <f>IF(Timing!F69&gt;0,Timing!F77*$C$179+(Timing!F78+Timing!F79+Timing!F80)*$C$180,$C$180)</f>
        <v>0.063</v>
      </c>
      <c r="G192" s="37">
        <f>IF(Timing!G69&gt;0,Timing!G77*$C$179+(Timing!G78+Timing!G79+Timing!G80)*$C$180,$C$180)</f>
        <v>0.063</v>
      </c>
      <c r="H192" s="37">
        <f>IF(Timing!H69&gt;0,Timing!H77*$C$179+(Timing!H78+Timing!H79+Timing!H80)*$C$180,$C$180)</f>
        <v>0.063</v>
      </c>
      <c r="I192" s="37">
        <f>IF(Timing!I69&gt;0,Timing!I77*$C$179+(Timing!I78+Timing!I79+Timing!I80)*$C$180,$C$180)</f>
        <v>0.063</v>
      </c>
      <c r="J192" s="37">
        <f>IF(Timing!J69&gt;0,Timing!J77*$C$179+(Timing!J78+Timing!J79+Timing!J80)*$C$180,$C$180)</f>
        <v>0.063</v>
      </c>
      <c r="K192" s="37">
        <f>IF(Timing!K69&gt;0,Timing!K77*$C$179+(Timing!K78+Timing!K79+Timing!K80)*$C$180,$C$180)</f>
        <v>0.06552054794520548</v>
      </c>
      <c r="L192" s="37">
        <f>IF(Timing!L69&gt;0,Timing!L77*$C$179+(Timing!L78+Timing!L79+Timing!L80)*$C$180,$C$180)</f>
        <v>0.068</v>
      </c>
      <c r="M192" s="37">
        <f>IF(Timing!M69&gt;0,Timing!M77*$C$179+(Timing!M78+Timing!M79+Timing!M80)*$C$180,$C$180)</f>
        <v>0.068</v>
      </c>
      <c r="N192" s="37">
        <f>IF(Timing!N69&gt;0,Timing!N77*$C$179+(Timing!N78+Timing!N79+Timing!N80)*$C$180,$C$180)</f>
        <v>0.068</v>
      </c>
      <c r="O192" s="37">
        <f>IF(Timing!O69&gt;0,Timing!O77*$C$179+(Timing!O78+Timing!O79+Timing!O80)*$C$180,$C$180)</f>
        <v>0.068</v>
      </c>
      <c r="P192" s="37">
        <f>IF(Timing!P69&gt;0,Timing!P77*$C$179+(Timing!P78+Timing!P79+Timing!P80)*$C$180,$C$180)</f>
        <v>0.068</v>
      </c>
      <c r="Q192" s="37">
        <f>IF(Timing!Q69&gt;0,Timing!Q77*$C$179+(Timing!Q78+Timing!Q79+Timing!Q80)*$C$180,$C$180)</f>
        <v>0.068</v>
      </c>
      <c r="R192" s="37">
        <f>IF(Timing!R69&gt;0,Timing!R77*$C$179+(Timing!R78+Timing!R79+Timing!R80)*$C$180,$C$180)</f>
        <v>0.068</v>
      </c>
      <c r="S192" s="37">
        <f>IF(Timing!S69&gt;0,Timing!S77*$C$179+(Timing!S78+Timing!S79+Timing!S80)*$C$180,$C$180)</f>
        <v>0.068</v>
      </c>
      <c r="T192" s="37">
        <f>IF(Timing!T69&gt;0,Timing!T77*$C$179+(Timing!T78+Timing!T79+Timing!T80)*$C$180,$C$180)</f>
        <v>0.068</v>
      </c>
      <c r="U192" s="37">
        <f>IF(Timing!U69&gt;0,Timing!U77*$C$179+(Timing!U78+Timing!U79+Timing!U80)*$C$180,$C$180)</f>
        <v>0.068</v>
      </c>
      <c r="V192" s="37">
        <f>IF(Timing!V69&gt;0,Timing!V77*$C$179+(Timing!V78+Timing!V79+Timing!V80)*$C$180,$C$180)</f>
        <v>0.068</v>
      </c>
      <c r="W192" s="37">
        <f>IF(Timing!W69&gt;0,Timing!W77*$C$179+(Timing!W78+Timing!W79+Timing!W80)*$C$180,$C$180)</f>
        <v>0.068</v>
      </c>
      <c r="X192" s="37">
        <f>IF(Timing!X69&gt;0,Timing!X77*$C$179+(Timing!X78+Timing!X79+Timing!X80)*$C$180,$C$180)</f>
        <v>0.068</v>
      </c>
      <c r="Y192" s="37">
        <f>IF(Timing!Y69&gt;0,Timing!Y77*$C$179+(Timing!Y78+Timing!Y79+Timing!Y80)*$C$180,$C$180)</f>
        <v>0.068</v>
      </c>
      <c r="Z192" s="37">
        <f>IF(Timing!Z69&gt;0,Timing!Z77*$C$179+(Timing!Z78+Timing!Z79+Timing!Z80)*$C$180,$C$180)</f>
        <v>0.068</v>
      </c>
      <c r="AA192" s="37">
        <f>IF(Timing!AA69&gt;0,Timing!AA77*$C$179+(Timing!AA78+Timing!AA79+Timing!AA80)*$C$180,$C$180)</f>
        <v>0.068</v>
      </c>
      <c r="AB192" s="37">
        <f>IF(Timing!AB69&gt;0,Timing!AB77*$C$179+(Timing!AB78+Timing!AB79+Timing!AB80)*$C$180,$C$180)</f>
        <v>0.068</v>
      </c>
      <c r="AC192" s="37">
        <f>IF(Timing!AC69&gt;0,Timing!AC77*$C$179+(Timing!AC78+Timing!AC79+Timing!AC80)*$C$180,$C$180)</f>
        <v>0.068</v>
      </c>
      <c r="AD192" s="37">
        <f>IF(Timing!AD69&gt;0,Timing!AD77*$C$179+(Timing!AD78+Timing!AD79+Timing!AD80)*$C$180,$C$180)</f>
        <v>0.068</v>
      </c>
      <c r="AE192" s="37">
        <f>IF(Timing!AE69&gt;0,Timing!AE77*$C$179+(Timing!AE78+Timing!AE79+Timing!AE80)*$C$180,$C$180)</f>
        <v>0.068</v>
      </c>
    </row>
    <row r="193">
      <c r="A193" s="6" t="inlineStr">
        <is>
          <t xml:space="preserve">Revenue: market (floor case: up to the AW on output sold)</t>
        </is>
      </c>
      <c r="B193" s="10" t="inlineStr">
        <is>
          <t xml:space="preserve">€</t>
        </is>
      </c>
      <c r="F193" s="23">
        <f>IF($C$173=1,F185*Timing!F69*(Timing!F77*MIN(F182,$C$179)+(Timing!F78+Timing!F79+Timing!F80)*MIN(F182,$C$180)),F184*F182*Timing!F69)</f>
        <v>2121172.3238234795</v>
      </c>
      <c r="G193" s="23">
        <f>IF($C$173=1,G185*Timing!G69*(Timing!G77*MIN(G182,$C$179)+(Timing!G78+Timing!G79+Timing!G80)*MIN(G182,$C$180)),G184*G182*Timing!G69)</f>
        <v>3523520.596473166</v>
      </c>
      <c r="H193" s="23">
        <f>IF($C$173=1,H185*Timing!H69*(Timing!H77*MIN(H182,$C$179)+(Timing!H78+Timing!H79+Timing!H80)*MIN(H182,$C$180)),H184*H182*Timing!H69)</f>
        <v>3470548.1467214916</v>
      </c>
      <c r="I193" s="23">
        <f>IF($C$173=1,I185*Timing!I69*(Timing!I77*MIN(I182,$C$179)+(Timing!I78+Timing!I79+Timing!I80)*MIN(I182,$C$180)),I184*I182*Timing!I69)</f>
        <v>3532879.19143661</v>
      </c>
      <c r="J193" s="23">
        <f>IF($C$173=1,J185*Timing!J69*(Timing!J77*MIN(J182,$C$179)+(Timing!J78+Timing!J79+Timing!J80)*MIN(J182,$C$180)),J184*J182*Timing!J69)</f>
        <v>3596329.7017148114</v>
      </c>
      <c r="K193" s="23">
        <f>IF($C$173=1,K185*Timing!K69*(Timing!K77*MIN(K182,$C$179)+(Timing!K78+Timing!K79+Timing!K80)*MIN(K182,$C$180)),K184*K182*Timing!K69)</f>
        <v>3660919.7831576103</v>
      </c>
      <c r="L193" s="23">
        <f>IF($C$173=1,L185*Timing!L69*(Timing!L77*MIN(L182,$C$179)+(Timing!L78+Timing!L79+Timing!L80)*MIN(L182,$C$180)),L184*L182*Timing!L69)</f>
        <v>3726669.9024631204</v>
      </c>
      <c r="M193" s="23">
        <f>IF($C$173=1,M185*Timing!M69*(Timing!M77*MIN(M182,$C$179)+(Timing!M78+Timing!M79+Timing!M80)*MIN(M182,$C$180)),M184*M182*Timing!M69)</f>
        <v>3793600.893911357</v>
      </c>
      <c r="N193" s="23">
        <f>IF($C$173=1,N185*Timing!N69*(Timing!N77*MIN(N182,$C$179)+(Timing!N78+Timing!N79+Timing!N80)*MIN(N182,$C$180)),N184*N182*Timing!N69)</f>
        <v>3861733.9659660053</v>
      </c>
      <c r="O193" s="23">
        <f>IF($C$173=1,O185*Timing!O69*(Timing!O77*MIN(O182,$C$179)+(Timing!O78+Timing!O79+Timing!O80)*MIN(O182,$C$180)),O184*O182*Timing!O69)</f>
        <v>3931090.7079947563</v>
      </c>
      <c r="P193" s="23">
        <f>IF($C$173=1,P185*Timing!P69*(Timing!P77*MIN(P182,$C$179)+(Timing!P78+Timing!P79+Timing!P80)*MIN(P182,$C$180)),P184*P182*Timing!P69)</f>
        <v>4001693.097110341</v>
      </c>
      <c r="Q193" s="23">
        <f>IF($C$173=1,Q185*Timing!Q69*(Timing!Q77*MIN(Q182,$C$179)+(Timing!Q78+Timing!Q79+Timing!Q80)*MIN(Q182,$C$180)),Q184*Q182*Timing!Q69)</f>
        <v>4073563.5051344433</v>
      </c>
      <c r="R193" s="23">
        <f>IF($C$173=1,R185*Timing!R69*(Timing!R77*MIN(R182,$C$179)+(Timing!R78+Timing!R79+Timing!R80)*MIN(R182,$C$180)),R184*R182*Timing!R69)</f>
        <v>4146724.705686657</v>
      </c>
      <c r="S193" s="23">
        <f>IF($C$173=1,S185*Timing!S69*(Timing!S77*MIN(S182,$C$179)+(Timing!S78+Timing!S79+Timing!S80)*MIN(S182,$C$180)),S184*S182*Timing!S69)</f>
        <v>4221199.88140079</v>
      </c>
      <c r="T193" s="23">
        <f>IF($C$173=1,T185*Timing!T69*(Timing!T77*MIN(T182,$C$179)+(Timing!T78+Timing!T79+Timing!T80)*MIN(T182,$C$180)),T184*T182*Timing!T69)</f>
        <v>4297012.631270748</v>
      </c>
      <c r="U193" s="23">
        <f>IF($C$173=1,U185*Timing!U69*(Timing!U77*MIN(U182,$C$179)+(Timing!U78+Timing!U79+Timing!U80)*MIN(U182,$C$180)),U184*U182*Timing!U69)</f>
        <v>4374186.978128371</v>
      </c>
      <c r="V193" s="23">
        <f>IF($C$173=1,V185*Timing!V69*(Timing!V77*MIN(V182,$C$179)+(Timing!V78+Timing!V79+Timing!V80)*MIN(V182,$C$180)),V184*V182*Timing!V69)</f>
        <v>4452747.376255557</v>
      </c>
      <c r="W193" s="23">
        <f>IF($C$173=1,W185*Timing!W69*(Timing!W77*MIN(W182,$C$179)+(Timing!W78+Timing!W79+Timing!W80)*MIN(W182,$C$180)),W184*W182*Timing!W69)</f>
        <v>4532718.719133105</v>
      </c>
      <c r="X193" s="23">
        <f>IF($C$173=1,X185*Timing!X69*(Timing!X77*MIN(X182,$C$179)+(Timing!X78+Timing!X79+Timing!X80)*MIN(X182,$C$180)),X184*X182*Timing!X69)</f>
        <v>4614126.347328737</v>
      </c>
      <c r="Y193" s="23">
        <f>IF($C$173=1,Y185*Timing!Y69*(Timing!Y77*MIN(Y182,$C$179)+(Timing!Y78+Timing!Y79+Timing!Y80)*MIN(Y182,$C$180)),Y184*Y182*Timing!Y69)</f>
        <v>4696996.056526761</v>
      </c>
      <c r="Z193" s="23">
        <f>IF($C$173=1,Z185*Timing!Z69*(Timing!Z77*MIN(Z182,$C$179)+(Timing!Z78+Timing!Z79+Timing!Z80)*MIN(Z182,$C$180)),Z184*Z182*Timing!Z69)</f>
        <v>4781354.105701981</v>
      </c>
      <c r="AA193" s="23">
        <f>IF($C$173=1,AA185*Timing!AA69*(Timing!AA77*MIN(AA182,$C$179)+(Timing!AA78+Timing!AA79+Timing!AA80)*MIN(AA182,$C$180)),AA184*AA182*Timing!AA69)</f>
        <v>3720428.481911968</v>
      </c>
      <c r="AB193" s="23">
        <f>IF($C$173=1,AB185*Timing!AB69*(Timing!AB77*MIN(AB182,$C$179)+(Timing!AB78+Timing!AB79+Timing!AB80)*MIN(AB182,$C$180)),AB184*AB182*Timing!AB69)</f>
        <v>0</v>
      </c>
      <c r="AC193" s="23">
        <f>IF($C$173=1,AC185*Timing!AC69*(Timing!AC77*MIN(AC182,$C$179)+(Timing!AC78+Timing!AC79+Timing!AC80)*MIN(AC182,$C$180)),AC184*AC182*Timing!AC69)</f>
        <v>0</v>
      </c>
      <c r="AD193" s="23">
        <f>IF($C$173=1,AD185*Timing!AD69*(Timing!AD77*MIN(AD182,$C$179)+(Timing!AD78+Timing!AD79+Timing!AD80)*MIN(AD182,$C$180)),AD184*AD182*Timing!AD69)</f>
        <v>0</v>
      </c>
      <c r="AE193" s="23">
        <f>IF($C$173=1,AE185*Timing!AE69*(Timing!AE77*MIN(AE182,$C$179)+(Timing!AE78+Timing!AE79+Timing!AE80)*MIN(AE182,$C$180)),AE184*AE182*Timing!AE69)</f>
        <v>0</v>
      </c>
    </row>
    <row r="194">
      <c r="A194" s="6" t="inlineStr">
        <is>
          <t xml:space="preserve">Revenue: market premium for the year</t>
        </is>
      </c>
      <c r="B194" s="10" t="inlineStr">
        <is>
          <t xml:space="preserve">€</t>
        </is>
      </c>
      <c r="F194" s="23">
        <f>F186*F189</f>
        <v>0</v>
      </c>
      <c r="G194" s="23">
        <f>G186*G189</f>
        <v>635060.9298402304</v>
      </c>
      <c r="H194" s="23">
        <f>H186*H189</f>
        <v>677419.946111341</v>
      </c>
      <c r="I194" s="23">
        <f>I186*I189</f>
        <v>610256.5722609856</v>
      </c>
      <c r="J194" s="23">
        <f>J186*J189</f>
        <v>542045.6038884425</v>
      </c>
      <c r="K194" s="23">
        <f>K186*K189</f>
        <v>630827.9378676753</v>
      </c>
      <c r="L194" s="23">
        <f>L186*L189</f>
        <v>715319.9184379616</v>
      </c>
      <c r="M194" s="23">
        <f>M186*M189</f>
        <v>643224.1639105807</v>
      </c>
      <c r="N194" s="23">
        <f>N186*N189</f>
        <v>570003.4554324116</v>
      </c>
      <c r="O194" s="23">
        <f>O186*O189</f>
        <v>495637.2490588997</v>
      </c>
      <c r="P194" s="23">
        <f>P186*P189</f>
        <v>420104.6325557857</v>
      </c>
      <c r="Q194" s="23">
        <f>Q186*Q189</f>
        <v>343384.31878326734</v>
      </c>
      <c r="R194" s="23">
        <f>R186*R189</f>
        <v>265454.6389613418</v>
      </c>
      <c r="S194" s="23">
        <f>S186*S189</f>
        <v>186293.53581418918</v>
      </c>
      <c r="T194" s="23">
        <f>T186*T189</f>
        <v>105878.55659143795</v>
      </c>
      <c r="U194" s="23">
        <f>U186*U189</f>
        <v>24186.845964099746</v>
      </c>
      <c r="V194" s="23">
        <f>V186*V189</f>
        <v>0</v>
      </c>
      <c r="W194" s="23">
        <f>W186*W189</f>
        <v>0</v>
      </c>
      <c r="X194" s="23">
        <f>X186*X189</f>
        <v>0</v>
      </c>
      <c r="Y194" s="23">
        <f>Y186*Y189</f>
        <v>0</v>
      </c>
      <c r="Z194" s="23">
        <f>Z186*Z189</f>
        <v>0</v>
      </c>
      <c r="AA194" s="23">
        <f>AA186*AA189</f>
        <v>0</v>
      </c>
      <c r="AB194" s="23">
        <f>AB186*AB189</f>
        <v>0</v>
      </c>
      <c r="AC194" s="23">
        <f>AC186*AC189</f>
        <v>0</v>
      </c>
      <c r="AD194" s="23">
        <f>AD186*AD189</f>
        <v>0</v>
      </c>
      <c r="AE194" s="23">
        <f>AE186*AE189</f>
        <v>0</v>
      </c>
    </row>
    <row r="195">
      <c r="A195" s="6" t="inlineStr">
        <is>
          <t xml:space="preserve">§ 36h: first five years paid again at the reviewed AW</t>
        </is>
      </c>
      <c r="B195" s="10" t="inlineStr">
        <is>
          <t xml:space="preserve">€</t>
        </is>
      </c>
      <c r="F195" s="23">
        <f>F186*Timing!F77*(F188-F187)</f>
        <v>150196.0763071411</v>
      </c>
      <c r="G195" s="23">
        <f>G186*Timing!G77*(G188-G187)</f>
        <v>316063.9282928366</v>
      </c>
      <c r="H195" s="23">
        <f>H186*Timing!H77*(H188-H187)</f>
        <v>315431.8004362509</v>
      </c>
      <c r="I195" s="23">
        <f>I186*Timing!I77*(I188-I187)</f>
        <v>314800.93683537847</v>
      </c>
      <c r="J195" s="23">
        <f>J186*Timing!J77*(J188-J187)</f>
        <v>314171.3349617077</v>
      </c>
      <c r="K195" s="23">
        <f>K186*Timing!K77*(K188-K187)</f>
        <v>155482.9633008574</v>
      </c>
      <c r="L195" s="23">
        <f>L186*Timing!L77*(L188-L187)</f>
        <v>0</v>
      </c>
      <c r="M195" s="23">
        <f>M186*Timing!M77*(M188-M187)</f>
        <v>0</v>
      </c>
      <c r="N195" s="23">
        <f>N186*Timing!N77*(N188-N187)</f>
        <v>0</v>
      </c>
      <c r="O195" s="23">
        <f>O186*Timing!O77*(O188-O187)</f>
        <v>0</v>
      </c>
      <c r="P195" s="23">
        <f>P186*Timing!P77*(P188-P187)</f>
        <v>0</v>
      </c>
      <c r="Q195" s="23">
        <f>Q186*Timing!Q77*(Q188-Q187)</f>
        <v>0</v>
      </c>
      <c r="R195" s="23">
        <f>R186*Timing!R77*(R188-R187)</f>
        <v>0</v>
      </c>
      <c r="S195" s="23">
        <f>S186*Timing!S77*(S188-S187)</f>
        <v>0</v>
      </c>
      <c r="T195" s="23">
        <f>T186*Timing!T77*(T188-T187)</f>
        <v>0</v>
      </c>
      <c r="U195" s="23">
        <f>U186*Timing!U77*(U188-U187)</f>
        <v>0</v>
      </c>
      <c r="V195" s="23">
        <f>V186*Timing!V77*(V188-V187)</f>
        <v>0</v>
      </c>
      <c r="W195" s="23">
        <f>W186*Timing!W77*(W188-W187)</f>
        <v>0</v>
      </c>
      <c r="X195" s="23">
        <f>X186*Timing!X77*(X188-X187)</f>
        <v>0</v>
      </c>
      <c r="Y195" s="23">
        <f>Y186*Timing!Y77*(Y188-Y187)</f>
        <v>0</v>
      </c>
      <c r="Z195" s="23">
        <f>Z186*Timing!Z77*(Z188-Z187)</f>
        <v>0</v>
      </c>
      <c r="AA195" s="23">
        <f>AA186*Timing!AA77*(AA188-AA187)</f>
        <v>0</v>
      </c>
      <c r="AB195" s="23">
        <f>AB186*Timing!AB77*(AB188-AB187)</f>
        <v>0</v>
      </c>
      <c r="AC195" s="23">
        <f>AC186*Timing!AC77*(AC188-AC187)</f>
        <v>0</v>
      </c>
      <c r="AD195" s="23">
        <f>AD186*Timing!AD77*(AD188-AD187)</f>
        <v>0</v>
      </c>
      <c r="AE195" s="23">
        <f>AE186*Timing!AE77*(AE188-AE187)</f>
        <v>0</v>
      </c>
    </row>
    <row r="196">
      <c r="A196" s="6" t="inlineStr">
        <is>
          <t xml:space="preserve">§ 36h settlement (only if the site quality moved by more than 2 points)</t>
        </is>
      </c>
      <c r="B196" s="10" t="inlineStr">
        <is>
          <t xml:space="preserve">€</t>
        </is>
      </c>
      <c r="C196" s="23">
        <f>IF(ABS($C$176-$C$175)&gt;Inputs!$C$143,SUM($F$195:$AE$195),0)</f>
        <v>1566147.0401341722</v>
      </c>
    </row>
    <row r="197">
      <c r="A197" s="6" t="inlineStr">
        <is>
          <t xml:space="preserve">Revenue: § 36h settlement, in the year of the first review</t>
        </is>
      </c>
      <c r="B197" s="10" t="inlineStr">
        <is>
          <t xml:space="preserve">€</t>
        </is>
      </c>
      <c r="F197" s="23">
        <f>IF(Timing!F59=YEAR(Timing!$C$12),$C$196,0)</f>
        <v>0</v>
      </c>
      <c r="G197" s="23">
        <f>IF(Timing!G59=YEAR(Timing!$C$12),$C$196,0)</f>
        <v>0</v>
      </c>
      <c r="H197" s="23">
        <f>IF(Timing!H59=YEAR(Timing!$C$12),$C$196,0)</f>
        <v>0</v>
      </c>
      <c r="I197" s="23">
        <f>IF(Timing!I59=YEAR(Timing!$C$12),$C$196,0)</f>
        <v>0</v>
      </c>
      <c r="J197" s="23">
        <f>IF(Timing!J59=YEAR(Timing!$C$12),$C$196,0)</f>
        <v>0</v>
      </c>
      <c r="K197" s="23">
        <f>IF(Timing!K59=YEAR(Timing!$C$12),$C$196,0)</f>
        <v>1566147.0401341722</v>
      </c>
      <c r="L197" s="23">
        <f>IF(Timing!L59=YEAR(Timing!$C$12),$C$196,0)</f>
        <v>0</v>
      </c>
      <c r="M197" s="23">
        <f>IF(Timing!M59=YEAR(Timing!$C$12),$C$196,0)</f>
        <v>0</v>
      </c>
      <c r="N197" s="23">
        <f>IF(Timing!N59=YEAR(Timing!$C$12),$C$196,0)</f>
        <v>0</v>
      </c>
      <c r="O197" s="23">
        <f>IF(Timing!O59=YEAR(Timing!$C$12),$C$196,0)</f>
        <v>0</v>
      </c>
      <c r="P197" s="23">
        <f>IF(Timing!P59=YEAR(Timing!$C$12),$C$196,0)</f>
        <v>0</v>
      </c>
      <c r="Q197" s="23">
        <f>IF(Timing!Q59=YEAR(Timing!$C$12),$C$196,0)</f>
        <v>0</v>
      </c>
      <c r="R197" s="23">
        <f>IF(Timing!R59=YEAR(Timing!$C$12),$C$196,0)</f>
        <v>0</v>
      </c>
      <c r="S197" s="23">
        <f>IF(Timing!S59=YEAR(Timing!$C$12),$C$196,0)</f>
        <v>0</v>
      </c>
      <c r="T197" s="23">
        <f>IF(Timing!T59=YEAR(Timing!$C$12),$C$196,0)</f>
        <v>0</v>
      </c>
      <c r="U197" s="23">
        <f>IF(Timing!U59=YEAR(Timing!$C$12),$C$196,0)</f>
        <v>0</v>
      </c>
      <c r="V197" s="23">
        <f>IF(Timing!V59=YEAR(Timing!$C$12),$C$196,0)</f>
        <v>0</v>
      </c>
      <c r="W197" s="23">
        <f>IF(Timing!W59=YEAR(Timing!$C$12),$C$196,0)</f>
        <v>0</v>
      </c>
      <c r="X197" s="23">
        <f>IF(Timing!X59=YEAR(Timing!$C$12),$C$196,0)</f>
        <v>0</v>
      </c>
      <c r="Y197" s="23">
        <f>IF(Timing!Y59=YEAR(Timing!$C$12),$C$196,0)</f>
        <v>0</v>
      </c>
      <c r="Z197" s="23">
        <f>IF(Timing!Z59=YEAR(Timing!$C$12),$C$196,0)</f>
        <v>0</v>
      </c>
      <c r="AA197" s="23">
        <f>IF(Timing!AA59=YEAR(Timing!$C$12),$C$196,0)</f>
        <v>0</v>
      </c>
      <c r="AB197" s="23">
        <f>IF(Timing!AB59=YEAR(Timing!$C$12),$C$196,0)</f>
        <v>0</v>
      </c>
      <c r="AC197" s="23">
        <f>IF(Timing!AC59=YEAR(Timing!$C$12),$C$196,0)</f>
        <v>0</v>
      </c>
      <c r="AD197" s="23">
        <f>IF(Timing!AD59=YEAR(Timing!$C$12),$C$196,0)</f>
        <v>0</v>
      </c>
      <c r="AE197" s="23">
        <f>IF(Timing!AE59=YEAR(Timing!$C$12),$C$196,0)</f>
        <v>0</v>
      </c>
    </row>
    <row r="198">
      <c r="A198" s="6" t="inlineStr">
        <is>
          <t xml:space="preserve">Revenue: market premium</t>
        </is>
      </c>
      <c r="B198" s="10" t="inlineStr">
        <is>
          <t xml:space="preserve">€</t>
        </is>
      </c>
      <c r="F198" s="23">
        <f>F194+F197</f>
        <v>0</v>
      </c>
      <c r="G198" s="23">
        <f>G194+G197</f>
        <v>635060.9298402304</v>
      </c>
      <c r="H198" s="23">
        <f>H194+H197</f>
        <v>677419.946111341</v>
      </c>
      <c r="I198" s="23">
        <f>I194+I197</f>
        <v>610256.5722609856</v>
      </c>
      <c r="J198" s="23">
        <f>J194+J197</f>
        <v>542045.6038884425</v>
      </c>
      <c r="K198" s="23">
        <f>K194+K197</f>
        <v>2196974.9780018474</v>
      </c>
      <c r="L198" s="23">
        <f>L194+L197</f>
        <v>715319.9184379616</v>
      </c>
      <c r="M198" s="23">
        <f>M194+M197</f>
        <v>643224.1639105807</v>
      </c>
      <c r="N198" s="23">
        <f>N194+N197</f>
        <v>570003.4554324116</v>
      </c>
      <c r="O198" s="23">
        <f>O194+O197</f>
        <v>495637.2490588997</v>
      </c>
      <c r="P198" s="23">
        <f>P194+P197</f>
        <v>420104.6325557857</v>
      </c>
      <c r="Q198" s="23">
        <f>Q194+Q197</f>
        <v>343384.31878326734</v>
      </c>
      <c r="R198" s="23">
        <f>R194+R197</f>
        <v>265454.6389613418</v>
      </c>
      <c r="S198" s="23">
        <f>S194+S197</f>
        <v>186293.53581418918</v>
      </c>
      <c r="T198" s="23">
        <f>T194+T197</f>
        <v>105878.55659143795</v>
      </c>
      <c r="U198" s="23">
        <f>U194+U197</f>
        <v>24186.845964099746</v>
      </c>
      <c r="V198" s="23">
        <f>V194+V197</f>
        <v>0</v>
      </c>
      <c r="W198" s="23">
        <f>W194+W197</f>
        <v>0</v>
      </c>
      <c r="X198" s="23">
        <f>X194+X197</f>
        <v>0</v>
      </c>
      <c r="Y198" s="23">
        <f>Y194+Y197</f>
        <v>0</v>
      </c>
      <c r="Z198" s="23">
        <f>Z194+Z197</f>
        <v>0</v>
      </c>
      <c r="AA198" s="23">
        <f>AA194+AA197</f>
        <v>0</v>
      </c>
      <c r="AB198" s="23">
        <f>AB194+AB197</f>
        <v>0</v>
      </c>
      <c r="AC198" s="23">
        <f>AC194+AC197</f>
        <v>0</v>
      </c>
      <c r="AD198" s="23">
        <f>AD194+AD197</f>
        <v>0</v>
      </c>
      <c r="AE198" s="23">
        <f>AE194+AE197</f>
        <v>0</v>
      </c>
    </row>
    <row r="199">
      <c r="A199" s="6" t="inlineStr">
        <is>
          <t xml:space="preserve">Price after support (market value or PPA)</t>
        </is>
      </c>
      <c r="B199" s="10" t="inlineStr">
        <is>
          <t xml:space="preserve">€/kWh</t>
        </is>
      </c>
      <c r="F199" s="37">
        <f>IF(Inputs!$C$33="ppa",Inputs!$C$34*Timing!F76*Inputs!$C$109/1000,F182)</f>
        <v>0.0632832</v>
      </c>
      <c r="G199" s="37">
        <f>IF(Inputs!$C$33="ppa",Inputs!$C$34*Timing!G76*Inputs!$C$109/1000,G182)</f>
        <v>0.052953599999999997</v>
      </c>
      <c r="H199" s="37">
        <f>IF(Inputs!$C$33="ppa",Inputs!$C$34*Timing!H76*Inputs!$C$109/1000,H182)</f>
        <v>0.0522620220096</v>
      </c>
      <c r="I199" s="37">
        <f>IF(Inputs!$C$33="ppa",Inputs!$C$34*Timing!I76*Inputs!$C$109/1000,I182)</f>
        <v>0.053307262449791996</v>
      </c>
      <c r="J199" s="37">
        <f>IF(Inputs!$C$33="ppa",Inputs!$C$34*Timing!J76*Inputs!$C$109/1000,J182)</f>
        <v>0.05437340769878784</v>
      </c>
      <c r="K199" s="37">
        <f>IF(Inputs!$C$33="ppa",Inputs!$C$34*Timing!K76*Inputs!$C$109/1000,K182)</f>
        <v>0.05546087585276361</v>
      </c>
      <c r="L199" s="37">
        <f>IF(Inputs!$C$33="ppa",Inputs!$C$34*Timing!L76*Inputs!$C$109/1000,L182)</f>
        <v>0.05657009336981887</v>
      </c>
      <c r="M199" s="37">
        <f>IF(Inputs!$C$33="ppa",Inputs!$C$34*Timing!M76*Inputs!$C$109/1000,M182)</f>
        <v>0.05770149523721524</v>
      </c>
      <c r="N199" s="37">
        <f>IF(Inputs!$C$33="ppa",Inputs!$C$34*Timing!N76*Inputs!$C$109/1000,N182)</f>
        <v>0.058855525141959554</v>
      </c>
      <c r="O199" s="37">
        <f>IF(Inputs!$C$33="ppa",Inputs!$C$34*Timing!O76*Inputs!$C$109/1000,O182)</f>
        <v>0.06003263564479874</v>
      </c>
      <c r="P199" s="37">
        <f>IF(Inputs!$C$33="ppa",Inputs!$C$34*Timing!P76*Inputs!$C$109/1000,P182)</f>
        <v>0.06123328835769471</v>
      </c>
      <c r="Q199" s="37">
        <f>IF(Inputs!$C$33="ppa",Inputs!$C$34*Timing!Q76*Inputs!$C$109/1000,Q182)</f>
        <v>0.062457954124848614</v>
      </c>
      <c r="R199" s="37">
        <f>IF(Inputs!$C$33="ppa",Inputs!$C$34*Timing!R76*Inputs!$C$109/1000,R182)</f>
        <v>0.06370711320734558</v>
      </c>
      <c r="S199" s="37">
        <f>IF(Inputs!$C$33="ppa",Inputs!$C$34*Timing!S76*Inputs!$C$109/1000,S182)</f>
        <v>0.06498125547149249</v>
      </c>
      <c r="T199" s="37">
        <f>IF(Inputs!$C$33="ppa",Inputs!$C$34*Timing!T76*Inputs!$C$109/1000,T182)</f>
        <v>0.06628088058092235</v>
      </c>
      <c r="U199" s="37">
        <f>IF(Inputs!$C$33="ppa",Inputs!$C$34*Timing!U76*Inputs!$C$109/1000,U182)</f>
        <v>0.06760649819254079</v>
      </c>
      <c r="V199" s="37">
        <f>IF(Inputs!$C$33="ppa",Inputs!$C$34*Timing!V76*Inputs!$C$109/1000,V182)</f>
        <v>0.06895862815639162</v>
      </c>
      <c r="W199" s="37">
        <f>IF(Inputs!$C$33="ppa",Inputs!$C$34*Timing!W76*Inputs!$C$109/1000,W182)</f>
        <v>0.07033780071951944</v>
      </c>
      <c r="X199" s="37">
        <f>IF(Inputs!$C$33="ppa",Inputs!$C$34*Timing!X76*Inputs!$C$109/1000,X182)</f>
        <v>0.07174455673390984</v>
      </c>
      <c r="Y199" s="37">
        <f>IF(Inputs!$C$33="ppa",Inputs!$C$34*Timing!Y76*Inputs!$C$109/1000,Y182)</f>
        <v>0.07317944786858803</v>
      </c>
      <c r="Z199" s="37">
        <f>IF(Inputs!$C$33="ppa",Inputs!$C$34*Timing!Z76*Inputs!$C$109/1000,Z182)</f>
        <v>0.07464303682595978</v>
      </c>
      <c r="AA199" s="37">
        <f>IF(Inputs!$C$33="ppa",Inputs!$C$34*Timing!AA76*Inputs!$C$109/1000,AA182)</f>
        <v>0.07613589756247897</v>
      </c>
      <c r="AB199" s="37">
        <f>IF(Inputs!$C$33="ppa",Inputs!$C$34*Timing!AB76*Inputs!$C$109/1000,AB182)</f>
        <v>0.07765861551372856</v>
      </c>
      <c r="AC199" s="37">
        <f>IF(Inputs!$C$33="ppa",Inputs!$C$34*Timing!AC76*Inputs!$C$109/1000,AC182)</f>
        <v>0.07921178782400314</v>
      </c>
      <c r="AD199" s="37">
        <f>IF(Inputs!$C$33="ppa",Inputs!$C$34*Timing!AD76*Inputs!$C$109/1000,AD182)</f>
        <v>0.08079602358048321</v>
      </c>
      <c r="AE199" s="37">
        <f>IF(Inputs!$C$33="ppa",Inputs!$C$34*Timing!AE76*Inputs!$C$109/1000,AE182)</f>
        <v>0.08241194405209289</v>
      </c>
    </row>
    <row r="200">
      <c r="A200" s="6" t="inlineStr">
        <is>
          <t xml:space="preserve">Revenue: after support</t>
        </is>
      </c>
      <c r="B200" s="10" t="inlineStr">
        <is>
          <t xml:space="preserve">€</t>
        </is>
      </c>
      <c r="F200" s="23">
        <f>IF(Inputs!$C$33="ppa",F185,F184)*F199*(1-Timing!F69)</f>
        <v>0</v>
      </c>
      <c r="G200" s="23">
        <f>IF(Inputs!$C$33="ppa",G185,G184)*G199*(1-Timing!G69)</f>
        <v>0</v>
      </c>
      <c r="H200" s="23">
        <f>IF(Inputs!$C$33="ppa",H185,H184)*H199*(1-Timing!H69)</f>
        <v>0</v>
      </c>
      <c r="I200" s="23">
        <f>IF(Inputs!$C$33="ppa",I185,I184)*I199*(1-Timing!I69)</f>
        <v>0</v>
      </c>
      <c r="J200" s="23">
        <f>IF(Inputs!$C$33="ppa",J185,J184)*J199*(1-Timing!J69)</f>
        <v>0</v>
      </c>
      <c r="K200" s="23">
        <f>IF(Inputs!$C$33="ppa",K185,K184)*K199*(1-Timing!K69)</f>
        <v>0</v>
      </c>
      <c r="L200" s="23">
        <f>IF(Inputs!$C$33="ppa",L185,L184)*L199*(1-Timing!L69)</f>
        <v>0</v>
      </c>
      <c r="M200" s="23">
        <f>IF(Inputs!$C$33="ppa",M185,M184)*M199*(1-Timing!M69)</f>
        <v>0</v>
      </c>
      <c r="N200" s="23">
        <f>IF(Inputs!$C$33="ppa",N185,N184)*N199*(1-Timing!N69)</f>
        <v>0</v>
      </c>
      <c r="O200" s="23">
        <f>IF(Inputs!$C$33="ppa",O185,O184)*O199*(1-Timing!O69)</f>
        <v>0</v>
      </c>
      <c r="P200" s="23">
        <f>IF(Inputs!$C$33="ppa",P185,P184)*P199*(1-Timing!P69)</f>
        <v>0</v>
      </c>
      <c r="Q200" s="23">
        <f>IF(Inputs!$C$33="ppa",Q185,Q184)*Q199*(1-Timing!Q69)</f>
        <v>0</v>
      </c>
      <c r="R200" s="23">
        <f>IF(Inputs!$C$33="ppa",R185,R184)*R199*(1-Timing!R69)</f>
        <v>0</v>
      </c>
      <c r="S200" s="23">
        <f>IF(Inputs!$C$33="ppa",S185,S184)*S199*(1-Timing!S69)</f>
        <v>0</v>
      </c>
      <c r="T200" s="23">
        <f>IF(Inputs!$C$33="ppa",T185,T184)*T199*(1-Timing!T69)</f>
        <v>0</v>
      </c>
      <c r="U200" s="23">
        <f>IF(Inputs!$C$33="ppa",U185,U184)*U199*(1-Timing!U69)</f>
        <v>0</v>
      </c>
      <c r="V200" s="23">
        <f>IF(Inputs!$C$33="ppa",V185,V184)*V199*(1-Timing!V69)</f>
        <v>0</v>
      </c>
      <c r="W200" s="23">
        <f>IF(Inputs!$C$33="ppa",W185,W184)*W199*(1-Timing!W69)</f>
        <v>0</v>
      </c>
      <c r="X200" s="23">
        <f>IF(Inputs!$C$33="ppa",X185,X184)*X199*(1-Timing!X69)</f>
        <v>0</v>
      </c>
      <c r="Y200" s="23">
        <f>IF(Inputs!$C$33="ppa",Y185,Y184)*Y199*(1-Timing!Y69)</f>
        <v>0</v>
      </c>
      <c r="Z200" s="23">
        <f>IF(Inputs!$C$33="ppa",Z185,Z184)*Z199*(1-Timing!Z69)</f>
        <v>0</v>
      </c>
      <c r="AA200" s="23">
        <f>IF(Inputs!$C$33="ppa",AA185,AA184)*AA199*(1-Timing!AA69)</f>
        <v>1146798.7435284206</v>
      </c>
      <c r="AB200" s="23">
        <f>IF(Inputs!$C$33="ppa",AB185,AB184)*AB199*(1-Timing!AB69)</f>
        <v>4954642.626409298</v>
      </c>
      <c r="AC200" s="23">
        <f>IF(Inputs!$C$33="ppa",AC185,AC184)*AC199*(1-Timing!AC69)</f>
        <v>5043628.00797961</v>
      </c>
      <c r="AD200" s="23">
        <f>IF(Inputs!$C$33="ppa",AD185,AD184)*AD199*(1-Timing!AD69)</f>
        <v>5134211.567002924</v>
      </c>
      <c r="AE200" s="23">
        <f>IF(Inputs!$C$33="ppa",AE185,AE184)*AE199*(1-Timing!AE69)</f>
        <v>2591732.5567700816</v>
      </c>
    </row>
    <row r="201">
      <c r="A201" s="41" t="inlineStr">
        <is>
          <t xml:space="preserve">Revenue</t>
        </is>
      </c>
      <c r="B201" s="10" t="inlineStr">
        <is>
          <t xml:space="preserve">€</t>
        </is>
      </c>
      <c r="F201" s="42">
        <f>F193+F198+F200</f>
        <v>2121172.3238234795</v>
      </c>
      <c r="G201" s="42">
        <f>G193+G198+G200</f>
        <v>4158581.526313396</v>
      </c>
      <c r="H201" s="42">
        <f>H193+H198+H200</f>
        <v>4147968.0928328326</v>
      </c>
      <c r="I201" s="42">
        <f>I193+I198+I200</f>
        <v>4143135.763697596</v>
      </c>
      <c r="J201" s="42">
        <f>J193+J198+J200</f>
        <v>4138375.3056032537</v>
      </c>
      <c r="K201" s="42">
        <f>K193+K198+K200</f>
        <v>5857894.761159457</v>
      </c>
      <c r="L201" s="42">
        <f>L193+L198+L200</f>
        <v>4441989.820901082</v>
      </c>
      <c r="M201" s="42">
        <f>M193+M198+M200</f>
        <v>4436825.057821938</v>
      </c>
      <c r="N201" s="42">
        <f>N193+N198+N200</f>
        <v>4431737.421398417</v>
      </c>
      <c r="O201" s="42">
        <f>O193+O198+O200</f>
        <v>4426727.957053656</v>
      </c>
      <c r="P201" s="42">
        <f>P193+P198+P200</f>
        <v>4421797.729666127</v>
      </c>
      <c r="Q201" s="42">
        <f>Q193+Q198+Q200</f>
        <v>4416947.82391771</v>
      </c>
      <c r="R201" s="42">
        <f>R193+R198+R200</f>
        <v>4412179.344647999</v>
      </c>
      <c r="S201" s="42">
        <f>S193+S198+S200</f>
        <v>4407493.417214979</v>
      </c>
      <c r="T201" s="42">
        <f>T193+T198+T200</f>
        <v>4402891.187862186</v>
      </c>
      <c r="U201" s="42">
        <f>U193+U198+U200</f>
        <v>4398373.82409247</v>
      </c>
      <c r="V201" s="42">
        <f>V193+V198+V200</f>
        <v>4452747.376255557</v>
      </c>
      <c r="W201" s="42">
        <f>W193+W198+W200</f>
        <v>4532718.719133105</v>
      </c>
      <c r="X201" s="42">
        <f>X193+X198+X200</f>
        <v>4614126.347328737</v>
      </c>
      <c r="Y201" s="42">
        <f>Y193+Y198+Y200</f>
        <v>4696996.056526761</v>
      </c>
      <c r="Z201" s="42">
        <f>Z193+Z198+Z200</f>
        <v>4781354.105701981</v>
      </c>
      <c r="AA201" s="42">
        <f>AA193+AA198+AA200</f>
        <v>4867227.225440389</v>
      </c>
      <c r="AB201" s="42">
        <f>AB193+AB198+AB200</f>
        <v>4954642.626409298</v>
      </c>
      <c r="AC201" s="42">
        <f>AC193+AC198+AC200</f>
        <v>5043628.00797961</v>
      </c>
      <c r="AD201" s="42">
        <f>AD193+AD198+AD200</f>
        <v>5134211.567002924</v>
      </c>
      <c r="AE201" s="42">
        <f>AE193+AE198+AE200</f>
        <v>2591732.5567700816</v>
      </c>
    </row>
    <row r="202">
      <c r="A202" s="6" t="inlineStr">
        <is>
          <t xml:space="preserve">Premium advances for the year (§ 26)</t>
        </is>
      </c>
      <c r="B202" s="10" t="inlineStr">
        <is>
          <t xml:space="preserve">€</t>
        </is>
      </c>
      <c r="F202" s="23">
        <f>F186*F190</f>
        <v>0</v>
      </c>
      <c r="G202" s="23">
        <f>G186*G190</f>
        <v>0</v>
      </c>
      <c r="H202" s="23">
        <f>H186*H190</f>
        <v>633790.80798055</v>
      </c>
      <c r="I202" s="23">
        <f>I186*I190</f>
        <v>676065.1062191183</v>
      </c>
      <c r="J202" s="23">
        <f>J186*J190</f>
        <v>609036.0591164636</v>
      </c>
      <c r="K202" s="23">
        <f>K186*K190</f>
        <v>699021.5416715924</v>
      </c>
      <c r="L202" s="23">
        <f>L186*L190</f>
        <v>784738.2793661957</v>
      </c>
      <c r="M202" s="23">
        <f>M186*M190</f>
        <v>713889.2786010857</v>
      </c>
      <c r="N202" s="23">
        <f>N186*N190</f>
        <v>641937.7155827595</v>
      </c>
      <c r="O202" s="23">
        <f>O186*O190</f>
        <v>568863.448521547</v>
      </c>
      <c r="P202" s="23">
        <f>P186*P190</f>
        <v>494645.9745607818</v>
      </c>
      <c r="Q202" s="23">
        <f>Q186*Q190</f>
        <v>419264.4232906741</v>
      </c>
      <c r="R202" s="23">
        <f>R186*R190</f>
        <v>342697.5501457008</v>
      </c>
      <c r="S202" s="23">
        <f>S186*S190</f>
        <v>264923.72968341917</v>
      </c>
      <c r="T202" s="23">
        <f>T186*T190</f>
        <v>185920.94874256075</v>
      </c>
      <c r="U202" s="23">
        <f>U186*U190</f>
        <v>105666.7994782551</v>
      </c>
      <c r="V202" s="23">
        <f>V186*V190</f>
        <v>24138.472272171544</v>
      </c>
      <c r="W202" s="23">
        <f>W186*W190</f>
        <v>0</v>
      </c>
      <c r="X202" s="23">
        <f>X186*X190</f>
        <v>0</v>
      </c>
      <c r="Y202" s="23">
        <f>Y186*Y190</f>
        <v>0</v>
      </c>
      <c r="Z202" s="23">
        <f>Z186*Z190</f>
        <v>0</v>
      </c>
      <c r="AA202" s="23">
        <f>AA186*AA190</f>
        <v>0</v>
      </c>
      <c r="AB202" s="23">
        <f>AB186*AB190</f>
        <v>0</v>
      </c>
      <c r="AC202" s="23">
        <f>AC186*AC190</f>
        <v>0</v>
      </c>
      <c r="AD202" s="23">
        <f>AD186*AD190</f>
        <v>0</v>
      </c>
      <c r="AE202" s="23">
        <f>AE186*AE190</f>
        <v>0</v>
      </c>
    </row>
    <row r="203">
      <c r="A203" s="6" t="inlineStr">
        <is>
          <t xml:space="preserve">Fixed-cost basis (capacity × index × part year)</t>
        </is>
      </c>
      <c r="B203" s="10" t="inlineStr">
        <is>
          <t xml:space="preserve">kW</t>
        </is>
      </c>
      <c r="F203" s="26">
        <f>Timing!$C$28*Timing!F75*Timing!F66*Inputs!$C$110</f>
        <v>18758.58082787213</v>
      </c>
      <c r="G203" s="26">
        <f>Timing!$C$28*Timing!G75*Timing!G66*Inputs!$C$110</f>
        <v>38059.529318811</v>
      </c>
      <c r="H203" s="26">
        <f>Timing!$C$28*Timing!H75*Timing!H66*Inputs!$C$110</f>
        <v>38820.71990518722</v>
      </c>
      <c r="I203" s="26">
        <f>Timing!$C$28*Timing!I75*Timing!I66*Inputs!$C$110</f>
        <v>39597.134303290964</v>
      </c>
      <c r="J203" s="26">
        <f>Timing!$C$28*Timing!J75*Timing!J66*Inputs!$C$110</f>
        <v>40389.076989356785</v>
      </c>
      <c r="K203" s="26">
        <f>Timing!$C$28*Timing!K75*Timing!K66*Inputs!$C$110</f>
        <v>41196.858529143916</v>
      </c>
      <c r="L203" s="26">
        <f>Timing!$C$28*Timing!L75*Timing!L66*Inputs!$C$110</f>
        <v>42020.7956997268</v>
      </c>
      <c r="M203" s="26">
        <f>Timing!$C$28*Timing!M75*Timing!M66*Inputs!$C$110</f>
        <v>42861.21161372133</v>
      </c>
      <c r="N203" s="26">
        <f>Timing!$C$28*Timing!N75*Timing!N66*Inputs!$C$110</f>
        <v>43718.43584599575</v>
      </c>
      <c r="O203" s="26">
        <f>Timing!$C$28*Timing!O75*Timing!O66*Inputs!$C$110</f>
        <v>44592.80456291567</v>
      </c>
      <c r="P203" s="26">
        <f>Timing!$C$28*Timing!P75*Timing!P66*Inputs!$C$110</f>
        <v>45484.66065417399</v>
      </c>
      <c r="Q203" s="26">
        <f>Timing!$C$28*Timing!Q75*Timing!Q66*Inputs!$C$110</f>
        <v>46394.353867257465</v>
      </c>
      <c r="R203" s="26">
        <f>Timing!$C$28*Timing!R75*Timing!R66*Inputs!$C$110</f>
        <v>47322.240944602614</v>
      </c>
      <c r="S203" s="26">
        <f>Timing!$C$28*Timing!S75*Timing!S66*Inputs!$C$110</f>
        <v>48268.685763494665</v>
      </c>
      <c r="T203" s="26">
        <f>Timing!$C$28*Timing!T75*Timing!T66*Inputs!$C$110</f>
        <v>49234.05947876455</v>
      </c>
      <c r="U203" s="26">
        <f>Timing!$C$28*Timing!U75*Timing!U66*Inputs!$C$110</f>
        <v>50218.74066833985</v>
      </c>
      <c r="V203" s="26">
        <f>Timing!$C$28*Timing!V75*Timing!V66*Inputs!$C$110</f>
        <v>51223.11548170665</v>
      </c>
      <c r="W203" s="26">
        <f>Timing!$C$28*Timing!W75*Timing!W66*Inputs!$C$110</f>
        <v>52247.57779134078</v>
      </c>
      <c r="X203" s="26">
        <f>Timing!$C$28*Timing!X75*Timing!X66*Inputs!$C$110</f>
        <v>53292.5293471676</v>
      </c>
      <c r="Y203" s="26">
        <f>Timing!$C$28*Timing!Y75*Timing!Y66*Inputs!$C$110</f>
        <v>54358.37993411094</v>
      </c>
      <c r="Z203" s="26">
        <f>Timing!$C$28*Timing!Z75*Timing!Z66*Inputs!$C$110</f>
        <v>55445.54753279316</v>
      </c>
      <c r="AA203" s="26">
        <f>Timing!$C$28*Timing!AA75*Timing!AA66*Inputs!$C$110</f>
        <v>56554.45848344903</v>
      </c>
      <c r="AB203" s="26">
        <f>Timing!$C$28*Timing!AB75*Timing!AB66*Inputs!$C$110</f>
        <v>57685.54765311801</v>
      </c>
      <c r="AC203" s="26">
        <f>Timing!$C$28*Timing!AC75*Timing!AC66*Inputs!$C$110</f>
        <v>58839.25860618038</v>
      </c>
      <c r="AD203" s="26">
        <f>Timing!$C$28*Timing!AD75*Timing!AD66*Inputs!$C$110</f>
        <v>60016.04377830399</v>
      </c>
      <c r="AE203" s="26">
        <f>Timing!$C$28*Timing!AE75*Timing!AE66*Inputs!$C$110</f>
        <v>30356.60822561776</v>
      </c>
    </row>
    <row r="204">
      <c r="A204" s="6" t="inlineStr">
        <is>
          <t xml:space="preserve">Maintenance</t>
        </is>
      </c>
      <c r="B204" s="10" t="inlineStr">
        <is>
          <t xml:space="preserve">€</t>
        </is>
      </c>
      <c r="F204" s="23">
        <f>CHOOSE(Timing!F71+1,Inputs!$B$61,Inputs!$C$61,Inputs!$D$61)*F203</f>
        <v>262620.13159020984</v>
      </c>
      <c r="G204" s="23">
        <f>CHOOSE(Timing!G71+1,Inputs!$B$61,Inputs!$C$61,Inputs!$D$61)*G203</f>
        <v>532833.410463354</v>
      </c>
      <c r="H204" s="23">
        <f>CHOOSE(Timing!H71+1,Inputs!$B$61,Inputs!$C$61,Inputs!$D$61)*H203</f>
        <v>543490.0786726212</v>
      </c>
      <c r="I204" s="23">
        <f>CHOOSE(Timing!I71+1,Inputs!$B$61,Inputs!$C$61,Inputs!$D$61)*I203</f>
        <v>554359.8802460735</v>
      </c>
      <c r="J204" s="23">
        <f>CHOOSE(Timing!J71+1,Inputs!$B$61,Inputs!$C$61,Inputs!$D$61)*J203</f>
        <v>565447.077850995</v>
      </c>
      <c r="K204" s="23">
        <f>CHOOSE(Timing!K71+1,Inputs!$B$61,Inputs!$C$61,Inputs!$D$61)*K203</f>
        <v>576756.0194080148</v>
      </c>
      <c r="L204" s="23">
        <f>CHOOSE(Timing!L71+1,Inputs!$B$61,Inputs!$C$61,Inputs!$D$61)*L203</f>
        <v>588291.1397961752</v>
      </c>
      <c r="M204" s="23">
        <f>CHOOSE(Timing!M71+1,Inputs!$B$61,Inputs!$C$61,Inputs!$D$61)*M203</f>
        <v>600056.9625920986</v>
      </c>
      <c r="N204" s="23">
        <f>CHOOSE(Timing!N71+1,Inputs!$B$61,Inputs!$C$61,Inputs!$D$61)*N203</f>
        <v>612058.1018439406</v>
      </c>
      <c r="O204" s="23">
        <f>CHOOSE(Timing!O71+1,Inputs!$B$61,Inputs!$C$61,Inputs!$D$61)*O203</f>
        <v>624299.2638808193</v>
      </c>
      <c r="P204" s="23">
        <f>CHOOSE(Timing!P71+1,Inputs!$B$61,Inputs!$C$61,Inputs!$D$61)*P203</f>
        <v>727754.5704667838</v>
      </c>
      <c r="Q204" s="23">
        <f>CHOOSE(Timing!Q71+1,Inputs!$B$61,Inputs!$C$61,Inputs!$D$61)*Q203</f>
        <v>742309.6618761194</v>
      </c>
      <c r="R204" s="23">
        <f>CHOOSE(Timing!R71+1,Inputs!$B$61,Inputs!$C$61,Inputs!$D$61)*R203</f>
        <v>757155.8551136418</v>
      </c>
      <c r="S204" s="23">
        <f>CHOOSE(Timing!S71+1,Inputs!$B$61,Inputs!$C$61,Inputs!$D$61)*S203</f>
        <v>772298.9722159146</v>
      </c>
      <c r="T204" s="23">
        <f>CHOOSE(Timing!T71+1,Inputs!$B$61,Inputs!$C$61,Inputs!$D$61)*T203</f>
        <v>787744.9516602329</v>
      </c>
      <c r="U204" s="23">
        <f>CHOOSE(Timing!U71+1,Inputs!$B$61,Inputs!$C$61,Inputs!$D$61)*U203</f>
        <v>803499.8506934376</v>
      </c>
      <c r="V204" s="23">
        <f>CHOOSE(Timing!V71+1,Inputs!$B$61,Inputs!$C$61,Inputs!$D$61)*V203</f>
        <v>819569.8477073064</v>
      </c>
      <c r="W204" s="23">
        <f>CHOOSE(Timing!W71+1,Inputs!$B$61,Inputs!$C$61,Inputs!$D$61)*W203</f>
        <v>835961.2446614525</v>
      </c>
      <c r="X204" s="23">
        <f>CHOOSE(Timing!X71+1,Inputs!$B$61,Inputs!$C$61,Inputs!$D$61)*X203</f>
        <v>852680.4695546816</v>
      </c>
      <c r="Y204" s="23">
        <f>CHOOSE(Timing!Y71+1,Inputs!$B$61,Inputs!$C$61,Inputs!$D$61)*Y203</f>
        <v>869734.078945775</v>
      </c>
      <c r="Z204" s="23">
        <f>CHOOSE(Timing!Z71+1,Inputs!$B$61,Inputs!$C$61,Inputs!$D$61)*Z203</f>
        <v>975841.6365771597</v>
      </c>
      <c r="AA204" s="23">
        <f>CHOOSE(Timing!AA71+1,Inputs!$B$61,Inputs!$C$61,Inputs!$D$61)*AA203</f>
        <v>995358.469308703</v>
      </c>
      <c r="AB204" s="23">
        <f>CHOOSE(Timing!AB71+1,Inputs!$B$61,Inputs!$C$61,Inputs!$D$61)*AB203</f>
        <v>1015265.638694877</v>
      </c>
      <c r="AC204" s="23">
        <f>CHOOSE(Timing!AC71+1,Inputs!$B$61,Inputs!$C$61,Inputs!$D$61)*AC203</f>
        <v>1035570.9514687748</v>
      </c>
      <c r="AD204" s="23">
        <f>CHOOSE(Timing!AD71+1,Inputs!$B$61,Inputs!$C$61,Inputs!$D$61)*AD203</f>
        <v>1056282.3704981504</v>
      </c>
      <c r="AE204" s="23">
        <f>CHOOSE(Timing!AE71+1,Inputs!$B$61,Inputs!$C$61,Inputs!$D$61)*AE203</f>
        <v>534276.3047708727</v>
      </c>
    </row>
    <row r="205">
      <c r="A205" s="6" t="inlineStr">
        <is>
          <t xml:space="preserve">Management</t>
        </is>
      </c>
      <c r="B205" s="10" t="inlineStr">
        <is>
          <t xml:space="preserve">€</t>
        </is>
      </c>
      <c r="F205" s="23">
        <f>CHOOSE(Timing!F71+1,Inputs!$B$62,Inputs!$C$62,Inputs!$D$62)*F203</f>
        <v>75034.32331148852</v>
      </c>
      <c r="G205" s="23">
        <f>CHOOSE(Timing!G71+1,Inputs!$B$62,Inputs!$C$62,Inputs!$D$62)*G203</f>
        <v>152238.117275244</v>
      </c>
      <c r="H205" s="23">
        <f>CHOOSE(Timing!H71+1,Inputs!$B$62,Inputs!$C$62,Inputs!$D$62)*H203</f>
        <v>155282.8796207489</v>
      </c>
      <c r="I205" s="23">
        <f>CHOOSE(Timing!I71+1,Inputs!$B$62,Inputs!$C$62,Inputs!$D$62)*I203</f>
        <v>158388.53721316386</v>
      </c>
      <c r="J205" s="23">
        <f>CHOOSE(Timing!J71+1,Inputs!$B$62,Inputs!$C$62,Inputs!$D$62)*J203</f>
        <v>161556.30795742714</v>
      </c>
      <c r="K205" s="23">
        <f>CHOOSE(Timing!K71+1,Inputs!$B$62,Inputs!$C$62,Inputs!$D$62)*K203</f>
        <v>164787.43411657566</v>
      </c>
      <c r="L205" s="23">
        <f>CHOOSE(Timing!L71+1,Inputs!$B$62,Inputs!$C$62,Inputs!$D$62)*L203</f>
        <v>168083.1827989072</v>
      </c>
      <c r="M205" s="23">
        <f>CHOOSE(Timing!M71+1,Inputs!$B$62,Inputs!$C$62,Inputs!$D$62)*M203</f>
        <v>171444.84645488532</v>
      </c>
      <c r="N205" s="23">
        <f>CHOOSE(Timing!N71+1,Inputs!$B$62,Inputs!$C$62,Inputs!$D$62)*N203</f>
        <v>174873.743383983</v>
      </c>
      <c r="O205" s="23">
        <f>CHOOSE(Timing!O71+1,Inputs!$B$62,Inputs!$C$62,Inputs!$D$62)*O203</f>
        <v>178371.21825166268</v>
      </c>
      <c r="P205" s="23">
        <f>CHOOSE(Timing!P71+1,Inputs!$B$62,Inputs!$C$62,Inputs!$D$62)*P203</f>
        <v>227423.30327086995</v>
      </c>
      <c r="Q205" s="23">
        <f>CHOOSE(Timing!Q71+1,Inputs!$B$62,Inputs!$C$62,Inputs!$D$62)*Q203</f>
        <v>231971.76933628734</v>
      </c>
      <c r="R205" s="23">
        <f>CHOOSE(Timing!R71+1,Inputs!$B$62,Inputs!$C$62,Inputs!$D$62)*R203</f>
        <v>236611.20472301307</v>
      </c>
      <c r="S205" s="23">
        <f>CHOOSE(Timing!S71+1,Inputs!$B$62,Inputs!$C$62,Inputs!$D$62)*S203</f>
        <v>241343.42881747332</v>
      </c>
      <c r="T205" s="23">
        <f>CHOOSE(Timing!T71+1,Inputs!$B$62,Inputs!$C$62,Inputs!$D$62)*T203</f>
        <v>246170.29739382275</v>
      </c>
      <c r="U205" s="23">
        <f>CHOOSE(Timing!U71+1,Inputs!$B$62,Inputs!$C$62,Inputs!$D$62)*U203</f>
        <v>251093.70334169926</v>
      </c>
      <c r="V205" s="23">
        <f>CHOOSE(Timing!V71+1,Inputs!$B$62,Inputs!$C$62,Inputs!$D$62)*V203</f>
        <v>256115.57740853325</v>
      </c>
      <c r="W205" s="23">
        <f>CHOOSE(Timing!W71+1,Inputs!$B$62,Inputs!$C$62,Inputs!$D$62)*W203</f>
        <v>261237.8889567039</v>
      </c>
      <c r="X205" s="23">
        <f>CHOOSE(Timing!X71+1,Inputs!$B$62,Inputs!$C$62,Inputs!$D$62)*X203</f>
        <v>266462.646735838</v>
      </c>
      <c r="Y205" s="23">
        <f>CHOOSE(Timing!Y71+1,Inputs!$B$62,Inputs!$C$62,Inputs!$D$62)*Y203</f>
        <v>271791.8996705547</v>
      </c>
      <c r="Z205" s="23">
        <f>CHOOSE(Timing!Z71+1,Inputs!$B$62,Inputs!$C$62,Inputs!$D$62)*Z203</f>
        <v>277227.7376639658</v>
      </c>
      <c r="AA205" s="23">
        <f>CHOOSE(Timing!AA71+1,Inputs!$B$62,Inputs!$C$62,Inputs!$D$62)*AA203</f>
        <v>282772.29241724516</v>
      </c>
      <c r="AB205" s="23">
        <f>CHOOSE(Timing!AB71+1,Inputs!$B$62,Inputs!$C$62,Inputs!$D$62)*AB203</f>
        <v>288427.73826559004</v>
      </c>
      <c r="AC205" s="23">
        <f>CHOOSE(Timing!AC71+1,Inputs!$B$62,Inputs!$C$62,Inputs!$D$62)*AC203</f>
        <v>294196.2930309019</v>
      </c>
      <c r="AD205" s="23">
        <f>CHOOSE(Timing!AD71+1,Inputs!$B$62,Inputs!$C$62,Inputs!$D$62)*AD203</f>
        <v>300080.21889151994</v>
      </c>
      <c r="AE205" s="23">
        <f>CHOOSE(Timing!AE71+1,Inputs!$B$62,Inputs!$C$62,Inputs!$D$62)*AE203</f>
        <v>151783.0411280888</v>
      </c>
    </row>
    <row r="206">
      <c r="A206" s="6" t="inlineStr">
        <is>
          <t xml:space="preserve">Insurance</t>
        </is>
      </c>
      <c r="B206" s="10" t="inlineStr">
        <is>
          <t xml:space="preserve">€</t>
        </is>
      </c>
      <c r="F206" s="23">
        <f>CHOOSE(Timing!F71+1,Inputs!$B$63,Inputs!$C$63,Inputs!$D$63)*F203</f>
        <v>18758.58082787213</v>
      </c>
      <c r="G206" s="23">
        <f>CHOOSE(Timing!G71+1,Inputs!$B$63,Inputs!$C$63,Inputs!$D$63)*G203</f>
        <v>38059.529318811</v>
      </c>
      <c r="H206" s="23">
        <f>CHOOSE(Timing!H71+1,Inputs!$B$63,Inputs!$C$63,Inputs!$D$63)*H203</f>
        <v>38820.71990518722</v>
      </c>
      <c r="I206" s="23">
        <f>CHOOSE(Timing!I71+1,Inputs!$B$63,Inputs!$C$63,Inputs!$D$63)*I203</f>
        <v>39597.134303290964</v>
      </c>
      <c r="J206" s="23">
        <f>CHOOSE(Timing!J71+1,Inputs!$B$63,Inputs!$C$63,Inputs!$D$63)*J203</f>
        <v>40389.076989356785</v>
      </c>
      <c r="K206" s="23">
        <f>CHOOSE(Timing!K71+1,Inputs!$B$63,Inputs!$C$63,Inputs!$D$63)*K203</f>
        <v>41196.858529143916</v>
      </c>
      <c r="L206" s="23">
        <f>CHOOSE(Timing!L71+1,Inputs!$B$63,Inputs!$C$63,Inputs!$D$63)*L203</f>
        <v>42020.7956997268</v>
      </c>
      <c r="M206" s="23">
        <f>CHOOSE(Timing!M71+1,Inputs!$B$63,Inputs!$C$63,Inputs!$D$63)*M203</f>
        <v>42861.21161372133</v>
      </c>
      <c r="N206" s="23">
        <f>CHOOSE(Timing!N71+1,Inputs!$B$63,Inputs!$C$63,Inputs!$D$63)*N203</f>
        <v>43718.43584599575</v>
      </c>
      <c r="O206" s="23">
        <f>CHOOSE(Timing!O71+1,Inputs!$B$63,Inputs!$C$63,Inputs!$D$63)*O203</f>
        <v>44592.80456291567</v>
      </c>
      <c r="P206" s="23">
        <f>CHOOSE(Timing!P71+1,Inputs!$B$63,Inputs!$C$63,Inputs!$D$63)*P203</f>
        <v>45484.66065417399</v>
      </c>
      <c r="Q206" s="23">
        <f>CHOOSE(Timing!Q71+1,Inputs!$B$63,Inputs!$C$63,Inputs!$D$63)*Q203</f>
        <v>46394.353867257465</v>
      </c>
      <c r="R206" s="23">
        <f>CHOOSE(Timing!R71+1,Inputs!$B$63,Inputs!$C$63,Inputs!$D$63)*R203</f>
        <v>47322.240944602614</v>
      </c>
      <c r="S206" s="23">
        <f>CHOOSE(Timing!S71+1,Inputs!$B$63,Inputs!$C$63,Inputs!$D$63)*S203</f>
        <v>48268.685763494665</v>
      </c>
      <c r="T206" s="23">
        <f>CHOOSE(Timing!T71+1,Inputs!$B$63,Inputs!$C$63,Inputs!$D$63)*T203</f>
        <v>49234.05947876455</v>
      </c>
      <c r="U206" s="23">
        <f>CHOOSE(Timing!U71+1,Inputs!$B$63,Inputs!$C$63,Inputs!$D$63)*U203</f>
        <v>50218.74066833985</v>
      </c>
      <c r="V206" s="23">
        <f>CHOOSE(Timing!V71+1,Inputs!$B$63,Inputs!$C$63,Inputs!$D$63)*V203</f>
        <v>51223.11548170665</v>
      </c>
      <c r="W206" s="23">
        <f>CHOOSE(Timing!W71+1,Inputs!$B$63,Inputs!$C$63,Inputs!$D$63)*W203</f>
        <v>52247.57779134078</v>
      </c>
      <c r="X206" s="23">
        <f>CHOOSE(Timing!X71+1,Inputs!$B$63,Inputs!$C$63,Inputs!$D$63)*X203</f>
        <v>53292.5293471676</v>
      </c>
      <c r="Y206" s="23">
        <f>CHOOSE(Timing!Y71+1,Inputs!$B$63,Inputs!$C$63,Inputs!$D$63)*Y203</f>
        <v>54358.37993411094</v>
      </c>
      <c r="Z206" s="23">
        <f>CHOOSE(Timing!Z71+1,Inputs!$B$63,Inputs!$C$63,Inputs!$D$63)*Z203</f>
        <v>55445.54753279316</v>
      </c>
      <c r="AA206" s="23">
        <f>CHOOSE(Timing!AA71+1,Inputs!$B$63,Inputs!$C$63,Inputs!$D$63)*AA203</f>
        <v>56554.45848344903</v>
      </c>
      <c r="AB206" s="23">
        <f>CHOOSE(Timing!AB71+1,Inputs!$B$63,Inputs!$C$63,Inputs!$D$63)*AB203</f>
        <v>57685.54765311801</v>
      </c>
      <c r="AC206" s="23">
        <f>CHOOSE(Timing!AC71+1,Inputs!$B$63,Inputs!$C$63,Inputs!$D$63)*AC203</f>
        <v>58839.25860618038</v>
      </c>
      <c r="AD206" s="23">
        <f>CHOOSE(Timing!AD71+1,Inputs!$B$63,Inputs!$C$63,Inputs!$D$63)*AD203</f>
        <v>60016.04377830399</v>
      </c>
      <c r="AE206" s="23">
        <f>CHOOSE(Timing!AE71+1,Inputs!$B$63,Inputs!$C$63,Inputs!$D$63)*AE203</f>
        <v>30356.60822561776</v>
      </c>
    </row>
    <row r="207">
      <c r="A207" s="6" t="inlineStr">
        <is>
          <t xml:space="preserve">Other</t>
        </is>
      </c>
      <c r="B207" s="10" t="inlineStr">
        <is>
          <t xml:space="preserve">€</t>
        </is>
      </c>
      <c r="F207" s="23">
        <f>CHOOSE(Timing!F71+1,Inputs!$B$64,Inputs!$C$64,Inputs!$D$64)*F203</f>
        <v>112551.48496723278</v>
      </c>
      <c r="G207" s="23">
        <f>CHOOSE(Timing!G71+1,Inputs!$B$64,Inputs!$C$64,Inputs!$D$64)*G203</f>
        <v>228357.17591286602</v>
      </c>
      <c r="H207" s="23">
        <f>CHOOSE(Timing!H71+1,Inputs!$B$64,Inputs!$C$64,Inputs!$D$64)*H203</f>
        <v>232924.31943112332</v>
      </c>
      <c r="I207" s="23">
        <f>CHOOSE(Timing!I71+1,Inputs!$B$64,Inputs!$C$64,Inputs!$D$64)*I203</f>
        <v>237582.8058197458</v>
      </c>
      <c r="J207" s="23">
        <f>CHOOSE(Timing!J71+1,Inputs!$B$64,Inputs!$C$64,Inputs!$D$64)*J203</f>
        <v>242334.46193614072</v>
      </c>
      <c r="K207" s="23">
        <f>CHOOSE(Timing!K71+1,Inputs!$B$64,Inputs!$C$64,Inputs!$D$64)*K203</f>
        <v>247181.1511748635</v>
      </c>
      <c r="L207" s="23">
        <f>CHOOSE(Timing!L71+1,Inputs!$B$64,Inputs!$C$64,Inputs!$D$64)*L203</f>
        <v>252124.7741983608</v>
      </c>
      <c r="M207" s="23">
        <f>CHOOSE(Timing!M71+1,Inputs!$B$64,Inputs!$C$64,Inputs!$D$64)*M203</f>
        <v>257167.26968232798</v>
      </c>
      <c r="N207" s="23">
        <f>CHOOSE(Timing!N71+1,Inputs!$B$64,Inputs!$C$64,Inputs!$D$64)*N203</f>
        <v>262310.6150759745</v>
      </c>
      <c r="O207" s="23">
        <f>CHOOSE(Timing!O71+1,Inputs!$B$64,Inputs!$C$64,Inputs!$D$64)*O203</f>
        <v>267556.827377494</v>
      </c>
      <c r="P207" s="23">
        <f>CHOOSE(Timing!P71+1,Inputs!$B$64,Inputs!$C$64,Inputs!$D$64)*P203</f>
        <v>272907.96392504394</v>
      </c>
      <c r="Q207" s="23">
        <f>CHOOSE(Timing!Q71+1,Inputs!$B$64,Inputs!$C$64,Inputs!$D$64)*Q203</f>
        <v>278366.12320354476</v>
      </c>
      <c r="R207" s="23">
        <f>CHOOSE(Timing!R71+1,Inputs!$B$64,Inputs!$C$64,Inputs!$D$64)*R203</f>
        <v>283933.4456676157</v>
      </c>
      <c r="S207" s="23">
        <f>CHOOSE(Timing!S71+1,Inputs!$B$64,Inputs!$C$64,Inputs!$D$64)*S203</f>
        <v>289612.114580968</v>
      </c>
      <c r="T207" s="23">
        <f>CHOOSE(Timing!T71+1,Inputs!$B$64,Inputs!$C$64,Inputs!$D$64)*T203</f>
        <v>295404.35687258735</v>
      </c>
      <c r="U207" s="23">
        <f>CHOOSE(Timing!U71+1,Inputs!$B$64,Inputs!$C$64,Inputs!$D$64)*U203</f>
        <v>301312.4440100391</v>
      </c>
      <c r="V207" s="23">
        <f>CHOOSE(Timing!V71+1,Inputs!$B$64,Inputs!$C$64,Inputs!$D$64)*V203</f>
        <v>307338.6928902399</v>
      </c>
      <c r="W207" s="23">
        <f>CHOOSE(Timing!W71+1,Inputs!$B$64,Inputs!$C$64,Inputs!$D$64)*W203</f>
        <v>313485.4667480447</v>
      </c>
      <c r="X207" s="23">
        <f>CHOOSE(Timing!X71+1,Inputs!$B$64,Inputs!$C$64,Inputs!$D$64)*X203</f>
        <v>319755.1760830056</v>
      </c>
      <c r="Y207" s="23">
        <f>CHOOSE(Timing!Y71+1,Inputs!$B$64,Inputs!$C$64,Inputs!$D$64)*Y203</f>
        <v>326150.27960466564</v>
      </c>
      <c r="Z207" s="23">
        <f>CHOOSE(Timing!Z71+1,Inputs!$B$64,Inputs!$C$64,Inputs!$D$64)*Z203</f>
        <v>332673.285196759</v>
      </c>
      <c r="AA207" s="23">
        <f>CHOOSE(Timing!AA71+1,Inputs!$B$64,Inputs!$C$64,Inputs!$D$64)*AA203</f>
        <v>339326.75090069417</v>
      </c>
      <c r="AB207" s="23">
        <f>CHOOSE(Timing!AB71+1,Inputs!$B$64,Inputs!$C$64,Inputs!$D$64)*AB203</f>
        <v>346113.2859187081</v>
      </c>
      <c r="AC207" s="23">
        <f>CHOOSE(Timing!AC71+1,Inputs!$B$64,Inputs!$C$64,Inputs!$D$64)*AC203</f>
        <v>353035.5516370823</v>
      </c>
      <c r="AD207" s="23">
        <f>CHOOSE(Timing!AD71+1,Inputs!$B$64,Inputs!$C$64,Inputs!$D$64)*AD203</f>
        <v>360096.26266982395</v>
      </c>
      <c r="AE207" s="23">
        <f>CHOOSE(Timing!AE71+1,Inputs!$B$64,Inputs!$C$64,Inputs!$D$64)*AE203</f>
        <v>182139.64935370657</v>
      </c>
    </row>
    <row r="208">
      <c r="A208" s="6" t="inlineStr">
        <is>
          <t xml:space="preserve">Land lease on revenue</t>
        </is>
      </c>
      <c r="B208" s="10" t="inlineStr">
        <is>
          <t xml:space="preserve">€</t>
        </is>
      </c>
      <c r="F208" s="23">
        <f>Inputs!$C$65*F201</f>
        <v>212117.23238234795</v>
      </c>
      <c r="G208" s="23">
        <f>Inputs!$C$65*G201</f>
        <v>415858.1526313396</v>
      </c>
      <c r="H208" s="23">
        <f>Inputs!$C$65*H201</f>
        <v>414796.8092832833</v>
      </c>
      <c r="I208" s="23">
        <f>Inputs!$C$65*I201</f>
        <v>414313.5763697596</v>
      </c>
      <c r="J208" s="23">
        <f>Inputs!$C$65*J201</f>
        <v>413837.53056032537</v>
      </c>
      <c r="K208" s="23">
        <f>Inputs!$C$65*K201</f>
        <v>585789.4761159457</v>
      </c>
      <c r="L208" s="23">
        <f>Inputs!$C$65*L201</f>
        <v>444198.9820901082</v>
      </c>
      <c r="M208" s="23">
        <f>Inputs!$C$65*M201</f>
        <v>443682.5057821938</v>
      </c>
      <c r="N208" s="23">
        <f>Inputs!$C$65*N201</f>
        <v>443173.7421398417</v>
      </c>
      <c r="O208" s="23">
        <f>Inputs!$C$65*O201</f>
        <v>442672.7957053656</v>
      </c>
      <c r="P208" s="23">
        <f>Inputs!$C$65*P201</f>
        <v>442179.7729666127</v>
      </c>
      <c r="Q208" s="23">
        <f>Inputs!$C$65*Q201</f>
        <v>441694.78239177103</v>
      </c>
      <c r="R208" s="23">
        <f>Inputs!$C$65*R201</f>
        <v>441217.93446479994</v>
      </c>
      <c r="S208" s="23">
        <f>Inputs!$C$65*S201</f>
        <v>440749.34172149794</v>
      </c>
      <c r="T208" s="23">
        <f>Inputs!$C$65*T201</f>
        <v>440289.1187862186</v>
      </c>
      <c r="U208" s="23">
        <f>Inputs!$C$65*U201</f>
        <v>439837.38240924705</v>
      </c>
      <c r="V208" s="23">
        <f>Inputs!$C$65*V201</f>
        <v>445274.7376255557</v>
      </c>
      <c r="W208" s="23">
        <f>Inputs!$C$65*W201</f>
        <v>453271.87191331055</v>
      </c>
      <c r="X208" s="23">
        <f>Inputs!$C$65*X201</f>
        <v>461412.63473287376</v>
      </c>
      <c r="Y208" s="23">
        <f>Inputs!$C$65*Y201</f>
        <v>469699.6056526761</v>
      </c>
      <c r="Z208" s="23">
        <f>Inputs!$C$65*Z201</f>
        <v>478135.41057019815</v>
      </c>
      <c r="AA208" s="23">
        <f>Inputs!$C$65*AA201</f>
        <v>486722.7225440389</v>
      </c>
      <c r="AB208" s="23">
        <f>Inputs!$C$65*AB201</f>
        <v>495464.2626409298</v>
      </c>
      <c r="AC208" s="23">
        <f>Inputs!$C$65*AC201</f>
        <v>504362.800797961</v>
      </c>
      <c r="AD208" s="23">
        <f>Inputs!$C$65*AD201</f>
        <v>513421.1567002924</v>
      </c>
      <c r="AE208" s="23">
        <f>Inputs!$C$65*AE201</f>
        <v>259173.2556770082</v>
      </c>
    </row>
    <row r="209">
      <c r="A209" s="6" t="inlineStr">
        <is>
          <t xml:space="preserve">Land lease minimum</t>
        </is>
      </c>
      <c r="B209" s="10" t="inlineStr">
        <is>
          <t xml:space="preserve">€</t>
        </is>
      </c>
      <c r="F209" s="23">
        <f>Inputs!$C$66*Inputs!$C$6*Timing!F76*Timing!F66</f>
        <v>184140.53879781417</v>
      </c>
      <c r="G209" s="23">
        <f>Inputs!$C$66*Inputs!$C$6*Timing!G76*Timing!G66</f>
        <v>373605.14099999995</v>
      </c>
      <c r="H209" s="23">
        <f>Inputs!$C$66*Inputs!$C$6*Timing!H76*Timing!H66</f>
        <v>381077.24382000003</v>
      </c>
      <c r="I209" s="23">
        <f>Inputs!$C$66*Inputs!$C$6*Timing!I76*Timing!I66</f>
        <v>388698.78869639995</v>
      </c>
      <c r="J209" s="23">
        <f>Inputs!$C$66*Inputs!$C$6*Timing!J76*Timing!J66</f>
        <v>396472.764470328</v>
      </c>
      <c r="K209" s="23">
        <f>Inputs!$C$66*Inputs!$C$6*Timing!K76*Timing!K66</f>
        <v>404402.2197597346</v>
      </c>
      <c r="L209" s="23">
        <f>Inputs!$C$66*Inputs!$C$6*Timing!L76*Timing!L66</f>
        <v>412490.26415492926</v>
      </c>
      <c r="M209" s="23">
        <f>Inputs!$C$66*Inputs!$C$6*Timing!M76*Timing!M66</f>
        <v>420740.0694380278</v>
      </c>
      <c r="N209" s="23">
        <f>Inputs!$C$66*Inputs!$C$6*Timing!N76*Timing!N66</f>
        <v>429154.87082678836</v>
      </c>
      <c r="O209" s="23">
        <f>Inputs!$C$66*Inputs!$C$6*Timing!O76*Timing!O66</f>
        <v>437737.9682433241</v>
      </c>
      <c r="P209" s="23">
        <f>Inputs!$C$66*Inputs!$C$6*Timing!P76*Timing!P66</f>
        <v>446492.72760819056</v>
      </c>
      <c r="Q209" s="23">
        <f>Inputs!$C$66*Inputs!$C$6*Timing!Q76*Timing!Q66</f>
        <v>455422.58216035436</v>
      </c>
      <c r="R209" s="23">
        <f>Inputs!$C$66*Inputs!$C$6*Timing!R76*Timing!R66</f>
        <v>464531.0338035615</v>
      </c>
      <c r="S209" s="23">
        <f>Inputs!$C$66*Inputs!$C$6*Timing!S76*Timing!S66</f>
        <v>473821.6544796327</v>
      </c>
      <c r="T209" s="23">
        <f>Inputs!$C$66*Inputs!$C$6*Timing!T76*Timing!T66</f>
        <v>483298.08756922535</v>
      </c>
      <c r="U209" s="23">
        <f>Inputs!$C$66*Inputs!$C$6*Timing!U76*Timing!U66</f>
        <v>492964.04932060983</v>
      </c>
      <c r="V209" s="23">
        <f>Inputs!$C$66*Inputs!$C$6*Timing!V76*Timing!V66</f>
        <v>502823.3303070221</v>
      </c>
      <c r="W209" s="23">
        <f>Inputs!$C$66*Inputs!$C$6*Timing!W76*Timing!W66</f>
        <v>512879.7969131625</v>
      </c>
      <c r="X209" s="23">
        <f>Inputs!$C$66*Inputs!$C$6*Timing!X76*Timing!X66</f>
        <v>523137.39285142574</v>
      </c>
      <c r="Y209" s="23">
        <f>Inputs!$C$66*Inputs!$C$6*Timing!Y76*Timing!Y66</f>
        <v>533600.1407084543</v>
      </c>
      <c r="Z209" s="23">
        <f>Inputs!$C$66*Inputs!$C$6*Timing!Z76*Timing!Z66</f>
        <v>544272.1435226233</v>
      </c>
      <c r="AA209" s="23">
        <f>Inputs!$C$66*Inputs!$C$6*Timing!AA76*Timing!AA66</f>
        <v>555157.5863930759</v>
      </c>
      <c r="AB209" s="23">
        <f>Inputs!$C$66*Inputs!$C$6*Timing!AB76*Timing!AB66</f>
        <v>566260.7381209374</v>
      </c>
      <c r="AC209" s="23">
        <f>Inputs!$C$66*Inputs!$C$6*Timing!AC76*Timing!AC66</f>
        <v>577585.9528833561</v>
      </c>
      <c r="AD209" s="23">
        <f>Inputs!$C$66*Inputs!$C$6*Timing!AD76*Timing!AD66</f>
        <v>589137.6719410233</v>
      </c>
      <c r="AE209" s="23">
        <f>Inputs!$C$66*Inputs!$C$6*Timing!AE76*Timing!AE66</f>
        <v>297990.6766952102</v>
      </c>
    </row>
    <row r="210">
      <c r="A210" s="6" t="inlineStr">
        <is>
          <t xml:space="preserve">Land lease</t>
        </is>
      </c>
      <c r="B210" s="10" t="inlineStr">
        <is>
          <t xml:space="preserve">€</t>
        </is>
      </c>
      <c r="F210" s="23">
        <f>MAX(F208,F209)</f>
        <v>212117.23238234795</v>
      </c>
      <c r="G210" s="23">
        <f>MAX(G208,G209)</f>
        <v>415858.1526313396</v>
      </c>
      <c r="H210" s="23">
        <f>MAX(H208,H209)</f>
        <v>414796.8092832833</v>
      </c>
      <c r="I210" s="23">
        <f>MAX(I208,I209)</f>
        <v>414313.5763697596</v>
      </c>
      <c r="J210" s="23">
        <f>MAX(J208,J209)</f>
        <v>413837.53056032537</v>
      </c>
      <c r="K210" s="23">
        <f>MAX(K208,K209)</f>
        <v>585789.4761159457</v>
      </c>
      <c r="L210" s="23">
        <f>MAX(L208,L209)</f>
        <v>444198.9820901082</v>
      </c>
      <c r="M210" s="23">
        <f>MAX(M208,M209)</f>
        <v>443682.5057821938</v>
      </c>
      <c r="N210" s="23">
        <f>MAX(N208,N209)</f>
        <v>443173.7421398417</v>
      </c>
      <c r="O210" s="23">
        <f>MAX(O208,O209)</f>
        <v>442672.7957053656</v>
      </c>
      <c r="P210" s="23">
        <f>MAX(P208,P209)</f>
        <v>446492.72760819056</v>
      </c>
      <c r="Q210" s="23">
        <f>MAX(Q208,Q209)</f>
        <v>455422.58216035436</v>
      </c>
      <c r="R210" s="23">
        <f>MAX(R208,R209)</f>
        <v>464531.0338035615</v>
      </c>
      <c r="S210" s="23">
        <f>MAX(S208,S209)</f>
        <v>473821.6544796327</v>
      </c>
      <c r="T210" s="23">
        <f>MAX(T208,T209)</f>
        <v>483298.08756922535</v>
      </c>
      <c r="U210" s="23">
        <f>MAX(U208,U209)</f>
        <v>492964.04932060983</v>
      </c>
      <c r="V210" s="23">
        <f>MAX(V208,V209)</f>
        <v>502823.3303070221</v>
      </c>
      <c r="W210" s="23">
        <f>MAX(W208,W209)</f>
        <v>512879.7969131625</v>
      </c>
      <c r="X210" s="23">
        <f>MAX(X208,X209)</f>
        <v>523137.39285142574</v>
      </c>
      <c r="Y210" s="23">
        <f>MAX(Y208,Y209)</f>
        <v>533600.1407084543</v>
      </c>
      <c r="Z210" s="23">
        <f>MAX(Z208,Z209)</f>
        <v>544272.1435226233</v>
      </c>
      <c r="AA210" s="23">
        <f>MAX(AA208,AA209)</f>
        <v>555157.5863930759</v>
      </c>
      <c r="AB210" s="23">
        <f>MAX(AB208,AB209)</f>
        <v>566260.7381209374</v>
      </c>
      <c r="AC210" s="23">
        <f>MAX(AC208,AC209)</f>
        <v>577585.9528833561</v>
      </c>
      <c r="AD210" s="23">
        <f>MAX(AD208,AD209)</f>
        <v>589137.6719410233</v>
      </c>
      <c r="AE210" s="23">
        <f>MAX(AE208,AE209)</f>
        <v>297990.6766952102</v>
      </c>
    </row>
    <row r="211">
      <c r="A211" s="6" t="inlineStr">
        <is>
          <t xml:space="preserve">Direct marketing</t>
        </is>
      </c>
      <c r="B211" s="10" t="inlineStr">
        <is>
          <t xml:space="preserve">€</t>
        </is>
      </c>
      <c r="F211" s="23">
        <f>Inputs!$C$32*Timing!F76/100*F185</f>
        <v>66647.78935058297</v>
      </c>
      <c r="G211" s="23">
        <f>Inputs!$C$32*Timing!G76/100*G185</f>
        <v>134952.1239941246</v>
      </c>
      <c r="H211" s="23">
        <f>Inputs!$C$32*Timing!H76/100*H185</f>
        <v>137375.86414105908</v>
      </c>
      <c r="I211" s="23">
        <f>Inputs!$C$32*Timing!I76/100*I185</f>
        <v>139843.13466103247</v>
      </c>
      <c r="J211" s="23">
        <f>Inputs!$C$32*Timing!J76/100*J185</f>
        <v>142354.7173595446</v>
      </c>
      <c r="K211" s="23">
        <f>Inputs!$C$32*Timing!K76/100*K185</f>
        <v>144911.40808332205</v>
      </c>
      <c r="L211" s="23">
        <f>Inputs!$C$32*Timing!L76/100*L185</f>
        <v>147514.01697249853</v>
      </c>
      <c r="M211" s="23">
        <f>Inputs!$C$32*Timing!M76/100*M185</f>
        <v>150163.36871732457</v>
      </c>
      <c r="N211" s="23">
        <f>Inputs!$C$32*Timing!N76/100*N185</f>
        <v>152860.3028194877</v>
      </c>
      <c r="O211" s="23">
        <f>Inputs!$C$32*Timing!O76/100*O185</f>
        <v>155605.67385812575</v>
      </c>
      <c r="P211" s="23">
        <f>Inputs!$C$32*Timing!P76/100*P185</f>
        <v>158400.35176061766</v>
      </c>
      <c r="Q211" s="23">
        <f>Inputs!$C$32*Timing!Q76/100*Q185</f>
        <v>161245.22207823832</v>
      </c>
      <c r="R211" s="23">
        <f>Inputs!$C$32*Timing!R76/100*R185</f>
        <v>164141.1862667635</v>
      </c>
      <c r="S211" s="23">
        <f>Inputs!$C$32*Timing!S76/100*S185</f>
        <v>167089.16197211458</v>
      </c>
      <c r="T211" s="23">
        <f>Inputs!$C$32*Timing!T76/100*T185</f>
        <v>170090.08332113374</v>
      </c>
      <c r="U211" s="23">
        <f>Inputs!$C$32*Timing!U76/100*U185</f>
        <v>173144.90121758133</v>
      </c>
      <c r="V211" s="23">
        <f>Inputs!$C$32*Timing!V76/100*V185</f>
        <v>176254.58364344906</v>
      </c>
      <c r="W211" s="23">
        <f>Inputs!$C$32*Timing!W76/100*W185</f>
        <v>179420.11596568543</v>
      </c>
      <c r="X211" s="23">
        <f>Inputs!$C$32*Timing!X76/100*X185</f>
        <v>182642.50124842915</v>
      </c>
      <c r="Y211" s="23">
        <f>Inputs!$C$32*Timing!Y76/100*Y185</f>
        <v>185922.76057085092</v>
      </c>
      <c r="Z211" s="23">
        <f>Inputs!$C$32*Timing!Z76/100*Z185</f>
        <v>189261.93335070342</v>
      </c>
      <c r="AA211" s="23">
        <f>Inputs!$C$32*Timing!AA76/100*AA185</f>
        <v>192661.07767368204</v>
      </c>
      <c r="AB211" s="23">
        <f>Inputs!$C$32*Timing!AB76/100*AB185</f>
        <v>196121.27062870137</v>
      </c>
      <c r="AC211" s="23">
        <f>Inputs!$C$32*Timing!AC76/100*AC185</f>
        <v>199643.60864919287</v>
      </c>
      <c r="AD211" s="23">
        <f>Inputs!$C$32*Timing!AD76/100*AD185</f>
        <v>203229.20786053236</v>
      </c>
      <c r="AE211" s="23">
        <f>Inputs!$C$32*Timing!AE76/100*AE185</f>
        <v>102589.41370548238</v>
      </c>
    </row>
    <row r="212">
      <c r="A212" s="6" t="inlineStr">
        <is>
          <t xml:space="preserve">Municipal payment (§ 6)</t>
        </is>
      </c>
      <c r="B212" s="10" t="inlineStr">
        <is>
          <t xml:space="preserve">€</t>
        </is>
      </c>
      <c r="F212" s="23">
        <f>Inputs!$C$38/100*F184*(Timing!F69+IF(Inputs!$C$39,1-Timing!F69,0))</f>
        <v>67037.45461112837</v>
      </c>
      <c r="G212" s="23">
        <f>Inputs!$C$38/100*G184*(Timing!G69+IF(Inputs!$C$39,1-Timing!G69,0))</f>
        <v>133079.54875487846</v>
      </c>
      <c r="H212" s="23">
        <f>Inputs!$C$38/100*H184*(Timing!H69+IF(Inputs!$C$39,1-Timing!H69,0))</f>
        <v>132813.38965736868</v>
      </c>
      <c r="I212" s="23">
        <f>Inputs!$C$38/100*I184*(Timing!I69+IF(Inputs!$C$39,1-Timing!I69,0))</f>
        <v>132547.76287805397</v>
      </c>
      <c r="J212" s="23">
        <f>Inputs!$C$38/100*J184*(Timing!J69+IF(Inputs!$C$39,1-Timing!J69,0))</f>
        <v>132282.66735229787</v>
      </c>
      <c r="K212" s="23">
        <f>Inputs!$C$38/100*K184*(Timing!K69+IF(Inputs!$C$39,1-Timing!K69,0))</f>
        <v>132018.10201759328</v>
      </c>
      <c r="L212" s="23">
        <f>Inputs!$C$38/100*L184*(Timing!L69+IF(Inputs!$C$39,1-Timing!L69,0))</f>
        <v>131754.0658135581</v>
      </c>
      <c r="M212" s="23">
        <f>Inputs!$C$38/100*M184*(Timing!M69+IF(Inputs!$C$39,1-Timing!M69,0))</f>
        <v>131490.55768193095</v>
      </c>
      <c r="N212" s="23">
        <f>Inputs!$C$38/100*N184*(Timing!N69+IF(Inputs!$C$39,1-Timing!N69,0))</f>
        <v>131227.5765665671</v>
      </c>
      <c r="O212" s="23">
        <f>Inputs!$C$38/100*O184*(Timing!O69+IF(Inputs!$C$39,1-Timing!O69,0))</f>
        <v>130965.12141343398</v>
      </c>
      <c r="P212" s="23">
        <f>Inputs!$C$38/100*P184*(Timing!P69+IF(Inputs!$C$39,1-Timing!P69,0))</f>
        <v>130703.1911706071</v>
      </c>
      <c r="Q212" s="23">
        <f>Inputs!$C$38/100*Q184*(Timing!Q69+IF(Inputs!$C$39,1-Timing!Q69,0))</f>
        <v>130441.78478826588</v>
      </c>
      <c r="R212" s="23">
        <f>Inputs!$C$38/100*R184*(Timing!R69+IF(Inputs!$C$39,1-Timing!R69,0))</f>
        <v>130180.90121868935</v>
      </c>
      <c r="S212" s="23">
        <f>Inputs!$C$38/100*S184*(Timing!S69+IF(Inputs!$C$39,1-Timing!S69,0))</f>
        <v>129920.539416252</v>
      </c>
      <c r="T212" s="23">
        <f>Inputs!$C$38/100*T184*(Timing!T69+IF(Inputs!$C$39,1-Timing!T69,0))</f>
        <v>129660.69833741945</v>
      </c>
      <c r="U212" s="23">
        <f>Inputs!$C$38/100*U184*(Timing!U69+IF(Inputs!$C$39,1-Timing!U69,0))</f>
        <v>129401.37694074464</v>
      </c>
      <c r="V212" s="23">
        <f>Inputs!$C$38/100*V184*(Timing!V69+IF(Inputs!$C$39,1-Timing!V69,0))</f>
        <v>129142.57418686314</v>
      </c>
      <c r="W212" s="23">
        <f>Inputs!$C$38/100*W184*(Timing!W69+IF(Inputs!$C$39,1-Timing!W69,0))</f>
        <v>128884.2890384894</v>
      </c>
      <c r="X212" s="23">
        <f>Inputs!$C$38/100*X184*(Timing!X69+IF(Inputs!$C$39,1-Timing!X69,0))</f>
        <v>128626.52046041243</v>
      </c>
      <c r="Y212" s="23">
        <f>Inputs!$C$38/100*Y184*(Timing!Y69+IF(Inputs!$C$39,1-Timing!Y69,0))</f>
        <v>128369.2674194916</v>
      </c>
      <c r="Z212" s="23">
        <f>Inputs!$C$38/100*Z184*(Timing!Z69+IF(Inputs!$C$39,1-Timing!Z69,0))</f>
        <v>128112.52888465264</v>
      </c>
      <c r="AA212" s="23">
        <f>Inputs!$C$38/100*AA184*(Timing!AA69+IF(Inputs!$C$39,1-Timing!AA69,0))</f>
        <v>127856.30382688332</v>
      </c>
      <c r="AB212" s="23">
        <f>Inputs!$C$38/100*AB184*(Timing!AB69+IF(Inputs!$C$39,1-Timing!AB69,0))</f>
        <v>127600.59121922955</v>
      </c>
      <c r="AC212" s="23">
        <f>Inputs!$C$38/100*AC184*(Timing!AC69+IF(Inputs!$C$39,1-Timing!AC69,0))</f>
        <v>127345.3900367911</v>
      </c>
      <c r="AD212" s="23">
        <f>Inputs!$C$38/100*AD184*(Timing!AD69+IF(Inputs!$C$39,1-Timing!AD69,0))</f>
        <v>127090.69925671752</v>
      </c>
      <c r="AE212" s="23">
        <f>Inputs!$C$38/100*AE184*(Timing!AE69+IF(Inputs!$C$39,1-Timing!AE69,0))</f>
        <v>62897.012965301205</v>
      </c>
    </row>
    <row r="213">
      <c r="A213" s="6" t="inlineStr">
        <is>
          <t xml:space="preserve">Guarantee fee</t>
        </is>
      </c>
      <c r="B213" s="10" t="inlineStr">
        <is>
          <t xml:space="preserve">€</t>
        </is>
      </c>
      <c r="F213" s="23">
        <f>Timing!$C$33*Inputs!$C$68*Timing!F66</f>
        <v>4995.901639344263</v>
      </c>
      <c r="G213" s="23">
        <f>Timing!$C$33*Inputs!$C$68*Timing!G66</f>
        <v>9937.5</v>
      </c>
      <c r="H213" s="23">
        <f>Timing!$C$33*Inputs!$C$68*Timing!H66</f>
        <v>9937.5</v>
      </c>
      <c r="I213" s="23">
        <f>Timing!$C$33*Inputs!$C$68*Timing!I66</f>
        <v>9937.5</v>
      </c>
      <c r="J213" s="23">
        <f>Timing!$C$33*Inputs!$C$68*Timing!J66</f>
        <v>9937.5</v>
      </c>
      <c r="K213" s="23">
        <f>Timing!$C$33*Inputs!$C$68*Timing!K66</f>
        <v>9937.5</v>
      </c>
      <c r="L213" s="23">
        <f>Timing!$C$33*Inputs!$C$68*Timing!L66</f>
        <v>9937.5</v>
      </c>
      <c r="M213" s="23">
        <f>Timing!$C$33*Inputs!$C$68*Timing!M66</f>
        <v>9937.5</v>
      </c>
      <c r="N213" s="23">
        <f>Timing!$C$33*Inputs!$C$68*Timing!N66</f>
        <v>9937.5</v>
      </c>
      <c r="O213" s="23">
        <f>Timing!$C$33*Inputs!$C$68*Timing!O66</f>
        <v>9937.5</v>
      </c>
      <c r="P213" s="23">
        <f>Timing!$C$33*Inputs!$C$68*Timing!P66</f>
        <v>9937.5</v>
      </c>
      <c r="Q213" s="23">
        <f>Timing!$C$33*Inputs!$C$68*Timing!Q66</f>
        <v>9937.5</v>
      </c>
      <c r="R213" s="23">
        <f>Timing!$C$33*Inputs!$C$68*Timing!R66</f>
        <v>9937.5</v>
      </c>
      <c r="S213" s="23">
        <f>Timing!$C$33*Inputs!$C$68*Timing!S66</f>
        <v>9937.5</v>
      </c>
      <c r="T213" s="23">
        <f>Timing!$C$33*Inputs!$C$68*Timing!T66</f>
        <v>9937.5</v>
      </c>
      <c r="U213" s="23">
        <f>Timing!$C$33*Inputs!$C$68*Timing!U66</f>
        <v>9937.5</v>
      </c>
      <c r="V213" s="23">
        <f>Timing!$C$33*Inputs!$C$68*Timing!V66</f>
        <v>9937.5</v>
      </c>
      <c r="W213" s="23">
        <f>Timing!$C$33*Inputs!$C$68*Timing!W66</f>
        <v>9937.5</v>
      </c>
      <c r="X213" s="23">
        <f>Timing!$C$33*Inputs!$C$68*Timing!X66</f>
        <v>9937.5</v>
      </c>
      <c r="Y213" s="23">
        <f>Timing!$C$33*Inputs!$C$68*Timing!Y66</f>
        <v>9937.5</v>
      </c>
      <c r="Z213" s="23">
        <f>Timing!$C$33*Inputs!$C$68*Timing!Z66</f>
        <v>9937.5</v>
      </c>
      <c r="AA213" s="23">
        <f>Timing!$C$33*Inputs!$C$68*Timing!AA66</f>
        <v>9937.5</v>
      </c>
      <c r="AB213" s="23">
        <f>Timing!$C$33*Inputs!$C$68*Timing!AB66</f>
        <v>9937.5</v>
      </c>
      <c r="AC213" s="23">
        <f>Timing!$C$33*Inputs!$C$68*Timing!AC66</f>
        <v>9937.5</v>
      </c>
      <c r="AD213" s="23">
        <f>Timing!$C$33*Inputs!$C$68*Timing!AD66</f>
        <v>9937.5</v>
      </c>
      <c r="AE213" s="23">
        <f>Timing!$C$33*Inputs!$C$68*Timing!AE66</f>
        <v>4927.91095890411</v>
      </c>
    </row>
    <row r="214">
      <c r="A214" s="6" t="inlineStr">
        <is>
          <t xml:space="preserve">Generator grid fee</t>
        </is>
      </c>
      <c r="B214" s="10" t="inlineStr">
        <is>
          <t xml:space="preserve">€</t>
        </is>
      </c>
      <c r="F214" s="23">
        <f>Inputs!$C$71*Timing!$C$28*Timing!F76*Timing!F66*Inputs!$C$110</f>
        <v>0</v>
      </c>
      <c r="G214" s="23">
        <f>Inputs!$C$71*Timing!$C$28*Timing!G76*Timing!G66*Inputs!$C$110</f>
        <v>0</v>
      </c>
      <c r="H214" s="23">
        <f>Inputs!$C$71*Timing!$C$28*Timing!H76*Timing!H66*Inputs!$C$110</f>
        <v>0</v>
      </c>
      <c r="I214" s="23">
        <f>Inputs!$C$71*Timing!$C$28*Timing!I76*Timing!I66*Inputs!$C$110</f>
        <v>0</v>
      </c>
      <c r="J214" s="23">
        <f>Inputs!$C$71*Timing!$C$28*Timing!J76*Timing!J66*Inputs!$C$110</f>
        <v>0</v>
      </c>
      <c r="K214" s="23">
        <f>Inputs!$C$71*Timing!$C$28*Timing!K76*Timing!K66*Inputs!$C$110</f>
        <v>0</v>
      </c>
      <c r="L214" s="23">
        <f>Inputs!$C$71*Timing!$C$28*Timing!L76*Timing!L66*Inputs!$C$110</f>
        <v>0</v>
      </c>
      <c r="M214" s="23">
        <f>Inputs!$C$71*Timing!$C$28*Timing!M76*Timing!M66*Inputs!$C$110</f>
        <v>0</v>
      </c>
      <c r="N214" s="23">
        <f>Inputs!$C$71*Timing!$C$28*Timing!N76*Timing!N66*Inputs!$C$110</f>
        <v>0</v>
      </c>
      <c r="O214" s="23">
        <f>Inputs!$C$71*Timing!$C$28*Timing!O76*Timing!O66*Inputs!$C$110</f>
        <v>0</v>
      </c>
      <c r="P214" s="23">
        <f>Inputs!$C$71*Timing!$C$28*Timing!P76*Timing!P66*Inputs!$C$110</f>
        <v>0</v>
      </c>
      <c r="Q214" s="23">
        <f>Inputs!$C$71*Timing!$C$28*Timing!Q76*Timing!Q66*Inputs!$C$110</f>
        <v>0</v>
      </c>
      <c r="R214" s="23">
        <f>Inputs!$C$71*Timing!$C$28*Timing!R76*Timing!R66*Inputs!$C$110</f>
        <v>0</v>
      </c>
      <c r="S214" s="23">
        <f>Inputs!$C$71*Timing!$C$28*Timing!S76*Timing!S66*Inputs!$C$110</f>
        <v>0</v>
      </c>
      <c r="T214" s="23">
        <f>Inputs!$C$71*Timing!$C$28*Timing!T76*Timing!T66*Inputs!$C$110</f>
        <v>0</v>
      </c>
      <c r="U214" s="23">
        <f>Inputs!$C$71*Timing!$C$28*Timing!U76*Timing!U66*Inputs!$C$110</f>
        <v>0</v>
      </c>
      <c r="V214" s="23">
        <f>Inputs!$C$71*Timing!$C$28*Timing!V76*Timing!V66*Inputs!$C$110</f>
        <v>0</v>
      </c>
      <c r="W214" s="23">
        <f>Inputs!$C$71*Timing!$C$28*Timing!W76*Timing!W66*Inputs!$C$110</f>
        <v>0</v>
      </c>
      <c r="X214" s="23">
        <f>Inputs!$C$71*Timing!$C$28*Timing!X76*Timing!X66*Inputs!$C$110</f>
        <v>0</v>
      </c>
      <c r="Y214" s="23">
        <f>Inputs!$C$71*Timing!$C$28*Timing!Y76*Timing!Y66*Inputs!$C$110</f>
        <v>0</v>
      </c>
      <c r="Z214" s="23">
        <f>Inputs!$C$71*Timing!$C$28*Timing!Z76*Timing!Z66*Inputs!$C$110</f>
        <v>0</v>
      </c>
      <c r="AA214" s="23">
        <f>Inputs!$C$71*Timing!$C$28*Timing!AA76*Timing!AA66*Inputs!$C$110</f>
        <v>0</v>
      </c>
      <c r="AB214" s="23">
        <f>Inputs!$C$71*Timing!$C$28*Timing!AB76*Timing!AB66*Inputs!$C$110</f>
        <v>0</v>
      </c>
      <c r="AC214" s="23">
        <f>Inputs!$C$71*Timing!$C$28*Timing!AC76*Timing!AC66*Inputs!$C$110</f>
        <v>0</v>
      </c>
      <c r="AD214" s="23">
        <f>Inputs!$C$71*Timing!$C$28*Timing!AD76*Timing!AD66*Inputs!$C$110</f>
        <v>0</v>
      </c>
      <c r="AE214" s="23">
        <f>Inputs!$C$71*Timing!$C$28*Timing!AE76*Timing!AE66*Inputs!$C$110</f>
        <v>0</v>
      </c>
    </row>
    <row r="215">
      <c r="A215" s="41" t="inlineStr">
        <is>
          <t xml:space="preserve">Operating costs</t>
        </is>
      </c>
      <c r="B215" s="10" t="inlineStr">
        <is>
          <t xml:space="preserve">€</t>
        </is>
      </c>
      <c r="F215" s="42">
        <f>F204+F205+F206+F207+F210+F211+F212+F213+F214</f>
        <v>819762.898680207</v>
      </c>
      <c r="G215" s="42">
        <f>G204+G205+G206+G207+G210+G211+G212+G213+G214</f>
        <v>1645315.5583506175</v>
      </c>
      <c r="H215" s="42">
        <f>H204+H205+H206+H207+H210+H211+H212+H213+H214</f>
        <v>1665441.5607113917</v>
      </c>
      <c r="I215" s="42">
        <f>I204+I205+I206+I207+I210+I211+I212+I213+I214</f>
        <v>1686570.3314911204</v>
      </c>
      <c r="J215" s="42">
        <f>J204+J205+J206+J207+J210+J211+J212+J213+J214</f>
        <v>1708139.3400060874</v>
      </c>
      <c r="K215" s="42">
        <f>K204+K205+K206+K207+K210+K211+K212+K213+K214</f>
        <v>1902577.949445459</v>
      </c>
      <c r="L215" s="42">
        <f>L204+L205+L206+L207+L210+L211+L212+L213+L214</f>
        <v>1783924.457369335</v>
      </c>
      <c r="M215" s="42">
        <f>M204+M205+M206+M207+M210+M211+M212+M213+M214</f>
        <v>1806804.2225244825</v>
      </c>
      <c r="N215" s="42">
        <f>N204+N205+N206+N207+N210+N211+N212+N213+N214</f>
        <v>1830160.0176757902</v>
      </c>
      <c r="O215" s="42">
        <f>O204+O205+O206+O207+O210+O211+O212+O213+O214</f>
        <v>1854001.205049817</v>
      </c>
      <c r="P215" s="42">
        <f>P204+P205+P206+P207+P210+P211+P212+P213+P214</f>
        <v>2019104.2688562868</v>
      </c>
      <c r="Q215" s="42">
        <f>Q204+Q205+Q206+Q207+Q210+Q211+Q212+Q213+Q214</f>
        <v>2056088.9973100675</v>
      </c>
      <c r="R215" s="42">
        <f>R204+R205+R206+R207+R210+R211+R212+R213+R214</f>
        <v>2093813.3677378877</v>
      </c>
      <c r="S215" s="42">
        <f>S204+S205+S206+S207+S210+S211+S212+S213+S214</f>
        <v>2132292.0572458496</v>
      </c>
      <c r="T215" s="42">
        <f>T204+T205+T206+T207+T210+T211+T212+T213+T214</f>
        <v>2171540.034633186</v>
      </c>
      <c r="U215" s="42">
        <f>U204+U205+U206+U207+U210+U211+U212+U213+U214</f>
        <v>2211572.5661924514</v>
      </c>
      <c r="V215" s="42">
        <f>V204+V205+V206+V207+V210+V211+V212+V213+V214</f>
        <v>2252405.2216251204</v>
      </c>
      <c r="W215" s="42">
        <f>W204+W205+W206+W207+W210+W211+W212+W213+W214</f>
        <v>2294053.8800748796</v>
      </c>
      <c r="X215" s="42">
        <f>X204+X205+X206+X207+X210+X211+X212+X213+X214</f>
        <v>2336534.73628096</v>
      </c>
      <c r="Y215" s="42">
        <f>Y204+Y205+Y206+Y207+Y210+Y211+Y212+Y213+Y214</f>
        <v>2379864.306853903</v>
      </c>
      <c r="Z215" s="42">
        <f>Z204+Z205+Z206+Z207+Z210+Z211+Z212+Z213+Z214</f>
        <v>2512772.312728657</v>
      </c>
      <c r="AA215" s="42">
        <f>AA204+AA205+AA206+AA207+AA210+AA211+AA212+AA213+AA214</f>
        <v>2559624.4390037325</v>
      </c>
      <c r="AB215" s="42">
        <f>AB204+AB205+AB206+AB207+AB210+AB211+AB212+AB213+AB214</f>
        <v>2607412.3105011615</v>
      </c>
      <c r="AC215" s="42">
        <f>AC204+AC205+AC206+AC207+AC210+AC211+AC212+AC213+AC214</f>
        <v>2656154.5063122795</v>
      </c>
      <c r="AD215" s="42">
        <f>AD204+AD205+AD206+AD207+AD210+AD211+AD212+AD213+AD214</f>
        <v>2705869.9748960715</v>
      </c>
      <c r="AE215" s="42">
        <f>AE204+AE205+AE206+AE207+AE210+AE211+AE212+AE213+AE214</f>
        <v>1366960.6178031838</v>
      </c>
    </row>
    <row r="216">
      <c r="A216" s="6" t="inlineStr">
        <is>
          <t xml:space="preserve">§ 6 refund (up to 0.2 ct/kWh, years with a premium)</t>
        </is>
      </c>
      <c r="B216" s="10" t="inlineStr">
        <is>
          <t xml:space="preserve">€</t>
        </is>
      </c>
      <c r="F216" s="23">
        <f>Timing!$C$32*F186*F191</f>
        <v>0</v>
      </c>
      <c r="G216" s="23">
        <f>Timing!$C$32*G186*G191</f>
        <v>126425.57131713453</v>
      </c>
      <c r="H216" s="23">
        <f>Timing!$C$32*H186*H191</f>
        <v>126172.72017450025</v>
      </c>
      <c r="I216" s="23">
        <f>Timing!$C$32*I186*I191</f>
        <v>125920.37473415128</v>
      </c>
      <c r="J216" s="23">
        <f>Timing!$C$32*J186*J191</f>
        <v>125668.53398468296</v>
      </c>
      <c r="K216" s="23">
        <f>Timing!$C$32*K186*K191</f>
        <v>125417.1969167136</v>
      </c>
      <c r="L216" s="23">
        <f>Timing!$C$32*L186*L191</f>
        <v>125166.36252288017</v>
      </c>
      <c r="M216" s="23">
        <f>Timing!$C$32*M186*M191</f>
        <v>124916.0297978344</v>
      </c>
      <c r="N216" s="23">
        <f>Timing!$C$32*N186*N191</f>
        <v>124666.19773823873</v>
      </c>
      <c r="O216" s="23">
        <f>Timing!$C$32*O186*O191</f>
        <v>124416.86534276228</v>
      </c>
      <c r="P216" s="23">
        <f>Timing!$C$32*P186*P191</f>
        <v>124168.03161207674</v>
      </c>
      <c r="Q216" s="23">
        <f>Timing!$C$32*Q186*Q191</f>
        <v>123919.69554885259</v>
      </c>
      <c r="R216" s="23">
        <f>Timing!$C$32*R186*R191</f>
        <v>123671.85615775488</v>
      </c>
      <c r="S216" s="23">
        <f>Timing!$C$32*S186*S191</f>
        <v>123424.51244543938</v>
      </c>
      <c r="T216" s="23">
        <f>Timing!$C$32*T186*T191</f>
        <v>123177.66342054847</v>
      </c>
      <c r="U216" s="23">
        <f>Timing!$C$32*U186*U191</f>
        <v>122931.3080937074</v>
      </c>
      <c r="V216" s="23">
        <f>Timing!$C$32*V186*V191</f>
        <v>0</v>
      </c>
      <c r="W216" s="23">
        <f>Timing!$C$32*W186*W191</f>
        <v>0</v>
      </c>
      <c r="X216" s="23">
        <f>Timing!$C$32*X186*X191</f>
        <v>0</v>
      </c>
      <c r="Y216" s="23">
        <f>Timing!$C$32*Y186*Y191</f>
        <v>0</v>
      </c>
      <c r="Z216" s="23">
        <f>Timing!$C$32*Z186*Z191</f>
        <v>0</v>
      </c>
      <c r="AA216" s="23">
        <f>Timing!$C$32*AA186*AA191</f>
        <v>0</v>
      </c>
      <c r="AB216" s="23">
        <f>Timing!$C$32*AB186*AB191</f>
        <v>0</v>
      </c>
      <c r="AC216" s="23">
        <f>Timing!$C$32*AC186*AC191</f>
        <v>0</v>
      </c>
      <c r="AD216" s="23">
        <f>Timing!$C$32*AD186*AD191</f>
        <v>0</v>
      </c>
      <c r="AE216" s="23">
        <f>Timing!$C$32*AE186*AE191</f>
        <v>0</v>
      </c>
    </row>
    <row r="217">
      <c r="A217" s="41" t="inlineStr">
        <is>
          <t xml:space="preserve">EBITDA</t>
        </is>
      </c>
      <c r="B217" s="10" t="inlineStr">
        <is>
          <t xml:space="preserve">€</t>
        </is>
      </c>
      <c r="F217" s="42">
        <f>F201+F216-F215</f>
        <v>1301409.4251432726</v>
      </c>
      <c r="G217" s="42">
        <f>G201+G216-G215</f>
        <v>2639691.539279913</v>
      </c>
      <c r="H217" s="42">
        <f>H201+H216-H215</f>
        <v>2608699.2522959406</v>
      </c>
      <c r="I217" s="42">
        <f>I201+I216-I215</f>
        <v>2582485.8069406273</v>
      </c>
      <c r="J217" s="42">
        <f>J201+J216-J215</f>
        <v>2555904.4995818487</v>
      </c>
      <c r="K217" s="42">
        <f>K201+K216-K215</f>
        <v>4080734.0086307116</v>
      </c>
      <c r="L217" s="42">
        <f>L201+L216-L215</f>
        <v>2783231.7260546274</v>
      </c>
      <c r="M217" s="42">
        <f>M201+M216-M215</f>
        <v>2754936.8650952894</v>
      </c>
      <c r="N217" s="42">
        <f>N201+N216-N215</f>
        <v>2726243.6014608657</v>
      </c>
      <c r="O217" s="42">
        <f>O201+O216-O215</f>
        <v>2697143.617346601</v>
      </c>
      <c r="P217" s="42">
        <f>P201+P216-P215</f>
        <v>2526861.4924219167</v>
      </c>
      <c r="Q217" s="42">
        <f>Q201+Q216-Q215</f>
        <v>2484778.5221564956</v>
      </c>
      <c r="R217" s="42">
        <f>R201+R216-R215</f>
        <v>2442037.833067866</v>
      </c>
      <c r="S217" s="42">
        <f>S201+S216-S215</f>
        <v>2398625.8724145694</v>
      </c>
      <c r="T217" s="42">
        <f>T201+T216-T215</f>
        <v>2354528.8166495482</v>
      </c>
      <c r="U217" s="42">
        <f>U201+U216-U215</f>
        <v>2309732.565993726</v>
      </c>
      <c r="V217" s="42">
        <f>V201+V216-V215</f>
        <v>2200342.1546304366</v>
      </c>
      <c r="W217" s="42">
        <f>W201+W216-W215</f>
        <v>2238664.8390582255</v>
      </c>
      <c r="X217" s="42">
        <f>X201+X216-X215</f>
        <v>2277591.6110477773</v>
      </c>
      <c r="Y217" s="42">
        <f>Y201+Y216-Y215</f>
        <v>2317131.7496728576</v>
      </c>
      <c r="Z217" s="42">
        <f>Z201+Z216-Z215</f>
        <v>2268581.792973324</v>
      </c>
      <c r="AA217" s="42">
        <f>AA201+AA216-AA215</f>
        <v>2307602.786436656</v>
      </c>
      <c r="AB217" s="42">
        <f>AB201+AB216-AB215</f>
        <v>2347230.3159081363</v>
      </c>
      <c r="AC217" s="42">
        <f>AC201+AC216-AC215</f>
        <v>2387473.5016673305</v>
      </c>
      <c r="AD217" s="42">
        <f>AD201+AD216-AD215</f>
        <v>2428341.5921068527</v>
      </c>
      <c r="AE217" s="42">
        <f>AE201+AE216-AE215</f>
        <v>1224771.9389668978</v>
      </c>
    </row>
    <row r="218">
      <c r="A218" s="6" t="inlineStr">
        <is>
          <t xml:space="preserve">Market and PPA sales billed</t>
        </is>
      </c>
      <c r="B218" s="10" t="inlineStr">
        <is>
          <t xml:space="preserve">€</t>
        </is>
      </c>
      <c r="F218" s="23">
        <f>F193+F200</f>
        <v>2121172.3238234795</v>
      </c>
      <c r="G218" s="23">
        <f>G193+G200</f>
        <v>3523520.596473166</v>
      </c>
      <c r="H218" s="23">
        <f>H193+H200</f>
        <v>3470548.1467214916</v>
      </c>
      <c r="I218" s="23">
        <f>I193+I200</f>
        <v>3532879.19143661</v>
      </c>
      <c r="J218" s="23">
        <f>J193+J200</f>
        <v>3596329.7017148114</v>
      </c>
      <c r="K218" s="23">
        <f>K193+K200</f>
        <v>3660919.7831576103</v>
      </c>
      <c r="L218" s="23">
        <f>L193+L200</f>
        <v>3726669.9024631204</v>
      </c>
      <c r="M218" s="23">
        <f>M193+M200</f>
        <v>3793600.893911357</v>
      </c>
      <c r="N218" s="23">
        <f>N193+N200</f>
        <v>3861733.9659660053</v>
      </c>
      <c r="O218" s="23">
        <f>O193+O200</f>
        <v>3931090.7079947563</v>
      </c>
      <c r="P218" s="23">
        <f>P193+P200</f>
        <v>4001693.097110341</v>
      </c>
      <c r="Q218" s="23">
        <f>Q193+Q200</f>
        <v>4073563.5051344433</v>
      </c>
      <c r="R218" s="23">
        <f>R193+R200</f>
        <v>4146724.705686657</v>
      </c>
      <c r="S218" s="23">
        <f>S193+S200</f>
        <v>4221199.88140079</v>
      </c>
      <c r="T218" s="23">
        <f>T193+T200</f>
        <v>4297012.631270748</v>
      </c>
      <c r="U218" s="23">
        <f>U193+U200</f>
        <v>4374186.978128371</v>
      </c>
      <c r="V218" s="23">
        <f>V193+V200</f>
        <v>4452747.376255557</v>
      </c>
      <c r="W218" s="23">
        <f>W193+W200</f>
        <v>4532718.719133105</v>
      </c>
      <c r="X218" s="23">
        <f>X193+X200</f>
        <v>4614126.347328737</v>
      </c>
      <c r="Y218" s="23">
        <f>Y193+Y200</f>
        <v>4696996.056526761</v>
      </c>
      <c r="Z218" s="23">
        <f>Z193+Z200</f>
        <v>4781354.105701981</v>
      </c>
      <c r="AA218" s="23">
        <f>AA193+AA200</f>
        <v>4867227.225440389</v>
      </c>
      <c r="AB218" s="23">
        <f>AB193+AB200</f>
        <v>4954642.626409298</v>
      </c>
      <c r="AC218" s="23">
        <f>AC193+AC200</f>
        <v>5043628.00797961</v>
      </c>
      <c r="AD218" s="23">
        <f>AD193+AD200</f>
        <v>5134211.567002924</v>
      </c>
      <c r="AE218" s="23">
        <f>AE193+AE200</f>
        <v>2591732.5567700816</v>
      </c>
    </row>
    <row r="219">
      <c r="A219" s="6" t="inlineStr">
        <is>
          <t xml:space="preserve">Premium and § 6 refund still due after the advances</t>
        </is>
      </c>
      <c r="B219" s="10" t="inlineStr">
        <is>
          <t xml:space="preserve">€</t>
        </is>
      </c>
      <c r="F219" s="23">
        <f>F198-F202+F216</f>
        <v>0</v>
      </c>
      <c r="G219" s="23">
        <f>G198-G202+G216</f>
        <v>761486.5011573649</v>
      </c>
      <c r="H219" s="23">
        <f>H198-H202+H216</f>
        <v>169801.85830529127</v>
      </c>
      <c r="I219" s="23">
        <f>I198-I202+I216</f>
        <v>60111.84077601855</v>
      </c>
      <c r="J219" s="23">
        <f>J198-J202+J216</f>
        <v>58678.078756661824</v>
      </c>
      <c r="K219" s="23">
        <f>K198-K202+K216</f>
        <v>1623370.6332469687</v>
      </c>
      <c r="L219" s="23">
        <f>L198-L202+L216</f>
        <v>55748.001594646106</v>
      </c>
      <c r="M219" s="23">
        <f>M198-M202+M216</f>
        <v>54250.915107329434</v>
      </c>
      <c r="N219" s="23">
        <f>N198-N202+N216</f>
        <v>52731.93758789089</v>
      </c>
      <c r="O219" s="23">
        <f>O198-O202+O216</f>
        <v>51190.66588011496</v>
      </c>
      <c r="P219" s="23">
        <f>P198-P202+P216</f>
        <v>49626.689607080654</v>
      </c>
      <c r="Q219" s="23">
        <f>Q198-Q202+Q216</f>
        <v>48039.59104144582</v>
      </c>
      <c r="R219" s="23">
        <f>R198-R202+R216</f>
        <v>46428.94497339589</v>
      </c>
      <c r="S219" s="23">
        <f>S198-S202+S216</f>
        <v>44794.31857620939</v>
      </c>
      <c r="T219" s="23">
        <f>T198-T202+T216</f>
        <v>43135.27126942568</v>
      </c>
      <c r="U219" s="23">
        <f>U198-U202+U216</f>
        <v>41451.35457955205</v>
      </c>
      <c r="V219" s="23">
        <f>V198-V202+V216</f>
        <v>-24138.472272171544</v>
      </c>
      <c r="W219" s="23">
        <f>W198-W202+W216</f>
        <v>0</v>
      </c>
      <c r="X219" s="23">
        <f>X198-X202+X216</f>
        <v>0</v>
      </c>
      <c r="Y219" s="23">
        <f>Y198-Y202+Y216</f>
        <v>0</v>
      </c>
      <c r="Z219" s="23">
        <f>Z198-Z202+Z216</f>
        <v>0</v>
      </c>
      <c r="AA219" s="23">
        <f>AA198-AA202+AA216</f>
        <v>0</v>
      </c>
      <c r="AB219" s="23">
        <f>AB198-AB202+AB216</f>
        <v>0</v>
      </c>
      <c r="AC219" s="23">
        <f>AC198-AC202+AC216</f>
        <v>0</v>
      </c>
      <c r="AD219" s="23">
        <f>AD198-AD202+AD216</f>
        <v>0</v>
      </c>
      <c r="AE219" s="23">
        <f>AE198-AE202+AE216</f>
        <v>0</v>
      </c>
    </row>
    <row r="220">
      <c r="A220" s="6" t="inlineStr">
        <is>
          <t xml:space="preserve">Receivables: market sales</t>
        </is>
      </c>
      <c r="B220" s="10" t="inlineStr">
        <is>
          <t xml:space="preserve">€</t>
        </is>
      </c>
      <c r="F220" s="23">
        <f>IF(Timing!F72=1,0,IF(Timing!F64&gt;0,MIN(F218,F218/Timing!F64*Inputs!$C$36),0))</f>
        <v>345843.31366687163</v>
      </c>
      <c r="G220" s="23">
        <f>IF(Timing!G72=1,0,IF(Timing!G64&gt;0,MIN(G218,G218/Timing!G64*Inputs!$C$36),0))</f>
        <v>289604.4325868356</v>
      </c>
      <c r="H220" s="23">
        <f>IF(Timing!H72=1,0,IF(Timing!H64&gt;0,MIN(H218,H218/Timing!H64*Inputs!$C$36),0))</f>
        <v>285250.5326072459</v>
      </c>
      <c r="I220" s="23">
        <f>IF(Timing!I72=1,0,IF(Timing!I64&gt;0,MIN(I218,I218/Timing!I64*Inputs!$C$36),0))</f>
        <v>290373.6321728721</v>
      </c>
      <c r="J220" s="23">
        <f>IF(Timing!J72=1,0,IF(Timing!J64&gt;0,MIN(J218,J218/Timing!J64*Inputs!$C$36),0))</f>
        <v>294781.12309137796</v>
      </c>
      <c r="K220" s="23">
        <f>IF(Timing!K72=1,0,IF(Timing!K64&gt;0,MIN(K218,K218/Timing!K64*Inputs!$C$36),0))</f>
        <v>300897.5164239132</v>
      </c>
      <c r="L220" s="23">
        <f>IF(Timing!L72=1,0,IF(Timing!L64&gt;0,MIN(L218,L218/Timing!L64*Inputs!$C$36),0))</f>
        <v>306301.6358188866</v>
      </c>
      <c r="M220" s="23">
        <f>IF(Timing!M72=1,0,IF(Timing!M64&gt;0,MIN(M218,M218/Timing!M64*Inputs!$C$36),0))</f>
        <v>311802.81319819373</v>
      </c>
      <c r="N220" s="23">
        <f>IF(Timing!N72=1,0,IF(Timing!N64&gt;0,MIN(N218,N218/Timing!N64*Inputs!$C$36),0))</f>
        <v>316535.5709808201</v>
      </c>
      <c r="O220" s="23">
        <f>IF(Timing!O72=1,0,IF(Timing!O64&gt;0,MIN(O218,O218/Timing!O64*Inputs!$C$36),0))</f>
        <v>323103.34586258273</v>
      </c>
      <c r="P220" s="23">
        <f>IF(Timing!P72=1,0,IF(Timing!P64&gt;0,MIN(P218,P218/Timing!P64*Inputs!$C$36),0))</f>
        <v>328906.28195427463</v>
      </c>
      <c r="Q220" s="23">
        <f>IF(Timing!Q72=1,0,IF(Timing!Q64&gt;0,MIN(Q218,Q218/Timing!Q64*Inputs!$C$36),0))</f>
        <v>334813.4387781734</v>
      </c>
      <c r="R220" s="23">
        <f>IF(Timing!R72=1,0,IF(Timing!R64&gt;0,MIN(R218,R218/Timing!R64*Inputs!$C$36),0))</f>
        <v>339895.4676792342</v>
      </c>
      <c r="S220" s="23">
        <f>IF(Timing!S72=1,0,IF(Timing!S64&gt;0,MIN(S218,S218/Timing!S64*Inputs!$C$36),0))</f>
        <v>346947.9354575992</v>
      </c>
      <c r="T220" s="23">
        <f>IF(Timing!T72=1,0,IF(Timing!T64&gt;0,MIN(T218,T218/Timing!T64*Inputs!$C$36),0))</f>
        <v>353179.1203784176</v>
      </c>
      <c r="U220" s="23">
        <f>IF(Timing!U72=1,0,IF(Timing!U64&gt;0,MIN(U218,U218/Timing!U64*Inputs!$C$36),0))</f>
        <v>359522.217380414</v>
      </c>
      <c r="V220" s="23">
        <f>IF(Timing!V72=1,0,IF(Timing!V64&gt;0,MIN(V218,V218/Timing!V64*Inputs!$C$36),0))</f>
        <v>364979.2931357014</v>
      </c>
      <c r="W220" s="23">
        <f>IF(Timing!W72=1,0,IF(Timing!W64&gt;0,MIN(W218,W218/Timing!W64*Inputs!$C$36),0))</f>
        <v>372552.2234903922</v>
      </c>
      <c r="X220" s="23">
        <f>IF(Timing!X72=1,0,IF(Timing!X64&gt;0,MIN(X218,X218/Timing!X64*Inputs!$C$36),0))</f>
        <v>379243.26142427983</v>
      </c>
      <c r="Y220" s="23">
        <f>IF(Timing!Y72=1,0,IF(Timing!Y64&gt;0,MIN(Y218,Y218/Timing!Y64*Inputs!$C$36),0))</f>
        <v>386054.47039945977</v>
      </c>
      <c r="Z220" s="23">
        <f>IF(Timing!Z72=1,0,IF(Timing!Z64&gt;0,MIN(Z218,Z218/Timing!Z64*Inputs!$C$36),0))</f>
        <v>391914.27095917874</v>
      </c>
      <c r="AA220" s="23">
        <f>IF(Timing!AA72=1,0,IF(Timing!AA64&gt;0,MIN(AA218,AA218/Timing!AA64*Inputs!$C$36),0))</f>
        <v>400046.0733238676</v>
      </c>
      <c r="AB220" s="23">
        <f>IF(Timing!AB72=1,0,IF(Timing!AB64&gt;0,MIN(AB218,AB218/Timing!AB64*Inputs!$C$36),0))</f>
        <v>407230.9008007642</v>
      </c>
      <c r="AC220" s="23">
        <f>IF(Timing!AC72=1,0,IF(Timing!AC64&gt;0,MIN(AC218,AC218/Timing!AC64*Inputs!$C$36),0))</f>
        <v>414544.76777914603</v>
      </c>
      <c r="AD220" s="23">
        <f>IF(Timing!AD72=1,0,IF(Timing!AD64&gt;0,MIN(AD218,AD218/Timing!AD64*Inputs!$C$36),0))</f>
        <v>420837.01368876424</v>
      </c>
      <c r="AE220" s="23">
        <f>IF(Timing!AE72=1,0,IF(Timing!AE64&gt;0,MIN(AE218,AE218/Timing!AE64*Inputs!$C$36),0))</f>
        <v>0</v>
      </c>
    </row>
    <row r="221">
      <c r="A221" s="6" t="inlineStr">
        <is>
          <t xml:space="preserve">Receivables: December advance (paid on 15 January)</t>
        </is>
      </c>
      <c r="B221" s="10" t="inlineStr">
        <is>
          <t xml:space="preserve">€</t>
        </is>
      </c>
      <c r="F221" s="23">
        <f>IF(OR(Timing!F72=1,Timing!$C$31=0,Timing!$C$11&lt;=DATE(Timing!F59,12,1)),0,F202/Timing!F67)</f>
        <v>0</v>
      </c>
      <c r="G221" s="23">
        <f>IF(OR(Timing!G72=1,Timing!$C$31=0,Timing!$C$11&lt;=DATE(Timing!G59,12,1)),0,G202/Timing!G67)</f>
        <v>0</v>
      </c>
      <c r="H221" s="23">
        <f>IF(OR(Timing!H72=1,Timing!$C$31=0,Timing!$C$11&lt;=DATE(Timing!H59,12,1)),0,H202/Timing!H67)</f>
        <v>52815.90066504583</v>
      </c>
      <c r="I221" s="23">
        <f>IF(OR(Timing!I72=1,Timing!$C$31=0,Timing!$C$11&lt;=DATE(Timing!I59,12,1)),0,I202/Timing!I67)</f>
        <v>56338.75885159319</v>
      </c>
      <c r="J221" s="23">
        <f>IF(OR(Timing!J72=1,Timing!$C$31=0,Timing!$C$11&lt;=DATE(Timing!J59,12,1)),0,J202/Timing!J67)</f>
        <v>50753.00492637197</v>
      </c>
      <c r="K221" s="23">
        <f>IF(OR(Timing!K72=1,Timing!$C$31=0,Timing!$C$11&lt;=DATE(Timing!K59,12,1)),0,K202/Timing!K67)</f>
        <v>58251.795139299364</v>
      </c>
      <c r="L221" s="23">
        <f>IF(OR(Timing!L72=1,Timing!$C$31=0,Timing!$C$11&lt;=DATE(Timing!L59,12,1)),0,L202/Timing!L67)</f>
        <v>65394.85661384964</v>
      </c>
      <c r="M221" s="23">
        <f>IF(OR(Timing!M72=1,Timing!$C$31=0,Timing!$C$11&lt;=DATE(Timing!M59,12,1)),0,M202/Timing!M67)</f>
        <v>59490.77321675714</v>
      </c>
      <c r="N221" s="23">
        <f>IF(OR(Timing!N72=1,Timing!$C$31=0,Timing!$C$11&lt;=DATE(Timing!N59,12,1)),0,N202/Timing!N67)</f>
        <v>53494.80963189662</v>
      </c>
      <c r="O221" s="23">
        <f>IF(OR(Timing!O72=1,Timing!$C$31=0,Timing!$C$11&lt;=DATE(Timing!O59,12,1)),0,O202/Timing!O67)</f>
        <v>47405.28737679558</v>
      </c>
      <c r="P221" s="23">
        <f>IF(OR(Timing!P72=1,Timing!$C$31=0,Timing!$C$11&lt;=DATE(Timing!P59,12,1)),0,P202/Timing!P67)</f>
        <v>41220.49788006515</v>
      </c>
      <c r="Q221" s="23">
        <f>IF(OR(Timing!Q72=1,Timing!$C$31=0,Timing!$C$11&lt;=DATE(Timing!Q59,12,1)),0,Q202/Timing!Q67)</f>
        <v>34938.70194088951</v>
      </c>
      <c r="R221" s="23">
        <f>IF(OR(Timing!R72=1,Timing!$C$31=0,Timing!$C$11&lt;=DATE(Timing!R59,12,1)),0,R202/Timing!R67)</f>
        <v>28558.1291788084</v>
      </c>
      <c r="S221" s="23">
        <f>IF(OR(Timing!S72=1,Timing!$C$31=0,Timing!$C$11&lt;=DATE(Timing!S59,12,1)),0,S202/Timing!S67)</f>
        <v>22076.977473618263</v>
      </c>
      <c r="T221" s="23">
        <f>IF(OR(Timing!T72=1,Timing!$C$31=0,Timing!$C$11&lt;=DATE(Timing!T59,12,1)),0,T202/Timing!T67)</f>
        <v>15493.412395213396</v>
      </c>
      <c r="U221" s="23">
        <f>IF(OR(Timing!U72=1,Timing!$C$31=0,Timing!$C$11&lt;=DATE(Timing!U59,12,1)),0,U202/Timing!U67)</f>
        <v>8805.566623187924</v>
      </c>
      <c r="V221" s="23">
        <f>IF(OR(Timing!V72=1,Timing!$C$31=0,Timing!$C$11&lt;=DATE(Timing!V59,12,1)),0,V202/Timing!V67)</f>
        <v>2011.5393560142954</v>
      </c>
      <c r="W221" s="23">
        <f>IF(OR(Timing!W72=1,Timing!$C$31=0,Timing!$C$11&lt;=DATE(Timing!W59,12,1)),0,W202/Timing!W67)</f>
        <v>0</v>
      </c>
      <c r="X221" s="23">
        <f>IF(OR(Timing!X72=1,Timing!$C$31=0,Timing!$C$11&lt;=DATE(Timing!X59,12,1)),0,X202/Timing!X67)</f>
        <v>0</v>
      </c>
      <c r="Y221" s="23">
        <f>IF(OR(Timing!Y72=1,Timing!$C$31=0,Timing!$C$11&lt;=DATE(Timing!Y59,12,1)),0,Y202/Timing!Y67)</f>
        <v>0</v>
      </c>
      <c r="Z221" s="23">
        <f>IF(OR(Timing!Z72=1,Timing!$C$31=0,Timing!$C$11&lt;=DATE(Timing!Z59,12,1)),0,Z202/Timing!Z67)</f>
        <v>0</v>
      </c>
      <c r="AA221" s="23">
        <f>IF(OR(Timing!AA72=1,Timing!$C$31=0,Timing!$C$11&lt;=DATE(Timing!AA59,12,1)),0,AA202/Timing!AA67)</f>
        <v>0</v>
      </c>
      <c r="AB221" s="23">
        <f>IF(OR(Timing!AB72=1,Timing!$C$31=0,Timing!$C$11&lt;=DATE(Timing!AB59,12,1)),0,AB202/Timing!AB67)</f>
        <v>0</v>
      </c>
      <c r="AC221" s="23">
        <f>IF(OR(Timing!AC72=1,Timing!$C$31=0,Timing!$C$11&lt;=DATE(Timing!AC59,12,1)),0,AC202/Timing!AC67)</f>
        <v>0</v>
      </c>
      <c r="AD221" s="23">
        <f>IF(OR(Timing!AD72=1,Timing!$C$31=0,Timing!$C$11&lt;=DATE(Timing!AD59,12,1)),0,AD202/Timing!AD67)</f>
        <v>0</v>
      </c>
      <c r="AE221" s="23">
        <f>IF(OR(Timing!AE72=1,Timing!$C$31=0,Timing!$C$11&lt;=DATE(Timing!AE59,12,1)),0,AE202/Timing!AE67)</f>
        <v>0</v>
      </c>
    </row>
    <row r="222">
      <c r="A222" s="6" t="inlineStr">
        <is>
          <t xml:space="preserve">Receivables: premium and § 6 refund awaiting the final settlement</t>
        </is>
      </c>
      <c r="B222" s="10" t="inlineStr">
        <is>
          <t xml:space="preserve">€</t>
        </is>
      </c>
      <c r="F222" s="23">
        <f>IF(OR(Timing!F72=1,Timing!$C$31=0),0,SUMIFS($F$219:$AE$219,Timing!$F$59:$AE$59,"&gt;"&amp;(Timing!F59-Timing!$C$31),Timing!$F$59:$AE$59,"&lt;="&amp;Timing!F59))</f>
        <v>0</v>
      </c>
      <c r="G222" s="23">
        <f>IF(OR(Timing!G72=1,Timing!$C$31=0),0,SUMIFS($F$219:$AE$219,Timing!$F$59:$AE$59,"&gt;"&amp;(Timing!G59-Timing!$C$31),Timing!$F$59:$AE$59,"&lt;="&amp;Timing!G59))</f>
        <v>761486.5011573649</v>
      </c>
      <c r="H222" s="23">
        <f>IF(OR(Timing!H72=1,Timing!$C$31=0),0,SUMIFS($F$219:$AE$219,Timing!$F$59:$AE$59,"&gt;"&amp;(Timing!H59-Timing!$C$31),Timing!$F$59:$AE$59,"&lt;="&amp;Timing!H59))</f>
        <v>169801.85830529127</v>
      </c>
      <c r="I222" s="23">
        <f>IF(OR(Timing!I72=1,Timing!$C$31=0),0,SUMIFS($F$219:$AE$219,Timing!$F$59:$AE$59,"&gt;"&amp;(Timing!I59-Timing!$C$31),Timing!$F$59:$AE$59,"&lt;="&amp;Timing!I59))</f>
        <v>60111.84077601855</v>
      </c>
      <c r="J222" s="23">
        <f>IF(OR(Timing!J72=1,Timing!$C$31=0),0,SUMIFS($F$219:$AE$219,Timing!$F$59:$AE$59,"&gt;"&amp;(Timing!J59-Timing!$C$31),Timing!$F$59:$AE$59,"&lt;="&amp;Timing!J59))</f>
        <v>58678.078756661824</v>
      </c>
      <c r="K222" s="23">
        <f>IF(OR(Timing!K72=1,Timing!$C$31=0),0,SUMIFS($F$219:$AE$219,Timing!$F$59:$AE$59,"&gt;"&amp;(Timing!K59-Timing!$C$31),Timing!$F$59:$AE$59,"&lt;="&amp;Timing!K59))</f>
        <v>1623370.6332469687</v>
      </c>
      <c r="L222" s="23">
        <f>IF(OR(Timing!L72=1,Timing!$C$31=0),0,SUMIFS($F$219:$AE$219,Timing!$F$59:$AE$59,"&gt;"&amp;(Timing!L59-Timing!$C$31),Timing!$F$59:$AE$59,"&lt;="&amp;Timing!L59))</f>
        <v>55748.001594646106</v>
      </c>
      <c r="M222" s="23">
        <f>IF(OR(Timing!M72=1,Timing!$C$31=0),0,SUMIFS($F$219:$AE$219,Timing!$F$59:$AE$59,"&gt;"&amp;(Timing!M59-Timing!$C$31),Timing!$F$59:$AE$59,"&lt;="&amp;Timing!M59))</f>
        <v>54250.915107329434</v>
      </c>
      <c r="N222" s="23">
        <f>IF(OR(Timing!N72=1,Timing!$C$31=0),0,SUMIFS($F$219:$AE$219,Timing!$F$59:$AE$59,"&gt;"&amp;(Timing!N59-Timing!$C$31),Timing!$F$59:$AE$59,"&lt;="&amp;Timing!N59))</f>
        <v>52731.93758789089</v>
      </c>
      <c r="O222" s="23">
        <f>IF(OR(Timing!O72=1,Timing!$C$31=0),0,SUMIFS($F$219:$AE$219,Timing!$F$59:$AE$59,"&gt;"&amp;(Timing!O59-Timing!$C$31),Timing!$F$59:$AE$59,"&lt;="&amp;Timing!O59))</f>
        <v>51190.66588011496</v>
      </c>
      <c r="P222" s="23">
        <f>IF(OR(Timing!P72=1,Timing!$C$31=0),0,SUMIFS($F$219:$AE$219,Timing!$F$59:$AE$59,"&gt;"&amp;(Timing!P59-Timing!$C$31),Timing!$F$59:$AE$59,"&lt;="&amp;Timing!P59))</f>
        <v>49626.689607080654</v>
      </c>
      <c r="Q222" s="23">
        <f>IF(OR(Timing!Q72=1,Timing!$C$31=0),0,SUMIFS($F$219:$AE$219,Timing!$F$59:$AE$59,"&gt;"&amp;(Timing!Q59-Timing!$C$31),Timing!$F$59:$AE$59,"&lt;="&amp;Timing!Q59))</f>
        <v>48039.59104144582</v>
      </c>
      <c r="R222" s="23">
        <f>IF(OR(Timing!R72=1,Timing!$C$31=0),0,SUMIFS($F$219:$AE$219,Timing!$F$59:$AE$59,"&gt;"&amp;(Timing!R59-Timing!$C$31),Timing!$F$59:$AE$59,"&lt;="&amp;Timing!R59))</f>
        <v>46428.94497339589</v>
      </c>
      <c r="S222" s="23">
        <f>IF(OR(Timing!S72=1,Timing!$C$31=0),0,SUMIFS($F$219:$AE$219,Timing!$F$59:$AE$59,"&gt;"&amp;(Timing!S59-Timing!$C$31),Timing!$F$59:$AE$59,"&lt;="&amp;Timing!S59))</f>
        <v>44794.31857620939</v>
      </c>
      <c r="T222" s="23">
        <f>IF(OR(Timing!T72=1,Timing!$C$31=0),0,SUMIFS($F$219:$AE$219,Timing!$F$59:$AE$59,"&gt;"&amp;(Timing!T59-Timing!$C$31),Timing!$F$59:$AE$59,"&lt;="&amp;Timing!T59))</f>
        <v>43135.27126942568</v>
      </c>
      <c r="U222" s="23">
        <f>IF(OR(Timing!U72=1,Timing!$C$31=0),0,SUMIFS($F$219:$AE$219,Timing!$F$59:$AE$59,"&gt;"&amp;(Timing!U59-Timing!$C$31),Timing!$F$59:$AE$59,"&lt;="&amp;Timing!U59))</f>
        <v>41451.35457955205</v>
      </c>
      <c r="V222" s="23">
        <f>IF(OR(Timing!V72=1,Timing!$C$31=0),0,SUMIFS($F$219:$AE$219,Timing!$F$59:$AE$59,"&gt;"&amp;(Timing!V59-Timing!$C$31),Timing!$F$59:$AE$59,"&lt;="&amp;Timing!V59))</f>
        <v>-24138.472272171544</v>
      </c>
      <c r="W222" s="23">
        <f>IF(OR(Timing!W72=1,Timing!$C$31=0),0,SUMIFS($F$219:$AE$219,Timing!$F$59:$AE$59,"&gt;"&amp;(Timing!W59-Timing!$C$31),Timing!$F$59:$AE$59,"&lt;="&amp;Timing!W59))</f>
        <v>0</v>
      </c>
      <c r="X222" s="23">
        <f>IF(OR(Timing!X72=1,Timing!$C$31=0),0,SUMIFS($F$219:$AE$219,Timing!$F$59:$AE$59,"&gt;"&amp;(Timing!X59-Timing!$C$31),Timing!$F$59:$AE$59,"&lt;="&amp;Timing!X59))</f>
        <v>0</v>
      </c>
      <c r="Y222" s="23">
        <f>IF(OR(Timing!Y72=1,Timing!$C$31=0),0,SUMIFS($F$219:$AE$219,Timing!$F$59:$AE$59,"&gt;"&amp;(Timing!Y59-Timing!$C$31),Timing!$F$59:$AE$59,"&lt;="&amp;Timing!Y59))</f>
        <v>0</v>
      </c>
      <c r="Z222" s="23">
        <f>IF(OR(Timing!Z72=1,Timing!$C$31=0),0,SUMIFS($F$219:$AE$219,Timing!$F$59:$AE$59,"&gt;"&amp;(Timing!Z59-Timing!$C$31),Timing!$F$59:$AE$59,"&lt;="&amp;Timing!Z59))</f>
        <v>0</v>
      </c>
      <c r="AA222" s="23">
        <f>IF(OR(Timing!AA72=1,Timing!$C$31=0),0,SUMIFS($F$219:$AE$219,Timing!$F$59:$AE$59,"&gt;"&amp;(Timing!AA59-Timing!$C$31),Timing!$F$59:$AE$59,"&lt;="&amp;Timing!AA59))</f>
        <v>0</v>
      </c>
      <c r="AB222" s="23">
        <f>IF(OR(Timing!AB72=1,Timing!$C$31=0),0,SUMIFS($F$219:$AE$219,Timing!$F$59:$AE$59,"&gt;"&amp;(Timing!AB59-Timing!$C$31),Timing!$F$59:$AE$59,"&lt;="&amp;Timing!AB59))</f>
        <v>0</v>
      </c>
      <c r="AC222" s="23">
        <f>IF(OR(Timing!AC72=1,Timing!$C$31=0),0,SUMIFS($F$219:$AE$219,Timing!$F$59:$AE$59,"&gt;"&amp;(Timing!AC59-Timing!$C$31),Timing!$F$59:$AE$59,"&lt;="&amp;Timing!AC59))</f>
        <v>0</v>
      </c>
      <c r="AD222" s="23">
        <f>IF(OR(Timing!AD72=1,Timing!$C$31=0),0,SUMIFS($F$219:$AE$219,Timing!$F$59:$AE$59,"&gt;"&amp;(Timing!AD59-Timing!$C$31),Timing!$F$59:$AE$59,"&lt;="&amp;Timing!AD59))</f>
        <v>0</v>
      </c>
      <c r="AE222" s="23">
        <f>IF(OR(Timing!AE72=1,Timing!$C$31=0),0,SUMIFS($F$219:$AE$219,Timing!$F$59:$AE$59,"&gt;"&amp;(Timing!AE59-Timing!$C$31),Timing!$F$59:$AE$59,"&lt;="&amp;Timing!AE59))</f>
        <v>0</v>
      </c>
    </row>
    <row r="223">
      <c r="A223" s="6" t="inlineStr">
        <is>
          <t xml:space="preserve">Receivables: premium</t>
        </is>
      </c>
      <c r="B223" s="10" t="inlineStr">
        <is>
          <t xml:space="preserve">€</t>
        </is>
      </c>
      <c r="F223" s="23">
        <f>F221+F222</f>
        <v>0</v>
      </c>
      <c r="G223" s="23">
        <f>G221+G222</f>
        <v>761486.5011573649</v>
      </c>
      <c r="H223" s="23">
        <f>H221+H222</f>
        <v>222617.7589703371</v>
      </c>
      <c r="I223" s="23">
        <f>I221+I222</f>
        <v>116450.59962761175</v>
      </c>
      <c r="J223" s="23">
        <f>J221+J222</f>
        <v>109431.0836830338</v>
      </c>
      <c r="K223" s="23">
        <f>K221+K222</f>
        <v>1681622.4283862682</v>
      </c>
      <c r="L223" s="23">
        <f>L221+L222</f>
        <v>121142.85820849575</v>
      </c>
      <c r="M223" s="23">
        <f>M221+M222</f>
        <v>113741.68832408657</v>
      </c>
      <c r="N223" s="23">
        <f>N221+N222</f>
        <v>106226.7472197875</v>
      </c>
      <c r="O223" s="23">
        <f>O221+O222</f>
        <v>98595.95325691055</v>
      </c>
      <c r="P223" s="23">
        <f>P221+P222</f>
        <v>90847.1874871458</v>
      </c>
      <c r="Q223" s="23">
        <f>Q221+Q222</f>
        <v>82978.29298233532</v>
      </c>
      <c r="R223" s="23">
        <f>R221+R222</f>
        <v>74987.0741522043</v>
      </c>
      <c r="S223" s="23">
        <f>S221+S222</f>
        <v>66871.29604982765</v>
      </c>
      <c r="T223" s="23">
        <f>T221+T222</f>
        <v>58628.68366463907</v>
      </c>
      <c r="U223" s="23">
        <f>U221+U222</f>
        <v>50256.92120273997</v>
      </c>
      <c r="V223" s="23">
        <f>V221+V222</f>
        <v>-22126.93291615725</v>
      </c>
      <c r="W223" s="23">
        <f>W221+W222</f>
        <v>0</v>
      </c>
      <c r="X223" s="23">
        <f>X221+X222</f>
        <v>0</v>
      </c>
      <c r="Y223" s="23">
        <f>Y221+Y222</f>
        <v>0</v>
      </c>
      <c r="Z223" s="23">
        <f>Z221+Z222</f>
        <v>0</v>
      </c>
      <c r="AA223" s="23">
        <f>AA221+AA222</f>
        <v>0</v>
      </c>
      <c r="AB223" s="23">
        <f>AB221+AB222</f>
        <v>0</v>
      </c>
      <c r="AC223" s="23">
        <f>AC221+AC222</f>
        <v>0</v>
      </c>
      <c r="AD223" s="23">
        <f>AD221+AD222</f>
        <v>0</v>
      </c>
      <c r="AE223" s="23">
        <f>AE221+AE222</f>
        <v>0</v>
      </c>
    </row>
    <row r="224">
      <c r="A224" s="41" t="inlineStr">
        <is>
          <t xml:space="preserve">Receivables at year end</t>
        </is>
      </c>
      <c r="B224" s="10" t="inlineStr">
        <is>
          <t xml:space="preserve">€</t>
        </is>
      </c>
      <c r="E224" s="23">
        <f>$C$60</f>
        <v>498049.00082810305</v>
      </c>
      <c r="F224" s="42">
        <f>F220+F223</f>
        <v>345843.31366687163</v>
      </c>
      <c r="G224" s="42">
        <f>G220+G223</f>
        <v>1051090.9337442005</v>
      </c>
      <c r="H224" s="42">
        <f>H220+H223</f>
        <v>507868.291577583</v>
      </c>
      <c r="I224" s="42">
        <f>I220+I223</f>
        <v>406824.23180048383</v>
      </c>
      <c r="J224" s="42">
        <f>J220+J223</f>
        <v>404212.2067744117</v>
      </c>
      <c r="K224" s="42">
        <f>K220+K223</f>
        <v>1982519.9448101814</v>
      </c>
      <c r="L224" s="42">
        <f>L220+L223</f>
        <v>427444.49402738234</v>
      </c>
      <c r="M224" s="42">
        <f>M220+M223</f>
        <v>425544.50152228033</v>
      </c>
      <c r="N224" s="42">
        <f>N220+N223</f>
        <v>422762.3182006076</v>
      </c>
      <c r="O224" s="42">
        <f>O220+O223</f>
        <v>421699.2991194933</v>
      </c>
      <c r="P224" s="42">
        <f>P220+P223</f>
        <v>419753.46944142046</v>
      </c>
      <c r="Q224" s="42">
        <f>Q220+Q223</f>
        <v>417791.73176050873</v>
      </c>
      <c r="R224" s="42">
        <f>R220+R223</f>
        <v>414882.54183143855</v>
      </c>
      <c r="S224" s="42">
        <f>S220+S223</f>
        <v>413819.2315074268</v>
      </c>
      <c r="T224" s="42">
        <f>T220+T223</f>
        <v>411807.8040430567</v>
      </c>
      <c r="U224" s="42">
        <f>U220+U223</f>
        <v>409779.13858315395</v>
      </c>
      <c r="V224" s="42">
        <f>V220+V223</f>
        <v>342852.36021954415</v>
      </c>
      <c r="W224" s="42">
        <f>W220+W223</f>
        <v>372552.2234903922</v>
      </c>
      <c r="X224" s="42">
        <f>X220+X223</f>
        <v>379243.26142427983</v>
      </c>
      <c r="Y224" s="42">
        <f>Y220+Y223</f>
        <v>386054.47039945977</v>
      </c>
      <c r="Z224" s="42">
        <f>Z220+Z223</f>
        <v>391914.27095917874</v>
      </c>
      <c r="AA224" s="42">
        <f>AA220+AA223</f>
        <v>400046.0733238676</v>
      </c>
      <c r="AB224" s="42">
        <f>AB220+AB223</f>
        <v>407230.9008007642</v>
      </c>
      <c r="AC224" s="42">
        <f>AC220+AC223</f>
        <v>414544.76777914603</v>
      </c>
      <c r="AD224" s="42">
        <f>AD220+AD223</f>
        <v>420837.01368876424</v>
      </c>
      <c r="AE224" s="42">
        <f>AE220+AE223</f>
        <v>0</v>
      </c>
    </row>
    <row r="225">
      <c r="A225" s="6" t="inlineStr">
        <is>
          <t xml:space="preserve">Change in working capital</t>
        </is>
      </c>
      <c r="B225" s="10" t="inlineStr">
        <is>
          <t xml:space="preserve">€</t>
        </is>
      </c>
      <c r="F225" s="23">
        <f>F224-E224</f>
        <v>-152205.6871612314</v>
      </c>
      <c r="G225" s="23">
        <f>G224-F224</f>
        <v>705247.6200773289</v>
      </c>
      <c r="H225" s="23">
        <f>H224-G224</f>
        <v>-543222.6421666176</v>
      </c>
      <c r="I225" s="23">
        <f>I224-H224</f>
        <v>-101044.05977709917</v>
      </c>
      <c r="J225" s="23">
        <f>J224-I224</f>
        <v>-2612.0250260721077</v>
      </c>
      <c r="K225" s="23">
        <f>K224-J224</f>
        <v>1578307.7380357697</v>
      </c>
      <c r="L225" s="23">
        <f>L224-K224</f>
        <v>-1555075.4507827992</v>
      </c>
      <c r="M225" s="23">
        <f>M224-L224</f>
        <v>-1899.992505102011</v>
      </c>
      <c r="N225" s="23">
        <f>N224-M224</f>
        <v>-2782.1833216727246</v>
      </c>
      <c r="O225" s="23">
        <f>O224-N224</f>
        <v>-1063.0190811143257</v>
      </c>
      <c r="P225" s="23">
        <f>P224-O224</f>
        <v>-1945.829678072827</v>
      </c>
      <c r="Q225" s="23">
        <f>Q224-P224</f>
        <v>-1961.7376809117268</v>
      </c>
      <c r="R225" s="23">
        <f>R224-Q224</f>
        <v>-2909.189929070184</v>
      </c>
      <c r="S225" s="23">
        <f>S224-R224</f>
        <v>-1063.3103240117198</v>
      </c>
      <c r="T225" s="23">
        <f>T224-S224</f>
        <v>-2011.4274643701501</v>
      </c>
      <c r="U225" s="23">
        <f>U224-T224</f>
        <v>-2028.6654599027243</v>
      </c>
      <c r="V225" s="23">
        <f>V224-U224</f>
        <v>-66926.7783636098</v>
      </c>
      <c r="W225" s="23">
        <f>W224-V224</f>
        <v>29699.863270848058</v>
      </c>
      <c r="X225" s="23">
        <f>X224-W224</f>
        <v>6691.037933887623</v>
      </c>
      <c r="Y225" s="23">
        <f>Y224-X224</f>
        <v>6811.208975179936</v>
      </c>
      <c r="Z225" s="23">
        <f>Z224-Y224</f>
        <v>5859.800559718977</v>
      </c>
      <c r="AA225" s="23">
        <f>AA224-Z224</f>
        <v>8131.802364688832</v>
      </c>
      <c r="AB225" s="23">
        <f>AB224-AA224</f>
        <v>7184.827476896637</v>
      </c>
      <c r="AC225" s="23">
        <f>AC224-AB224</f>
        <v>7313.866978381819</v>
      </c>
      <c r="AD225" s="23">
        <f>AD224-AC224</f>
        <v>6292.245909618214</v>
      </c>
      <c r="AE225" s="23">
        <f>AE224-AD224</f>
        <v>-420837.01368876424</v>
      </c>
    </row>
    <row r="227">
      <c r="A227" s="5" t="inlineStr">
        <is>
          <t xml:space="preserve">Lender case P50</t>
        </is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>
      <c r="A228" s="6" t="inlineStr">
        <is>
          <t xml:space="preserve">Lender's floor: revenue counted up to the AW (1 = yes)</t>
        </is>
      </c>
      <c r="C228" s="23">
        <f>IF(Inputs!$C$40="floor",1,0)</f>
        <v>1</v>
      </c>
    </row>
    <row r="229">
      <c r="A229" s="6" t="inlineStr">
        <is>
          <t xml:space="preserve">Two-sided premium in this case (1 = yes)</t>
        </is>
      </c>
      <c r="C229" s="23">
        <f>IF(AND($C$228=0,Inputs!$C$35),1,0)</f>
        <v>0</v>
      </c>
    </row>
    <row r="230">
      <c r="A230" s="6" t="inlineStr">
        <is>
          <t xml:space="preserve">Site quality until the first § 36h review</t>
        </is>
      </c>
      <c r="C230" s="43">
        <f>Inputs!$C$16</f>
        <v>0.68</v>
      </c>
    </row>
    <row r="231">
      <c r="A231" s="6" t="inlineStr">
        <is>
          <t xml:space="preserve">Site quality after the reviews</t>
        </is>
      </c>
      <c r="C231" s="24">
        <f>Inputs!$C$16</f>
        <v>0.68</v>
      </c>
      <c r="D231" s="2" t="inlineStr">
        <is>
          <t xml:space="preserve">no review in this case</t>
        </is>
      </c>
    </row>
    <row r="232">
      <c r="A232" s="6" t="inlineStr">
        <is>
          <t xml:space="preserve">Correction factor until the first review</t>
        </is>
      </c>
      <c r="C232" s="44">
        <f>IF($C$230*100&lt;=IF(Inputs!$C$17,Inputs!$C$187,Inputs!$C$188),IF(Inputs!$C$17,Inputs!$C$185,Inputs!$C$184),IF($C$230*100&gt;=Inputs!$C$189,Inputs!$C$186,INDEX(Inputs!$B$173:$B$183,MATCH($C$230*100,Inputs!$A$173:$A$183,1))+($C$230*100-INDEX(Inputs!$A$173:$A$183,MATCH($C$230*100,Inputs!$A$173:$A$183,1)))/(INDEX(Inputs!$A$173:$A$183,MATCH($C$230*100,Inputs!$A$173:$A$183,1)+1)-INDEX(Inputs!$A$173:$A$183,MATCH($C$230*100,Inputs!$A$173:$A$183,1)))*(INDEX(Inputs!$B$173:$B$183,MATCH($C$230*100,Inputs!$A$173:$A$183,1)+1)-INDEX(Inputs!$B$173:$B$183,MATCH($C$230*100,Inputs!$A$173:$A$183,1)))))</f>
        <v>1.316</v>
      </c>
    </row>
    <row r="233">
      <c r="A233" s="6" t="inlineStr">
        <is>
          <t xml:space="preserve">Correction factor after the reviews</t>
        </is>
      </c>
      <c r="C233" s="44">
        <f>IF($C$231*100&lt;=IF(Inputs!$C$17,Inputs!$C$187,Inputs!$C$188),IF(Inputs!$C$17,Inputs!$C$185,Inputs!$C$184),IF($C$231*100&gt;=Inputs!$C$189,Inputs!$C$186,INDEX(Inputs!$B$173:$B$183,MATCH($C$231*100,Inputs!$A$173:$A$183,1))+($C$231*100-INDEX(Inputs!$A$173:$A$183,MATCH($C$231*100,Inputs!$A$173:$A$183,1)))/(INDEX(Inputs!$A$173:$A$183,MATCH($C$231*100,Inputs!$A$173:$A$183,1)+1)-INDEX(Inputs!$A$173:$A$183,MATCH($C$231*100,Inputs!$A$173:$A$183,1)))*(INDEX(Inputs!$B$173:$B$183,MATCH($C$231*100,Inputs!$A$173:$A$183,1)+1)-INDEX(Inputs!$B$173:$B$183,MATCH($C$231*100,Inputs!$A$173:$A$183,1)))))</f>
        <v>1.316</v>
      </c>
    </row>
    <row r="234">
      <c r="A234" s="6" t="inlineStr">
        <is>
          <t xml:space="preserve">AW until the first review (rounded to 0.01 ct)</t>
        </is>
      </c>
      <c r="B234" s="10" t="inlineStr">
        <is>
          <t xml:space="preserve">€/kWh</t>
        </is>
      </c>
      <c r="C234" s="21">
        <f>ROUND(Inputs!$C$27*$C$232,2)/100</f>
        <v>0.063</v>
      </c>
    </row>
    <row r="235">
      <c r="A235" s="6" t="inlineStr">
        <is>
          <t xml:space="preserve">AW after the reviews</t>
        </is>
      </c>
      <c r="B235" s="10" t="inlineStr">
        <is>
          <t xml:space="preserve">€/kWh</t>
        </is>
      </c>
      <c r="C235" s="21">
        <f>ROUND(Inputs!$C$27*$C$233,2)/100</f>
        <v>0.063</v>
      </c>
    </row>
    <row r="236">
      <c r="A236" s="6" t="inlineStr">
        <is>
          <t xml:space="preserve">Baseload price</t>
        </is>
      </c>
      <c r="B236" s="10" t="inlineStr">
        <is>
          <t xml:space="preserve">€/MWh</t>
        </is>
      </c>
      <c r="E236" s="26">
        <f>IF(COUNTIF(Inputs!$A$42:$A$44,Timing!$C$15-1)&gt;0,SUMIFS(Inputs!$B$42:$B$44,Inputs!$A$42:$A$44,Timing!$C$15-1),Inputs!$C$30*Timing!E76)*1</f>
        <v>128.37</v>
      </c>
      <c r="F236" s="26">
        <f>IF(COUNTIF(Inputs!$A$42:$A$44,Timing!F59)&gt;0,SUMIFS(Inputs!$B$42:$B$44,Inputs!$A$42:$A$44,Timing!F59),Inputs!$C$30*Timing!F76)*1</f>
        <v>98.88</v>
      </c>
      <c r="G236" s="26">
        <f>IF(COUNTIF(Inputs!$A$42:$A$44,Timing!G59)&gt;0,SUMIFS(Inputs!$B$42:$B$44,Inputs!$A$42:$A$44,Timing!G59),Inputs!$C$30*Timing!G76)*1</f>
        <v>82.74</v>
      </c>
      <c r="H236" s="26">
        <f>IF(COUNTIF(Inputs!$A$42:$A$44,Timing!H59)&gt;0,SUMIFS(Inputs!$B$42:$B$44,Inputs!$A$42:$A$44,Timing!H59),Inputs!$C$30*Timing!H76)*1</f>
        <v>81.65940939000001</v>
      </c>
      <c r="I236" s="26">
        <f>IF(COUNTIF(Inputs!$A$42:$A$44,Timing!I59)&gt;0,SUMIFS(Inputs!$B$42:$B$44,Inputs!$A$42:$A$44,Timing!I59),Inputs!$C$30*Timing!I76)*1</f>
        <v>83.2925975778</v>
      </c>
      <c r="J236" s="26">
        <f>IF(COUNTIF(Inputs!$A$42:$A$44,Timing!J59)&gt;0,SUMIFS(Inputs!$B$42:$B$44,Inputs!$A$42:$A$44,Timing!J59),Inputs!$C$30*Timing!J76)*1</f>
        <v>84.95844952935599</v>
      </c>
      <c r="K236" s="26">
        <f>IF(COUNTIF(Inputs!$A$42:$A$44,Timing!K59)&gt;0,SUMIFS(Inputs!$B$42:$B$44,Inputs!$A$42:$A$44,Timing!K59),Inputs!$C$30*Timing!K76)*1</f>
        <v>86.65761851994313</v>
      </c>
      <c r="L236" s="26">
        <f>IF(COUNTIF(Inputs!$A$42:$A$44,Timing!L59)&gt;0,SUMIFS(Inputs!$B$42:$B$44,Inputs!$A$42:$A$44,Timing!L59),Inputs!$C$30*Timing!L76)*1</f>
        <v>88.39077089034198</v>
      </c>
      <c r="M236" s="26">
        <f>IF(COUNTIF(Inputs!$A$42:$A$44,Timing!M59)&gt;0,SUMIFS(Inputs!$B$42:$B$44,Inputs!$A$42:$A$44,Timing!M59),Inputs!$C$30*Timing!M76)*1</f>
        <v>90.15858630814881</v>
      </c>
      <c r="N236" s="26">
        <f>IF(COUNTIF(Inputs!$A$42:$A$44,Timing!N59)&gt;0,SUMIFS(Inputs!$B$42:$B$44,Inputs!$A$42:$A$44,Timing!N59),Inputs!$C$30*Timing!N76)*1</f>
        <v>91.96175803431179</v>
      </c>
      <c r="O236" s="26">
        <f>IF(COUNTIF(Inputs!$A$42:$A$44,Timing!O59)&gt;0,SUMIFS(Inputs!$B$42:$B$44,Inputs!$A$42:$A$44,Timing!O59),Inputs!$C$30*Timing!O76)*1</f>
        <v>93.80099319499803</v>
      </c>
      <c r="P236" s="26">
        <f>IF(COUNTIF(Inputs!$A$42:$A$44,Timing!P59)&gt;0,SUMIFS(Inputs!$B$42:$B$44,Inputs!$A$42:$A$44,Timing!P59),Inputs!$C$30*Timing!P76)*1</f>
        <v>95.67701305889798</v>
      </c>
      <c r="Q236" s="26">
        <f>IF(COUNTIF(Inputs!$A$42:$A$44,Timing!Q59)&gt;0,SUMIFS(Inputs!$B$42:$B$44,Inputs!$A$42:$A$44,Timing!Q59),Inputs!$C$30*Timing!Q76)*1</f>
        <v>97.59055332007594</v>
      </c>
      <c r="R236" s="26">
        <f>IF(COUNTIF(Inputs!$A$42:$A$44,Timing!R59)&gt;0,SUMIFS(Inputs!$B$42:$B$44,Inputs!$A$42:$A$44,Timing!R59),Inputs!$C$30*Timing!R76)*1</f>
        <v>99.54236438647747</v>
      </c>
      <c r="S236" s="26">
        <f>IF(COUNTIF(Inputs!$A$42:$A$44,Timing!S59)&gt;0,SUMIFS(Inputs!$B$42:$B$44,Inputs!$A$42:$A$44,Timing!S59),Inputs!$C$30*Timing!S76)*1</f>
        <v>101.53321167420701</v>
      </c>
      <c r="T236" s="26">
        <f>IF(COUNTIF(Inputs!$A$42:$A$44,Timing!T59)&gt;0,SUMIFS(Inputs!$B$42:$B$44,Inputs!$A$42:$A$44,Timing!T59),Inputs!$C$30*Timing!T76)*1</f>
        <v>103.56387590769116</v>
      </c>
      <c r="U236" s="26">
        <f>IF(COUNTIF(Inputs!$A$42:$A$44,Timing!U59)&gt;0,SUMIFS(Inputs!$B$42:$B$44,Inputs!$A$42:$A$44,Timing!U59),Inputs!$C$30*Timing!U76)*1</f>
        <v>105.63515342584496</v>
      </c>
      <c r="V236" s="26">
        <f>IF(COUNTIF(Inputs!$A$42:$A$44,Timing!V59)&gt;0,SUMIFS(Inputs!$B$42:$B$44,Inputs!$A$42:$A$44,Timing!V59),Inputs!$C$30*Timing!V76)*1</f>
        <v>107.74785649436187</v>
      </c>
      <c r="W236" s="26">
        <f>IF(COUNTIF(Inputs!$A$42:$A$44,Timing!W59)&gt;0,SUMIFS(Inputs!$B$42:$B$44,Inputs!$A$42:$A$44,Timing!W59),Inputs!$C$30*Timing!W76)*1</f>
        <v>109.9028136242491</v>
      </c>
      <c r="X236" s="26">
        <f>IF(COUNTIF(Inputs!$A$42:$A$44,Timing!X59)&gt;0,SUMIFS(Inputs!$B$42:$B$44,Inputs!$A$42:$A$44,Timing!X59),Inputs!$C$30*Timing!X76)*1</f>
        <v>112.1008698967341</v>
      </c>
      <c r="Y236" s="26">
        <f>IF(COUNTIF(Inputs!$A$42:$A$44,Timing!Y59)&gt;0,SUMIFS(Inputs!$B$42:$B$44,Inputs!$A$42:$A$44,Timing!Y59),Inputs!$C$30*Timing!Y76)*1</f>
        <v>114.34288729466878</v>
      </c>
      <c r="Z236" s="26">
        <f>IF(COUNTIF(Inputs!$A$42:$A$44,Timing!Z59)&gt;0,SUMIFS(Inputs!$B$42:$B$44,Inputs!$A$42:$A$44,Timing!Z59),Inputs!$C$30*Timing!Z76)*1</f>
        <v>116.62974504056216</v>
      </c>
      <c r="AA236" s="26">
        <f>IF(COUNTIF(Inputs!$A$42:$A$44,Timing!AA59)&gt;0,SUMIFS(Inputs!$B$42:$B$44,Inputs!$A$42:$A$44,Timing!AA59),Inputs!$C$30*Timing!AA76)*1</f>
        <v>118.9623399413734</v>
      </c>
      <c r="AB236" s="26">
        <f>IF(COUNTIF(Inputs!$A$42:$A$44,Timing!AB59)&gt;0,SUMIFS(Inputs!$B$42:$B$44,Inputs!$A$42:$A$44,Timing!AB59),Inputs!$C$30*Timing!AB76)*1</f>
        <v>121.34158674020087</v>
      </c>
      <c r="AC236" s="26">
        <f>IF(COUNTIF(Inputs!$A$42:$A$44,Timing!AC59)&gt;0,SUMIFS(Inputs!$B$42:$B$44,Inputs!$A$42:$A$44,Timing!AC59),Inputs!$C$30*Timing!AC76)*1</f>
        <v>123.76841847500489</v>
      </c>
      <c r="AD236" s="26">
        <f>IF(COUNTIF(Inputs!$A$42:$A$44,Timing!AD59)&gt;0,SUMIFS(Inputs!$B$42:$B$44,Inputs!$A$42:$A$44,Timing!AD59),Inputs!$C$30*Timing!AD76)*1</f>
        <v>126.243786844505</v>
      </c>
      <c r="AE236" s="26">
        <f>IF(COUNTIF(Inputs!$A$42:$A$44,Timing!AE59)&gt;0,SUMIFS(Inputs!$B$42:$B$44,Inputs!$A$42:$A$44,Timing!AE59),Inputs!$C$30*Timing!AE76)*1</f>
        <v>128.76866258139512</v>
      </c>
    </row>
    <row r="237">
      <c r="A237" s="6" t="inlineStr">
        <is>
          <t xml:space="preserve">Market value of wind (JW)</t>
        </is>
      </c>
      <c r="B237" s="10" t="inlineStr">
        <is>
          <t xml:space="preserve">€/kWh</t>
        </is>
      </c>
      <c r="E237" s="37">
        <f>E236*Inputs!$C$31/1000</f>
        <v>0.10269600000000001</v>
      </c>
      <c r="F237" s="37">
        <f>F236*Inputs!$C$31/1000</f>
        <v>0.079104</v>
      </c>
      <c r="G237" s="37">
        <f>G236*Inputs!$C$31/1000</f>
        <v>0.06619199999999999</v>
      </c>
      <c r="H237" s="37">
        <f>H236*Inputs!$C$31/1000</f>
        <v>0.06532752751200001</v>
      </c>
      <c r="I237" s="37">
        <f>I236*Inputs!$C$31/1000</f>
        <v>0.06663407806223999</v>
      </c>
      <c r="J237" s="37">
        <f>J236*Inputs!$C$31/1000</f>
        <v>0.0679667596234848</v>
      </c>
      <c r="K237" s="37">
        <f>K236*Inputs!$C$31/1000</f>
        <v>0.0693260948159545</v>
      </c>
      <c r="L237" s="37">
        <f>L236*Inputs!$C$31/1000</f>
        <v>0.0707126167122736</v>
      </c>
      <c r="M237" s="37">
        <f>M236*Inputs!$C$31/1000</f>
        <v>0.07212686904651905</v>
      </c>
      <c r="N237" s="37">
        <f>N236*Inputs!$C$31/1000</f>
        <v>0.07356940642744944</v>
      </c>
      <c r="O237" s="37">
        <f>O236*Inputs!$C$31/1000</f>
        <v>0.07504079455599844</v>
      </c>
      <c r="P237" s="37">
        <f>P236*Inputs!$C$31/1000</f>
        <v>0.0765416104471184</v>
      </c>
      <c r="Q237" s="37">
        <f>Q236*Inputs!$C$31/1000</f>
        <v>0.07807244265606075</v>
      </c>
      <c r="R237" s="37">
        <f>R236*Inputs!$C$31/1000</f>
        <v>0.07963389150918197</v>
      </c>
      <c r="S237" s="37">
        <f>S236*Inputs!$C$31/1000</f>
        <v>0.08122656933936562</v>
      </c>
      <c r="T237" s="37">
        <f>T236*Inputs!$C$31/1000</f>
        <v>0.08285110072615294</v>
      </c>
      <c r="U237" s="37">
        <f>U236*Inputs!$C$31/1000</f>
        <v>0.08450812274067597</v>
      </c>
      <c r="V237" s="37">
        <f>V236*Inputs!$C$31/1000</f>
        <v>0.0861982851954895</v>
      </c>
      <c r="W237" s="37">
        <f>W236*Inputs!$C$31/1000</f>
        <v>0.08792225089939928</v>
      </c>
      <c r="X237" s="37">
        <f>X236*Inputs!$C$31/1000</f>
        <v>0.08968069591738728</v>
      </c>
      <c r="Y237" s="37">
        <f>Y236*Inputs!$C$31/1000</f>
        <v>0.09147430983573503</v>
      </c>
      <c r="Z237" s="37">
        <f>Z236*Inputs!$C$31/1000</f>
        <v>0.09330379603244973</v>
      </c>
      <c r="AA237" s="37">
        <f>AA236*Inputs!$C$31/1000</f>
        <v>0.09516987195309871</v>
      </c>
      <c r="AB237" s="37">
        <f>AB236*Inputs!$C$31/1000</f>
        <v>0.0970732693921607</v>
      </c>
      <c r="AC237" s="37">
        <f>AC236*Inputs!$C$31/1000</f>
        <v>0.09901473478000392</v>
      </c>
      <c r="AD237" s="37">
        <f>AD236*Inputs!$C$31/1000</f>
        <v>0.100995029475604</v>
      </c>
      <c r="AE237" s="37">
        <f>AE236*Inputs!$C$31/1000</f>
        <v>0.1030149300651161</v>
      </c>
    </row>
    <row r="238">
      <c r="A238" s="6" t="inlineStr">
        <is>
          <t xml:space="preserve">Market value of the year before (basis of the advances, § 26)</t>
        </is>
      </c>
      <c r="B238" s="10" t="inlineStr">
        <is>
          <t xml:space="preserve">€/kWh</t>
        </is>
      </c>
      <c r="F238" s="37">
        <f>E237</f>
        <v>0.10269600000000001</v>
      </c>
      <c r="G238" s="37">
        <f>F237</f>
        <v>0.079104</v>
      </c>
      <c r="H238" s="37">
        <f>G237</f>
        <v>0.06619199999999999</v>
      </c>
      <c r="I238" s="37">
        <f>H237</f>
        <v>0.06532752751200001</v>
      </c>
      <c r="J238" s="37">
        <f>I237</f>
        <v>0.06663407806223999</v>
      </c>
      <c r="K238" s="37">
        <f>J237</f>
        <v>0.0679667596234848</v>
      </c>
      <c r="L238" s="37">
        <f>K237</f>
        <v>0.0693260948159545</v>
      </c>
      <c r="M238" s="37">
        <f>L237</f>
        <v>0.0707126167122736</v>
      </c>
      <c r="N238" s="37">
        <f>M237</f>
        <v>0.07212686904651905</v>
      </c>
      <c r="O238" s="37">
        <f>N237</f>
        <v>0.07356940642744944</v>
      </c>
      <c r="P238" s="37">
        <f>O237</f>
        <v>0.07504079455599844</v>
      </c>
      <c r="Q238" s="37">
        <f>P237</f>
        <v>0.0765416104471184</v>
      </c>
      <c r="R238" s="37">
        <f>Q237</f>
        <v>0.07807244265606075</v>
      </c>
      <c r="S238" s="37">
        <f>R237</f>
        <v>0.07963389150918197</v>
      </c>
      <c r="T238" s="37">
        <f>S237</f>
        <v>0.08122656933936562</v>
      </c>
      <c r="U238" s="37">
        <f>T237</f>
        <v>0.08285110072615294</v>
      </c>
      <c r="V238" s="37">
        <f>U237</f>
        <v>0.08450812274067597</v>
      </c>
      <c r="W238" s="37">
        <f>V237</f>
        <v>0.0861982851954895</v>
      </c>
      <c r="X238" s="37">
        <f>W237</f>
        <v>0.08792225089939928</v>
      </c>
      <c r="Y238" s="37">
        <f>X237</f>
        <v>0.08968069591738728</v>
      </c>
      <c r="Z238" s="37">
        <f>Y237</f>
        <v>0.09147430983573503</v>
      </c>
      <c r="AA238" s="37">
        <f>Z237</f>
        <v>0.09330379603244973</v>
      </c>
      <c r="AB238" s="37">
        <f>AA237</f>
        <v>0.09516987195309871</v>
      </c>
      <c r="AC238" s="37">
        <f>AB237</f>
        <v>0.0970732693921607</v>
      </c>
      <c r="AD238" s="37">
        <f>AC237</f>
        <v>0.09901473478000392</v>
      </c>
      <c r="AE238" s="37">
        <f>AD237</f>
        <v>0.100995029475604</v>
      </c>
    </row>
    <row r="239">
      <c r="A239" s="6" t="inlineStr">
        <is>
          <t xml:space="preserve">Output</t>
        </is>
      </c>
      <c r="B239" s="10" t="inlineStr">
        <is>
          <t xml:space="preserve">kWh</t>
        </is>
      </c>
      <c r="F239" s="23">
        <f>Timing!$C$28*Timing!$C$29*Timing!F66*Timing!F73*1</f>
        <v>38616258.82903982</v>
      </c>
      <c r="G239" s="23">
        <f>Timing!$C$28*Timing!$C$29*Timing!G66*Timing!G73*1</f>
        <v>76659150.16285716</v>
      </c>
      <c r="H239" s="23">
        <f>Timing!$C$28*Timing!$C$29*Timing!H66*Timing!H73*1</f>
        <v>76505831.86253144</v>
      </c>
      <c r="I239" s="23">
        <f>Timing!$C$28*Timing!$C$29*Timing!I66*Timing!I73*1</f>
        <v>76352820.19880639</v>
      </c>
      <c r="J239" s="23">
        <f>Timing!$C$28*Timing!$C$29*Timing!J66*Timing!J73*1</f>
        <v>76200114.55840877</v>
      </c>
      <c r="K239" s="23">
        <f>Timing!$C$28*Timing!$C$29*Timing!K66*Timing!K73*1</f>
        <v>76047714.32929195</v>
      </c>
      <c r="L239" s="23">
        <f>Timing!$C$28*Timing!$C$29*Timing!L66*Timing!L73*1</f>
        <v>75895618.90063336</v>
      </c>
      <c r="M239" s="23">
        <f>Timing!$C$28*Timing!$C$29*Timing!M66*Timing!M73*1</f>
        <v>75743827.6628321</v>
      </c>
      <c r="N239" s="23">
        <f>Timing!$C$28*Timing!$C$29*Timing!N66*Timing!N73*1</f>
        <v>75592340.00750643</v>
      </c>
      <c r="O239" s="23">
        <f>Timing!$C$28*Timing!$C$29*Timing!O66*Timing!O73*1</f>
        <v>75441155.32749143</v>
      </c>
      <c r="P239" s="23">
        <f>Timing!$C$28*Timing!$C$29*Timing!P66*Timing!P73*1</f>
        <v>75290273.01683643</v>
      </c>
      <c r="Q239" s="23">
        <f>Timing!$C$28*Timing!$C$29*Timing!Q66*Timing!Q73*1</f>
        <v>75139692.47080277</v>
      </c>
      <c r="R239" s="23">
        <f>Timing!$C$28*Timing!$C$29*Timing!R66*Timing!R73*1</f>
        <v>74989413.08586116</v>
      </c>
      <c r="S239" s="23">
        <f>Timing!$C$28*Timing!$C$29*Timing!S66*Timing!S73*1</f>
        <v>74839434.25968945</v>
      </c>
      <c r="T239" s="23">
        <f>Timing!$C$28*Timing!$C$29*Timing!T66*Timing!T73*1</f>
        <v>74689755.39117005</v>
      </c>
      <c r="U239" s="23">
        <f>Timing!$C$28*Timing!$C$29*Timing!U66*Timing!U73*1</f>
        <v>74540375.88038772</v>
      </c>
      <c r="V239" s="23">
        <f>Timing!$C$28*Timing!$C$29*Timing!V66*Timing!V73*1</f>
        <v>74391295.12862694</v>
      </c>
      <c r="W239" s="23">
        <f>Timing!$C$28*Timing!$C$29*Timing!W66*Timing!W73*1</f>
        <v>74242512.53836969</v>
      </c>
      <c r="X239" s="23">
        <f>Timing!$C$28*Timing!$C$29*Timing!X66*Timing!X73*1</f>
        <v>74094027.51329295</v>
      </c>
      <c r="Y239" s="23">
        <f>Timing!$C$28*Timing!$C$29*Timing!Y66*Timing!Y73*1</f>
        <v>73945839.45826636</v>
      </c>
      <c r="Z239" s="23">
        <f>Timing!$C$28*Timing!$C$29*Timing!Z66*Timing!Z73*1</f>
        <v>73797947.77934983</v>
      </c>
      <c r="AA239" s="23">
        <f>Timing!$C$28*Timing!$C$29*Timing!AA66*Timing!AA73*1</f>
        <v>73650351.88379113</v>
      </c>
      <c r="AB239" s="23">
        <f>Timing!$C$28*Timing!$C$29*Timing!AB66*Timing!AB73*1</f>
        <v>73503051.18002355</v>
      </c>
      <c r="AC239" s="23">
        <f>Timing!$C$28*Timing!$C$29*Timing!AC66*Timing!AC73*1</f>
        <v>73356045.07766351</v>
      </c>
      <c r="AD239" s="23">
        <f>Timing!$C$28*Timing!$C$29*Timing!AD66*Timing!AD73*1</f>
        <v>73209332.98750818</v>
      </c>
      <c r="AE239" s="23">
        <f>Timing!$C$28*Timing!$C$29*Timing!AE66*Timing!AE73*1</f>
        <v>36231198.60876028</v>
      </c>
    </row>
    <row r="240">
      <c r="A240" s="6" t="inlineStr">
        <is>
          <t xml:space="preserve">Output sold (not curtailed at negative prices)</t>
        </is>
      </c>
      <c r="B240" s="10" t="inlineStr">
        <is>
          <t xml:space="preserve">kWh</t>
        </is>
      </c>
      <c r="F240" s="23">
        <f>F239*(1-Inputs!$C$23)</f>
        <v>36685445.88758783</v>
      </c>
      <c r="G240" s="23">
        <f>G239*(1-Inputs!$C$23)</f>
        <v>72826192.6547143</v>
      </c>
      <c r="H240" s="23">
        <f>H239*(1-Inputs!$C$23)</f>
        <v>72680540.26940486</v>
      </c>
      <c r="I240" s="23">
        <f>I239*(1-Inputs!$C$23)</f>
        <v>72535179.18886606</v>
      </c>
      <c r="J240" s="23">
        <f>J239*(1-Inputs!$C$23)</f>
        <v>72390108.83048832</v>
      </c>
      <c r="K240" s="23">
        <f>K239*(1-Inputs!$C$23)</f>
        <v>72245328.61282736</v>
      </c>
      <c r="L240" s="23">
        <f>L239*(1-Inputs!$C$23)</f>
        <v>72100837.95560169</v>
      </c>
      <c r="M240" s="23">
        <f>M239*(1-Inputs!$C$23)</f>
        <v>71956636.27969049</v>
      </c>
      <c r="N240" s="23">
        <f>N239*(1-Inputs!$C$23)</f>
        <v>71812723.0071311</v>
      </c>
      <c r="O240" s="23">
        <f>O239*(1-Inputs!$C$23)</f>
        <v>71669097.56111686</v>
      </c>
      <c r="P240" s="23">
        <f>P239*(1-Inputs!$C$23)</f>
        <v>71525759.3659946</v>
      </c>
      <c r="Q240" s="23">
        <f>Q239*(1-Inputs!$C$23)</f>
        <v>71382707.84726262</v>
      </c>
      <c r="R240" s="23">
        <f>R239*(1-Inputs!$C$23)</f>
        <v>71239942.4315681</v>
      </c>
      <c r="S240" s="23">
        <f>S239*(1-Inputs!$C$23)</f>
        <v>71097462.54670498</v>
      </c>
      <c r="T240" s="23">
        <f>T239*(1-Inputs!$C$23)</f>
        <v>70955267.62161155</v>
      </c>
      <c r="U240" s="23">
        <f>U239*(1-Inputs!$C$23)</f>
        <v>70813357.08636834</v>
      </c>
      <c r="V240" s="23">
        <f>V239*(1-Inputs!$C$23)</f>
        <v>70671730.37219559</v>
      </c>
      <c r="W240" s="23">
        <f>W239*(1-Inputs!$C$23)</f>
        <v>70530386.91145119</v>
      </c>
      <c r="X240" s="23">
        <f>X239*(1-Inputs!$C$23)</f>
        <v>70389326.1376283</v>
      </c>
      <c r="Y240" s="23">
        <f>Y239*(1-Inputs!$C$23)</f>
        <v>70248547.48535304</v>
      </c>
      <c r="Z240" s="23">
        <f>Z239*(1-Inputs!$C$23)</f>
        <v>70108050.39038233</v>
      </c>
      <c r="AA240" s="23">
        <f>AA239*(1-Inputs!$C$23)</f>
        <v>69967834.28960158</v>
      </c>
      <c r="AB240" s="23">
        <f>AB239*(1-Inputs!$C$23)</f>
        <v>69827898.62102237</v>
      </c>
      <c r="AC240" s="23">
        <f>AC239*(1-Inputs!$C$23)</f>
        <v>69688242.82378033</v>
      </c>
      <c r="AD240" s="23">
        <f>AD239*(1-Inputs!$C$23)</f>
        <v>69548866.33813277</v>
      </c>
      <c r="AE240" s="23">
        <f>AE239*(1-Inputs!$C$23)</f>
        <v>34419638.67832226</v>
      </c>
    </row>
    <row r="241">
      <c r="A241" s="6" t="inlineStr">
        <is>
          <t xml:space="preserve">Output eligible for the premium</t>
        </is>
      </c>
      <c r="B241" s="10" t="inlineStr">
        <is>
          <t xml:space="preserve">kWh</t>
        </is>
      </c>
      <c r="F241" s="23">
        <f>F240*Timing!F69</f>
        <v>36685445.88758783</v>
      </c>
      <c r="G241" s="23">
        <f>G240*Timing!G69</f>
        <v>72826192.6547143</v>
      </c>
      <c r="H241" s="23">
        <f>H240*Timing!H69</f>
        <v>72680540.26940486</v>
      </c>
      <c r="I241" s="23">
        <f>I240*Timing!I69</f>
        <v>72535179.18886606</v>
      </c>
      <c r="J241" s="23">
        <f>J240*Timing!J69</f>
        <v>72390108.83048832</v>
      </c>
      <c r="K241" s="23">
        <f>K240*Timing!K69</f>
        <v>72245328.61282736</v>
      </c>
      <c r="L241" s="23">
        <f>L240*Timing!L69</f>
        <v>72100837.95560169</v>
      </c>
      <c r="M241" s="23">
        <f>M240*Timing!M69</f>
        <v>71956636.27969049</v>
      </c>
      <c r="N241" s="23">
        <f>N240*Timing!N69</f>
        <v>71812723.0071311</v>
      </c>
      <c r="O241" s="23">
        <f>O240*Timing!O69</f>
        <v>71669097.56111686</v>
      </c>
      <c r="P241" s="23">
        <f>P240*Timing!P69</f>
        <v>71525759.3659946</v>
      </c>
      <c r="Q241" s="23">
        <f>Q240*Timing!Q69</f>
        <v>71382707.84726262</v>
      </c>
      <c r="R241" s="23">
        <f>R240*Timing!R69</f>
        <v>71239942.4315681</v>
      </c>
      <c r="S241" s="23">
        <f>S240*Timing!S69</f>
        <v>71097462.54670498</v>
      </c>
      <c r="T241" s="23">
        <f>T240*Timing!T69</f>
        <v>70955267.62161155</v>
      </c>
      <c r="U241" s="23">
        <f>U240*Timing!U69</f>
        <v>70813357.08636834</v>
      </c>
      <c r="V241" s="23">
        <f>V240*Timing!V69</f>
        <v>70671730.37219559</v>
      </c>
      <c r="W241" s="23">
        <f>W240*Timing!W69</f>
        <v>70530386.91145119</v>
      </c>
      <c r="X241" s="23">
        <f>X240*Timing!X69</f>
        <v>70389326.1376283</v>
      </c>
      <c r="Y241" s="23">
        <f>Y240*Timing!Y69</f>
        <v>70248547.48535304</v>
      </c>
      <c r="Z241" s="23">
        <f>Z240*Timing!Z69</f>
        <v>70108050.39038233</v>
      </c>
      <c r="AA241" s="23">
        <f>AA240*Timing!AA69</f>
        <v>53482262.37479134</v>
      </c>
      <c r="AB241" s="23">
        <f>AB240*Timing!AB69</f>
        <v>0</v>
      </c>
      <c r="AC241" s="23">
        <f>AC240*Timing!AC69</f>
        <v>0</v>
      </c>
      <c r="AD241" s="23">
        <f>AD240*Timing!AD69</f>
        <v>0</v>
      </c>
      <c r="AE241" s="23">
        <f>AE240*Timing!AE69</f>
        <v>0</v>
      </c>
    </row>
    <row r="242">
      <c r="A242" s="6" t="inlineStr">
        <is>
          <t xml:space="preserve">Premium per kWh at the first AW</t>
        </is>
      </c>
      <c r="B242" s="10" t="inlineStr">
        <is>
          <t xml:space="preserve">€/kWh</t>
        </is>
      </c>
      <c r="F242" s="37">
        <f>IF($C$229=1,$C$234-F237,MAX(0,$C$234-F237))</f>
        <v>0</v>
      </c>
      <c r="G242" s="37">
        <f>IF($C$229=1,$C$234-G237,MAX(0,$C$234-G237))</f>
        <v>0</v>
      </c>
      <c r="H242" s="37">
        <f>IF($C$229=1,$C$234-H237,MAX(0,$C$234-H237))</f>
        <v>0</v>
      </c>
      <c r="I242" s="37">
        <f>IF($C$229=1,$C$234-I237,MAX(0,$C$234-I237))</f>
        <v>0</v>
      </c>
      <c r="J242" s="37">
        <f>IF($C$229=1,$C$234-J237,MAX(0,$C$234-J237))</f>
        <v>0</v>
      </c>
      <c r="K242" s="37">
        <f>IF($C$229=1,$C$234-K237,MAX(0,$C$234-K237))</f>
        <v>0</v>
      </c>
      <c r="L242" s="37">
        <f>IF($C$229=1,$C$234-L237,MAX(0,$C$234-L237))</f>
        <v>0</v>
      </c>
      <c r="M242" s="37">
        <f>IF($C$229=1,$C$234-M237,MAX(0,$C$234-M237))</f>
        <v>0</v>
      </c>
      <c r="N242" s="37">
        <f>IF($C$229=1,$C$234-N237,MAX(0,$C$234-N237))</f>
        <v>0</v>
      </c>
      <c r="O242" s="37">
        <f>IF($C$229=1,$C$234-O237,MAX(0,$C$234-O237))</f>
        <v>0</v>
      </c>
      <c r="P242" s="37">
        <f>IF($C$229=1,$C$234-P237,MAX(0,$C$234-P237))</f>
        <v>0</v>
      </c>
      <c r="Q242" s="37">
        <f>IF($C$229=1,$C$234-Q237,MAX(0,$C$234-Q237))</f>
        <v>0</v>
      </c>
      <c r="R242" s="37">
        <f>IF($C$229=1,$C$234-R237,MAX(0,$C$234-R237))</f>
        <v>0</v>
      </c>
      <c r="S242" s="37">
        <f>IF($C$229=1,$C$234-S237,MAX(0,$C$234-S237))</f>
        <v>0</v>
      </c>
      <c r="T242" s="37">
        <f>IF($C$229=1,$C$234-T237,MAX(0,$C$234-T237))</f>
        <v>0</v>
      </c>
      <c r="U242" s="37">
        <f>IF($C$229=1,$C$234-U237,MAX(0,$C$234-U237))</f>
        <v>0</v>
      </c>
      <c r="V242" s="37">
        <f>IF($C$229=1,$C$234-V237,MAX(0,$C$234-V237))</f>
        <v>0</v>
      </c>
      <c r="W242" s="37">
        <f>IF($C$229=1,$C$234-W237,MAX(0,$C$234-W237))</f>
        <v>0</v>
      </c>
      <c r="X242" s="37">
        <f>IF($C$229=1,$C$234-X237,MAX(0,$C$234-X237))</f>
        <v>0</v>
      </c>
      <c r="Y242" s="37">
        <f>IF($C$229=1,$C$234-Y237,MAX(0,$C$234-Y237))</f>
        <v>0</v>
      </c>
      <c r="Z242" s="37">
        <f>IF($C$229=1,$C$234-Z237,MAX(0,$C$234-Z237))</f>
        <v>0</v>
      </c>
      <c r="AA242" s="37">
        <f>IF($C$229=1,$C$234-AA237,MAX(0,$C$234-AA237))</f>
        <v>0</v>
      </c>
      <c r="AB242" s="37">
        <f>IF($C$229=1,$C$234-AB237,MAX(0,$C$234-AB237))</f>
        <v>0</v>
      </c>
      <c r="AC242" s="37">
        <f>IF($C$229=1,$C$234-AC237,MAX(0,$C$234-AC237))</f>
        <v>0</v>
      </c>
      <c r="AD242" s="37">
        <f>IF($C$229=1,$C$234-AD237,MAX(0,$C$234-AD237))</f>
        <v>0</v>
      </c>
      <c r="AE242" s="37">
        <f>IF($C$229=1,$C$234-AE237,MAX(0,$C$234-AE237))</f>
        <v>0</v>
      </c>
    </row>
    <row r="243">
      <c r="A243" s="6" t="inlineStr">
        <is>
          <t xml:space="preserve">Premium per kWh at the reviewed AW</t>
        </is>
      </c>
      <c r="B243" s="10" t="inlineStr">
        <is>
          <t xml:space="preserve">€/kWh</t>
        </is>
      </c>
      <c r="F243" s="37">
        <f>IF($C$229=1,$C$235-F237,MAX(0,$C$235-F237))</f>
        <v>0</v>
      </c>
      <c r="G243" s="37">
        <f>IF($C$229=1,$C$235-G237,MAX(0,$C$235-G237))</f>
        <v>0</v>
      </c>
      <c r="H243" s="37">
        <f>IF($C$229=1,$C$235-H237,MAX(0,$C$235-H237))</f>
        <v>0</v>
      </c>
      <c r="I243" s="37">
        <f>IF($C$229=1,$C$235-I237,MAX(0,$C$235-I237))</f>
        <v>0</v>
      </c>
      <c r="J243" s="37">
        <f>IF($C$229=1,$C$235-J237,MAX(0,$C$235-J237))</f>
        <v>0</v>
      </c>
      <c r="K243" s="37">
        <f>IF($C$229=1,$C$235-K237,MAX(0,$C$235-K237))</f>
        <v>0</v>
      </c>
      <c r="L243" s="37">
        <f>IF($C$229=1,$C$235-L237,MAX(0,$C$235-L237))</f>
        <v>0</v>
      </c>
      <c r="M243" s="37">
        <f>IF($C$229=1,$C$235-M237,MAX(0,$C$235-M237))</f>
        <v>0</v>
      </c>
      <c r="N243" s="37">
        <f>IF($C$229=1,$C$235-N237,MAX(0,$C$235-N237))</f>
        <v>0</v>
      </c>
      <c r="O243" s="37">
        <f>IF($C$229=1,$C$235-O237,MAX(0,$C$235-O237))</f>
        <v>0</v>
      </c>
      <c r="P243" s="37">
        <f>IF($C$229=1,$C$235-P237,MAX(0,$C$235-P237))</f>
        <v>0</v>
      </c>
      <c r="Q243" s="37">
        <f>IF($C$229=1,$C$235-Q237,MAX(0,$C$235-Q237))</f>
        <v>0</v>
      </c>
      <c r="R243" s="37">
        <f>IF($C$229=1,$C$235-R237,MAX(0,$C$235-R237))</f>
        <v>0</v>
      </c>
      <c r="S243" s="37">
        <f>IF($C$229=1,$C$235-S237,MAX(0,$C$235-S237))</f>
        <v>0</v>
      </c>
      <c r="T243" s="37">
        <f>IF($C$229=1,$C$235-T237,MAX(0,$C$235-T237))</f>
        <v>0</v>
      </c>
      <c r="U243" s="37">
        <f>IF($C$229=1,$C$235-U237,MAX(0,$C$235-U237))</f>
        <v>0</v>
      </c>
      <c r="V243" s="37">
        <f>IF($C$229=1,$C$235-V237,MAX(0,$C$235-V237))</f>
        <v>0</v>
      </c>
      <c r="W243" s="37">
        <f>IF($C$229=1,$C$235-W237,MAX(0,$C$235-W237))</f>
        <v>0</v>
      </c>
      <c r="X243" s="37">
        <f>IF($C$229=1,$C$235-X237,MAX(0,$C$235-X237))</f>
        <v>0</v>
      </c>
      <c r="Y243" s="37">
        <f>IF($C$229=1,$C$235-Y237,MAX(0,$C$235-Y237))</f>
        <v>0</v>
      </c>
      <c r="Z243" s="37">
        <f>IF($C$229=1,$C$235-Z237,MAX(0,$C$235-Z237))</f>
        <v>0</v>
      </c>
      <c r="AA243" s="37">
        <f>IF($C$229=1,$C$235-AA237,MAX(0,$C$235-AA237))</f>
        <v>0</v>
      </c>
      <c r="AB243" s="37">
        <f>IF($C$229=1,$C$235-AB237,MAX(0,$C$235-AB237))</f>
        <v>0</v>
      </c>
      <c r="AC243" s="37">
        <f>IF($C$229=1,$C$235-AC237,MAX(0,$C$235-AC237))</f>
        <v>0</v>
      </c>
      <c r="AD243" s="37">
        <f>IF($C$229=1,$C$235-AD237,MAX(0,$C$235-AD237))</f>
        <v>0</v>
      </c>
      <c r="AE243" s="37">
        <f>IF($C$229=1,$C$235-AE237,MAX(0,$C$235-AE237))</f>
        <v>0</v>
      </c>
    </row>
    <row r="244">
      <c r="A244" s="6" t="inlineStr">
        <is>
          <t xml:space="preserve">Market premium per kWh (Anlage 1 EEG)</t>
        </is>
      </c>
      <c r="B244" s="10" t="inlineStr">
        <is>
          <t xml:space="preserve">€/kWh</t>
        </is>
      </c>
      <c r="F244" s="37">
        <f>Timing!F77*F242+(Timing!F78+Timing!F79+Timing!F80)*F243</f>
        <v>0</v>
      </c>
      <c r="G244" s="37">
        <f>Timing!G77*G242+(Timing!G78+Timing!G79+Timing!G80)*G243</f>
        <v>0</v>
      </c>
      <c r="H244" s="37">
        <f>Timing!H77*H242+(Timing!H78+Timing!H79+Timing!H80)*H243</f>
        <v>0</v>
      </c>
      <c r="I244" s="37">
        <f>Timing!I77*I242+(Timing!I78+Timing!I79+Timing!I80)*I243</f>
        <v>0</v>
      </c>
      <c r="J244" s="37">
        <f>Timing!J77*J242+(Timing!J78+Timing!J79+Timing!J80)*J243</f>
        <v>0</v>
      </c>
      <c r="K244" s="37">
        <f>Timing!K77*K242+(Timing!K78+Timing!K79+Timing!K80)*K243</f>
        <v>0</v>
      </c>
      <c r="L244" s="37">
        <f>Timing!L77*L242+(Timing!L78+Timing!L79+Timing!L80)*L243</f>
        <v>0</v>
      </c>
      <c r="M244" s="37">
        <f>Timing!M77*M242+(Timing!M78+Timing!M79+Timing!M80)*M243</f>
        <v>0</v>
      </c>
      <c r="N244" s="37">
        <f>Timing!N77*N242+(Timing!N78+Timing!N79+Timing!N80)*N243</f>
        <v>0</v>
      </c>
      <c r="O244" s="37">
        <f>Timing!O77*O242+(Timing!O78+Timing!O79+Timing!O80)*O243</f>
        <v>0</v>
      </c>
      <c r="P244" s="37">
        <f>Timing!P77*P242+(Timing!P78+Timing!P79+Timing!P80)*P243</f>
        <v>0</v>
      </c>
      <c r="Q244" s="37">
        <f>Timing!Q77*Q242+(Timing!Q78+Timing!Q79+Timing!Q80)*Q243</f>
        <v>0</v>
      </c>
      <c r="R244" s="37">
        <f>Timing!R77*R242+(Timing!R78+Timing!R79+Timing!R80)*R243</f>
        <v>0</v>
      </c>
      <c r="S244" s="37">
        <f>Timing!S77*S242+(Timing!S78+Timing!S79+Timing!S80)*S243</f>
        <v>0</v>
      </c>
      <c r="T244" s="37">
        <f>Timing!T77*T242+(Timing!T78+Timing!T79+Timing!T80)*T243</f>
        <v>0</v>
      </c>
      <c r="U244" s="37">
        <f>Timing!U77*U242+(Timing!U78+Timing!U79+Timing!U80)*U243</f>
        <v>0</v>
      </c>
      <c r="V244" s="37">
        <f>Timing!V77*V242+(Timing!V78+Timing!V79+Timing!V80)*V243</f>
        <v>0</v>
      </c>
      <c r="W244" s="37">
        <f>Timing!W77*W242+(Timing!W78+Timing!W79+Timing!W80)*W243</f>
        <v>0</v>
      </c>
      <c r="X244" s="37">
        <f>Timing!X77*X242+(Timing!X78+Timing!X79+Timing!X80)*X243</f>
        <v>0</v>
      </c>
      <c r="Y244" s="37">
        <f>Timing!Y77*Y242+(Timing!Y78+Timing!Y79+Timing!Y80)*Y243</f>
        <v>0</v>
      </c>
      <c r="Z244" s="37">
        <f>Timing!Z77*Z242+(Timing!Z78+Timing!Z79+Timing!Z80)*Z243</f>
        <v>0</v>
      </c>
      <c r="AA244" s="37">
        <f>Timing!AA77*AA242+(Timing!AA78+Timing!AA79+Timing!AA80)*AA243</f>
        <v>0</v>
      </c>
      <c r="AB244" s="37">
        <f>Timing!AB77*AB242+(Timing!AB78+Timing!AB79+Timing!AB80)*AB243</f>
        <v>0</v>
      </c>
      <c r="AC244" s="37">
        <f>Timing!AC77*AC242+(Timing!AC78+Timing!AC79+Timing!AC80)*AC243</f>
        <v>0</v>
      </c>
      <c r="AD244" s="37">
        <f>Timing!AD77*AD242+(Timing!AD78+Timing!AD79+Timing!AD80)*AD243</f>
        <v>0</v>
      </c>
      <c r="AE244" s="37">
        <f>Timing!AE77*AE242+(Timing!AE78+Timing!AE79+Timing!AE80)*AE243</f>
        <v>0</v>
      </c>
    </row>
    <row r="245">
      <c r="A245" s="6" t="inlineStr">
        <is>
          <t xml:space="preserve">Advance per kWh (previous year's market value, never negative)</t>
        </is>
      </c>
      <c r="B245" s="10" t="inlineStr">
        <is>
          <t xml:space="preserve">€/kWh</t>
        </is>
      </c>
      <c r="F245" s="37">
        <f>Timing!F77*MAX(0,$C$234-F238)+(Timing!F78+Timing!F79+Timing!F80)*MAX(0,$C$235-F238)</f>
        <v>0</v>
      </c>
      <c r="G245" s="37">
        <f>Timing!G77*MAX(0,$C$234-G238)+(Timing!G78+Timing!G79+Timing!G80)*MAX(0,$C$235-G238)</f>
        <v>0</v>
      </c>
      <c r="H245" s="37">
        <f>Timing!H77*MAX(0,$C$234-H238)+(Timing!H78+Timing!H79+Timing!H80)*MAX(0,$C$235-H238)</f>
        <v>0</v>
      </c>
      <c r="I245" s="37">
        <f>Timing!I77*MAX(0,$C$234-I238)+(Timing!I78+Timing!I79+Timing!I80)*MAX(0,$C$235-I238)</f>
        <v>0</v>
      </c>
      <c r="J245" s="37">
        <f>Timing!J77*MAX(0,$C$234-J238)+(Timing!J78+Timing!J79+Timing!J80)*MAX(0,$C$235-J238)</f>
        <v>0</v>
      </c>
      <c r="K245" s="37">
        <f>Timing!K77*MAX(0,$C$234-K238)+(Timing!K78+Timing!K79+Timing!K80)*MAX(0,$C$235-K238)</f>
        <v>0</v>
      </c>
      <c r="L245" s="37">
        <f>Timing!L77*MAX(0,$C$234-L238)+(Timing!L78+Timing!L79+Timing!L80)*MAX(0,$C$235-L238)</f>
        <v>0</v>
      </c>
      <c r="M245" s="37">
        <f>Timing!M77*MAX(0,$C$234-M238)+(Timing!M78+Timing!M79+Timing!M80)*MAX(0,$C$235-M238)</f>
        <v>0</v>
      </c>
      <c r="N245" s="37">
        <f>Timing!N77*MAX(0,$C$234-N238)+(Timing!N78+Timing!N79+Timing!N80)*MAX(0,$C$235-N238)</f>
        <v>0</v>
      </c>
      <c r="O245" s="37">
        <f>Timing!O77*MAX(0,$C$234-O238)+(Timing!O78+Timing!O79+Timing!O80)*MAX(0,$C$235-O238)</f>
        <v>0</v>
      </c>
      <c r="P245" s="37">
        <f>Timing!P77*MAX(0,$C$234-P238)+(Timing!P78+Timing!P79+Timing!P80)*MAX(0,$C$235-P238)</f>
        <v>0</v>
      </c>
      <c r="Q245" s="37">
        <f>Timing!Q77*MAX(0,$C$234-Q238)+(Timing!Q78+Timing!Q79+Timing!Q80)*MAX(0,$C$235-Q238)</f>
        <v>0</v>
      </c>
      <c r="R245" s="37">
        <f>Timing!R77*MAX(0,$C$234-R238)+(Timing!R78+Timing!R79+Timing!R80)*MAX(0,$C$235-R238)</f>
        <v>0</v>
      </c>
      <c r="S245" s="37">
        <f>Timing!S77*MAX(0,$C$234-S238)+(Timing!S78+Timing!S79+Timing!S80)*MAX(0,$C$235-S238)</f>
        <v>0</v>
      </c>
      <c r="T245" s="37">
        <f>Timing!T77*MAX(0,$C$234-T238)+(Timing!T78+Timing!T79+Timing!T80)*MAX(0,$C$235-T238)</f>
        <v>0</v>
      </c>
      <c r="U245" s="37">
        <f>Timing!U77*MAX(0,$C$234-U238)+(Timing!U78+Timing!U79+Timing!U80)*MAX(0,$C$235-U238)</f>
        <v>0</v>
      </c>
      <c r="V245" s="37">
        <f>Timing!V77*MAX(0,$C$234-V238)+(Timing!V78+Timing!V79+Timing!V80)*MAX(0,$C$235-V238)</f>
        <v>0</v>
      </c>
      <c r="W245" s="37">
        <f>Timing!W77*MAX(0,$C$234-W238)+(Timing!W78+Timing!W79+Timing!W80)*MAX(0,$C$235-W238)</f>
        <v>0</v>
      </c>
      <c r="X245" s="37">
        <f>Timing!X77*MAX(0,$C$234-X238)+(Timing!X78+Timing!X79+Timing!X80)*MAX(0,$C$235-X238)</f>
        <v>0</v>
      </c>
      <c r="Y245" s="37">
        <f>Timing!Y77*MAX(0,$C$234-Y238)+(Timing!Y78+Timing!Y79+Timing!Y80)*MAX(0,$C$235-Y238)</f>
        <v>0</v>
      </c>
      <c r="Z245" s="37">
        <f>Timing!Z77*MAX(0,$C$234-Z238)+(Timing!Z78+Timing!Z79+Timing!Z80)*MAX(0,$C$235-Z238)</f>
        <v>0</v>
      </c>
      <c r="AA245" s="37">
        <f>Timing!AA77*MAX(0,$C$234-AA238)+(Timing!AA78+Timing!AA79+Timing!AA80)*MAX(0,$C$235-AA238)</f>
        <v>0</v>
      </c>
      <c r="AB245" s="37">
        <f>Timing!AB77*MAX(0,$C$234-AB238)+(Timing!AB78+Timing!AB79+Timing!AB80)*MAX(0,$C$235-AB238)</f>
        <v>0</v>
      </c>
      <c r="AC245" s="37">
        <f>Timing!AC77*MAX(0,$C$234-AC238)+(Timing!AC78+Timing!AC79+Timing!AC80)*MAX(0,$C$235-AC238)</f>
        <v>0</v>
      </c>
      <c r="AD245" s="37">
        <f>Timing!AD77*MAX(0,$C$234-AD238)+(Timing!AD78+Timing!AD79+Timing!AD80)*MAX(0,$C$235-AD238)</f>
        <v>0</v>
      </c>
      <c r="AE245" s="37">
        <f>Timing!AE77*MAX(0,$C$234-AE238)+(Timing!AE78+Timing!AE79+Timing!AE80)*MAX(0,$C$235-AE238)</f>
        <v>0</v>
      </c>
    </row>
    <row r="246">
      <c r="A246" s="6" t="inlineStr">
        <is>
          <t xml:space="preserve">Share of support days with a positive premium</t>
        </is>
      </c>
      <c r="F246" s="21">
        <f>Timing!F77*IF(F242&gt;0,1,0)+(Timing!F78+Timing!F79+Timing!F80)*IF(F243&gt;0,1,0)</f>
        <v>0</v>
      </c>
      <c r="G246" s="21">
        <f>Timing!G77*IF(G242&gt;0,1,0)+(Timing!G78+Timing!G79+Timing!G80)*IF(G243&gt;0,1,0)</f>
        <v>0</v>
      </c>
      <c r="H246" s="21">
        <f>Timing!H77*IF(H242&gt;0,1,0)+(Timing!H78+Timing!H79+Timing!H80)*IF(H243&gt;0,1,0)</f>
        <v>0</v>
      </c>
      <c r="I246" s="21">
        <f>Timing!I77*IF(I242&gt;0,1,0)+(Timing!I78+Timing!I79+Timing!I80)*IF(I243&gt;0,1,0)</f>
        <v>0</v>
      </c>
      <c r="J246" s="21">
        <f>Timing!J77*IF(J242&gt;0,1,0)+(Timing!J78+Timing!J79+Timing!J80)*IF(J243&gt;0,1,0)</f>
        <v>0</v>
      </c>
      <c r="K246" s="21">
        <f>Timing!K77*IF(K242&gt;0,1,0)+(Timing!K78+Timing!K79+Timing!K80)*IF(K243&gt;0,1,0)</f>
        <v>0</v>
      </c>
      <c r="L246" s="21">
        <f>Timing!L77*IF(L242&gt;0,1,0)+(Timing!L78+Timing!L79+Timing!L80)*IF(L243&gt;0,1,0)</f>
        <v>0</v>
      </c>
      <c r="M246" s="21">
        <f>Timing!M77*IF(M242&gt;0,1,0)+(Timing!M78+Timing!M79+Timing!M80)*IF(M243&gt;0,1,0)</f>
        <v>0</v>
      </c>
      <c r="N246" s="21">
        <f>Timing!N77*IF(N242&gt;0,1,0)+(Timing!N78+Timing!N79+Timing!N80)*IF(N243&gt;0,1,0)</f>
        <v>0</v>
      </c>
      <c r="O246" s="21">
        <f>Timing!O77*IF(O242&gt;0,1,0)+(Timing!O78+Timing!O79+Timing!O80)*IF(O243&gt;0,1,0)</f>
        <v>0</v>
      </c>
      <c r="P246" s="21">
        <f>Timing!P77*IF(P242&gt;0,1,0)+(Timing!P78+Timing!P79+Timing!P80)*IF(P243&gt;0,1,0)</f>
        <v>0</v>
      </c>
      <c r="Q246" s="21">
        <f>Timing!Q77*IF(Q242&gt;0,1,0)+(Timing!Q78+Timing!Q79+Timing!Q80)*IF(Q243&gt;0,1,0)</f>
        <v>0</v>
      </c>
      <c r="R246" s="21">
        <f>Timing!R77*IF(R242&gt;0,1,0)+(Timing!R78+Timing!R79+Timing!R80)*IF(R243&gt;0,1,0)</f>
        <v>0</v>
      </c>
      <c r="S246" s="21">
        <f>Timing!S77*IF(S242&gt;0,1,0)+(Timing!S78+Timing!S79+Timing!S80)*IF(S243&gt;0,1,0)</f>
        <v>0</v>
      </c>
      <c r="T246" s="21">
        <f>Timing!T77*IF(T242&gt;0,1,0)+(Timing!T78+Timing!T79+Timing!T80)*IF(T243&gt;0,1,0)</f>
        <v>0</v>
      </c>
      <c r="U246" s="21">
        <f>Timing!U77*IF(U242&gt;0,1,0)+(Timing!U78+Timing!U79+Timing!U80)*IF(U243&gt;0,1,0)</f>
        <v>0</v>
      </c>
      <c r="V246" s="21">
        <f>Timing!V77*IF(V242&gt;0,1,0)+(Timing!V78+Timing!V79+Timing!V80)*IF(V243&gt;0,1,0)</f>
        <v>0</v>
      </c>
      <c r="W246" s="21">
        <f>Timing!W77*IF(W242&gt;0,1,0)+(Timing!W78+Timing!W79+Timing!W80)*IF(W243&gt;0,1,0)</f>
        <v>0</v>
      </c>
      <c r="X246" s="21">
        <f>Timing!X77*IF(X242&gt;0,1,0)+(Timing!X78+Timing!X79+Timing!X80)*IF(X243&gt;0,1,0)</f>
        <v>0</v>
      </c>
      <c r="Y246" s="21">
        <f>Timing!Y77*IF(Y242&gt;0,1,0)+(Timing!Y78+Timing!Y79+Timing!Y80)*IF(Y243&gt;0,1,0)</f>
        <v>0</v>
      </c>
      <c r="Z246" s="21">
        <f>Timing!Z77*IF(Z242&gt;0,1,0)+(Timing!Z78+Timing!Z79+Timing!Z80)*IF(Z243&gt;0,1,0)</f>
        <v>0</v>
      </c>
      <c r="AA246" s="21">
        <f>Timing!AA77*IF(AA242&gt;0,1,0)+(Timing!AA78+Timing!AA79+Timing!AA80)*IF(AA243&gt;0,1,0)</f>
        <v>0</v>
      </c>
      <c r="AB246" s="21">
        <f>Timing!AB77*IF(AB242&gt;0,1,0)+(Timing!AB78+Timing!AB79+Timing!AB80)*IF(AB243&gt;0,1,0)</f>
        <v>0</v>
      </c>
      <c r="AC246" s="21">
        <f>Timing!AC77*IF(AC242&gt;0,1,0)+(Timing!AC78+Timing!AC79+Timing!AC80)*IF(AC243&gt;0,1,0)</f>
        <v>0</v>
      </c>
      <c r="AD246" s="21">
        <f>Timing!AD77*IF(AD242&gt;0,1,0)+(Timing!AD78+Timing!AD79+Timing!AD80)*IF(AD243&gt;0,1,0)</f>
        <v>0</v>
      </c>
      <c r="AE246" s="21">
        <f>Timing!AE77*IF(AE242&gt;0,1,0)+(Timing!AE78+Timing!AE79+Timing!AE80)*IF(AE243&gt;0,1,0)</f>
        <v>0</v>
      </c>
    </row>
    <row r="247">
      <c r="A247" s="6" t="inlineStr">
        <is>
          <t xml:space="preserve">AW in force (day-weighted)</t>
        </is>
      </c>
      <c r="B247" s="10" t="inlineStr">
        <is>
          <t xml:space="preserve">€/kWh</t>
        </is>
      </c>
      <c r="F247" s="37">
        <f>IF(Timing!F69&gt;0,Timing!F77*$C$234+(Timing!F78+Timing!F79+Timing!F80)*$C$235,$C$235)</f>
        <v>0.063</v>
      </c>
      <c r="G247" s="37">
        <f>IF(Timing!G69&gt;0,Timing!G77*$C$234+(Timing!G78+Timing!G79+Timing!G80)*$C$235,$C$235)</f>
        <v>0.063</v>
      </c>
      <c r="H247" s="37">
        <f>IF(Timing!H69&gt;0,Timing!H77*$C$234+(Timing!H78+Timing!H79+Timing!H80)*$C$235,$C$235)</f>
        <v>0.063</v>
      </c>
      <c r="I247" s="37">
        <f>IF(Timing!I69&gt;0,Timing!I77*$C$234+(Timing!I78+Timing!I79+Timing!I80)*$C$235,$C$235)</f>
        <v>0.063</v>
      </c>
      <c r="J247" s="37">
        <f>IF(Timing!J69&gt;0,Timing!J77*$C$234+(Timing!J78+Timing!J79+Timing!J80)*$C$235,$C$235)</f>
        <v>0.063</v>
      </c>
      <c r="K247" s="37">
        <f>IF(Timing!K69&gt;0,Timing!K77*$C$234+(Timing!K78+Timing!K79+Timing!K80)*$C$235,$C$235)</f>
        <v>0.063</v>
      </c>
      <c r="L247" s="37">
        <f>IF(Timing!L69&gt;0,Timing!L77*$C$234+(Timing!L78+Timing!L79+Timing!L80)*$C$235,$C$235)</f>
        <v>0.063</v>
      </c>
      <c r="M247" s="37">
        <f>IF(Timing!M69&gt;0,Timing!M77*$C$234+(Timing!M78+Timing!M79+Timing!M80)*$C$235,$C$235)</f>
        <v>0.063</v>
      </c>
      <c r="N247" s="37">
        <f>IF(Timing!N69&gt;0,Timing!N77*$C$234+(Timing!N78+Timing!N79+Timing!N80)*$C$235,$C$235)</f>
        <v>0.063</v>
      </c>
      <c r="O247" s="37">
        <f>IF(Timing!O69&gt;0,Timing!O77*$C$234+(Timing!O78+Timing!O79+Timing!O80)*$C$235,$C$235)</f>
        <v>0.063</v>
      </c>
      <c r="P247" s="37">
        <f>IF(Timing!P69&gt;0,Timing!P77*$C$234+(Timing!P78+Timing!P79+Timing!P80)*$C$235,$C$235)</f>
        <v>0.063</v>
      </c>
      <c r="Q247" s="37">
        <f>IF(Timing!Q69&gt;0,Timing!Q77*$C$234+(Timing!Q78+Timing!Q79+Timing!Q80)*$C$235,$C$235)</f>
        <v>0.063</v>
      </c>
      <c r="R247" s="37">
        <f>IF(Timing!R69&gt;0,Timing!R77*$C$234+(Timing!R78+Timing!R79+Timing!R80)*$C$235,$C$235)</f>
        <v>0.063</v>
      </c>
      <c r="S247" s="37">
        <f>IF(Timing!S69&gt;0,Timing!S77*$C$234+(Timing!S78+Timing!S79+Timing!S80)*$C$235,$C$235)</f>
        <v>0.063</v>
      </c>
      <c r="T247" s="37">
        <f>IF(Timing!T69&gt;0,Timing!T77*$C$234+(Timing!T78+Timing!T79+Timing!T80)*$C$235,$C$235)</f>
        <v>0.063</v>
      </c>
      <c r="U247" s="37">
        <f>IF(Timing!U69&gt;0,Timing!U77*$C$234+(Timing!U78+Timing!U79+Timing!U80)*$C$235,$C$235)</f>
        <v>0.063</v>
      </c>
      <c r="V247" s="37">
        <f>IF(Timing!V69&gt;0,Timing!V77*$C$234+(Timing!V78+Timing!V79+Timing!V80)*$C$235,$C$235)</f>
        <v>0.063</v>
      </c>
      <c r="W247" s="37">
        <f>IF(Timing!W69&gt;0,Timing!W77*$C$234+(Timing!W78+Timing!W79+Timing!W80)*$C$235,$C$235)</f>
        <v>0.063</v>
      </c>
      <c r="X247" s="37">
        <f>IF(Timing!X69&gt;0,Timing!X77*$C$234+(Timing!X78+Timing!X79+Timing!X80)*$C$235,$C$235)</f>
        <v>0.063</v>
      </c>
      <c r="Y247" s="37">
        <f>IF(Timing!Y69&gt;0,Timing!Y77*$C$234+(Timing!Y78+Timing!Y79+Timing!Y80)*$C$235,$C$235)</f>
        <v>0.063</v>
      </c>
      <c r="Z247" s="37">
        <f>IF(Timing!Z69&gt;0,Timing!Z77*$C$234+(Timing!Z78+Timing!Z79+Timing!Z80)*$C$235,$C$235)</f>
        <v>0.063</v>
      </c>
      <c r="AA247" s="37">
        <f>IF(Timing!AA69&gt;0,Timing!AA77*$C$234+(Timing!AA78+Timing!AA79+Timing!AA80)*$C$235,$C$235)</f>
        <v>0.063</v>
      </c>
      <c r="AB247" s="37">
        <f>IF(Timing!AB69&gt;0,Timing!AB77*$C$234+(Timing!AB78+Timing!AB79+Timing!AB80)*$C$235,$C$235)</f>
        <v>0.063</v>
      </c>
      <c r="AC247" s="37">
        <f>IF(Timing!AC69&gt;0,Timing!AC77*$C$234+(Timing!AC78+Timing!AC79+Timing!AC80)*$C$235,$C$235)</f>
        <v>0.063</v>
      </c>
      <c r="AD247" s="37">
        <f>IF(Timing!AD69&gt;0,Timing!AD77*$C$234+(Timing!AD78+Timing!AD79+Timing!AD80)*$C$235,$C$235)</f>
        <v>0.063</v>
      </c>
      <c r="AE247" s="37">
        <f>IF(Timing!AE69&gt;0,Timing!AE77*$C$234+(Timing!AE78+Timing!AE79+Timing!AE80)*$C$235,$C$235)</f>
        <v>0.063</v>
      </c>
    </row>
    <row r="248">
      <c r="A248" s="6" t="inlineStr">
        <is>
          <t xml:space="preserve">Revenue: market (floor case: up to the AW on output sold)</t>
        </is>
      </c>
      <c r="B248" s="10" t="inlineStr">
        <is>
          <t xml:space="preserve">€</t>
        </is>
      </c>
      <c r="F248" s="23">
        <f>IF($C$228=1,F240*Timing!F69*(Timing!F77*MIN(F237,$C$234)+(Timing!F78+Timing!F79+Timing!F80)*MIN(F237,$C$235)),F239*F237*Timing!F69)</f>
        <v>2311183.0909180334</v>
      </c>
      <c r="G248" s="23">
        <f>IF($C$228=1,G240*Timing!G69*(Timing!G77*MIN(G237,$C$234)+(Timing!G78+Timing!G79+Timing!G80)*MIN(G237,$C$235)),G239*G237*Timing!G69)</f>
        <v>4588050.137247001</v>
      </c>
      <c r="H248" s="23">
        <f>IF($C$228=1,H240*Timing!H69*(Timing!H77*MIN(H237,$C$234)+(Timing!H78+Timing!H79+Timing!H80)*MIN(H237,$C$235)),H239*H237*Timing!H69)</f>
        <v>4578874.036972506</v>
      </c>
      <c r="I248" s="23">
        <f>IF($C$228=1,I240*Timing!I69*(Timing!I77*MIN(I237,$C$234)+(Timing!I78+Timing!I79+Timing!I80)*MIN(I237,$C$235)),I239*I237*Timing!I69)</f>
        <v>4569716.288898562</v>
      </c>
      <c r="J248" s="23">
        <f>IF($C$228=1,J240*Timing!J69*(Timing!J77*MIN(J237,$C$234)+(Timing!J78+Timing!J79+Timing!J80)*MIN(J237,$C$235)),J239*J237*Timing!J69)</f>
        <v>4560576.856320765</v>
      </c>
      <c r="K248" s="23">
        <f>IF($C$228=1,K240*Timing!K69*(Timing!K77*MIN(K237,$C$234)+(Timing!K78+Timing!K79+Timing!K80)*MIN(K237,$C$235)),K239*K237*Timing!K69)</f>
        <v>4551455.702608123</v>
      </c>
      <c r="L248" s="23">
        <f>IF($C$228=1,L240*Timing!L69*(Timing!L77*MIN(L237,$C$234)+(Timing!L78+Timing!L79+Timing!L80)*MIN(L237,$C$235)),L239*L237*Timing!L69)</f>
        <v>4542352.7912029065</v>
      </c>
      <c r="M248" s="23">
        <f>IF($C$228=1,M240*Timing!M69*(Timing!M77*MIN(M237,$C$234)+(Timing!M78+Timing!M79+Timing!M80)*MIN(M237,$C$235)),M239*M237*Timing!M69)</f>
        <v>4533268.085620501</v>
      </c>
      <c r="N248" s="23">
        <f>IF($C$228=1,N240*Timing!N69*(Timing!N77*MIN(N237,$C$234)+(Timing!N78+Timing!N79+Timing!N80)*MIN(N237,$C$235)),N239*N237*Timing!N69)</f>
        <v>4524201.549449259</v>
      </c>
      <c r="O248" s="23">
        <f>IF($C$228=1,O240*Timing!O69*(Timing!O77*MIN(O237,$C$234)+(Timing!O78+Timing!O79+Timing!O80)*MIN(O237,$C$235)),O239*O237*Timing!O69)</f>
        <v>4515153.146350362</v>
      </c>
      <c r="P248" s="23">
        <f>IF($C$228=1,P240*Timing!P69*(Timing!P77*MIN(P237,$C$234)+(Timing!P78+Timing!P79+Timing!P80)*MIN(P237,$C$235)),P239*P237*Timing!P69)</f>
        <v>4506122.84005766</v>
      </c>
      <c r="Q248" s="23">
        <f>IF($C$228=1,Q240*Timing!Q69*(Timing!Q77*MIN(Q237,$C$234)+(Timing!Q78+Timing!Q79+Timing!Q80)*MIN(Q237,$C$235)),Q239*Q237*Timing!Q69)</f>
        <v>4497110.594377545</v>
      </c>
      <c r="R248" s="23">
        <f>IF($C$228=1,R240*Timing!R69*(Timing!R77*MIN(R237,$C$234)+(Timing!R78+Timing!R79+Timing!R80)*MIN(R237,$C$235)),R239*R237*Timing!R69)</f>
        <v>4488116.37318879</v>
      </c>
      <c r="S248" s="23">
        <f>IF($C$228=1,S240*Timing!S69*(Timing!S77*MIN(S237,$C$234)+(Timing!S78+Timing!S79+Timing!S80)*MIN(S237,$C$235)),S239*S237*Timing!S69)</f>
        <v>4479140.140442413</v>
      </c>
      <c r="T248" s="23">
        <f>IF($C$228=1,T240*Timing!T69*(Timing!T77*MIN(T237,$C$234)+(Timing!T78+Timing!T79+Timing!T80)*MIN(T237,$C$235)),T239*T237*Timing!T69)</f>
        <v>4470181.860161528</v>
      </c>
      <c r="U248" s="23">
        <f>IF($C$228=1,U240*Timing!U69*(Timing!U77*MIN(U237,$C$234)+(Timing!U78+Timing!U79+Timing!U80)*MIN(U237,$C$235)),U239*U237*Timing!U69)</f>
        <v>4461241.496441205</v>
      </c>
      <c r="V248" s="23">
        <f>IF($C$228=1,V240*Timing!V69*(Timing!V77*MIN(V237,$C$234)+(Timing!V78+Timing!V79+Timing!V80)*MIN(V237,$C$235)),V239*V237*Timing!V69)</f>
        <v>4452319.013448322</v>
      </c>
      <c r="W248" s="23">
        <f>IF($C$228=1,W240*Timing!W69*(Timing!W77*MIN(W237,$C$234)+(Timing!W78+Timing!W79+Timing!W80)*MIN(W237,$C$235)),W239*W237*Timing!W69)</f>
        <v>4443414.375421425</v>
      </c>
      <c r="X248" s="23">
        <f>IF($C$228=1,X240*Timing!X69*(Timing!X77*MIN(X237,$C$234)+(Timing!X78+Timing!X79+Timing!X80)*MIN(X237,$C$235)),X239*X237*Timing!X69)</f>
        <v>4434527.546670583</v>
      </c>
      <c r="Y248" s="23">
        <f>IF($C$228=1,Y240*Timing!Y69*(Timing!Y77*MIN(Y237,$C$234)+(Timing!Y78+Timing!Y79+Timing!Y80)*MIN(Y237,$C$235)),Y239*Y237*Timing!Y69)</f>
        <v>4425658.491577242</v>
      </c>
      <c r="Z248" s="23">
        <f>IF($C$228=1,Z240*Timing!Z69*(Timing!Z77*MIN(Z237,$C$234)+(Timing!Z78+Timing!Z79+Timing!Z80)*MIN(Z237,$C$235)),Z239*Z237*Timing!Z69)</f>
        <v>4416807.1745940875</v>
      </c>
      <c r="AA248" s="23">
        <f>IF($C$228=1,AA240*Timing!AA69*(Timing!AA77*MIN(AA237,$C$234)+(Timing!AA78+Timing!AA79+Timing!AA80)*MIN(AA237,$C$235)),AA239*AA237*Timing!AA69)</f>
        <v>3369382.5296118543</v>
      </c>
      <c r="AB248" s="23">
        <f>IF($C$228=1,AB240*Timing!AB69*(Timing!AB77*MIN(AB237,$C$234)+(Timing!AB78+Timing!AB79+Timing!AB80)*MIN(AB237,$C$235)),AB239*AB237*Timing!AB69)</f>
        <v>0</v>
      </c>
      <c r="AC248" s="23">
        <f>IF($C$228=1,AC240*Timing!AC69*(Timing!AC77*MIN(AC237,$C$234)+(Timing!AC78+Timing!AC79+Timing!AC80)*MIN(AC237,$C$235)),AC239*AC237*Timing!AC69)</f>
        <v>0</v>
      </c>
      <c r="AD248" s="23">
        <f>IF($C$228=1,AD240*Timing!AD69*(Timing!AD77*MIN(AD237,$C$234)+(Timing!AD78+Timing!AD79+Timing!AD80)*MIN(AD237,$C$235)),AD239*AD237*Timing!AD69)</f>
        <v>0</v>
      </c>
      <c r="AE248" s="23">
        <f>IF($C$228=1,AE240*Timing!AE69*(Timing!AE77*MIN(AE237,$C$234)+(Timing!AE78+Timing!AE79+Timing!AE80)*MIN(AE237,$C$235)),AE239*AE237*Timing!AE69)</f>
        <v>0</v>
      </c>
    </row>
    <row r="249">
      <c r="A249" s="6" t="inlineStr">
        <is>
          <t xml:space="preserve">Revenue: market premium for the year</t>
        </is>
      </c>
      <c r="B249" s="10" t="inlineStr">
        <is>
          <t xml:space="preserve">€</t>
        </is>
      </c>
      <c r="F249" s="23">
        <f>F241*F244</f>
        <v>0</v>
      </c>
      <c r="G249" s="23">
        <f>G241*G244</f>
        <v>0</v>
      </c>
      <c r="H249" s="23">
        <f>H241*H244</f>
        <v>0</v>
      </c>
      <c r="I249" s="23">
        <f>I241*I244</f>
        <v>0</v>
      </c>
      <c r="J249" s="23">
        <f>J241*J244</f>
        <v>0</v>
      </c>
      <c r="K249" s="23">
        <f>K241*K244</f>
        <v>0</v>
      </c>
      <c r="L249" s="23">
        <f>L241*L244</f>
        <v>0</v>
      </c>
      <c r="M249" s="23">
        <f>M241*M244</f>
        <v>0</v>
      </c>
      <c r="N249" s="23">
        <f>N241*N244</f>
        <v>0</v>
      </c>
      <c r="O249" s="23">
        <f>O241*O244</f>
        <v>0</v>
      </c>
      <c r="P249" s="23">
        <f>P241*P244</f>
        <v>0</v>
      </c>
      <c r="Q249" s="23">
        <f>Q241*Q244</f>
        <v>0</v>
      </c>
      <c r="R249" s="23">
        <f>R241*R244</f>
        <v>0</v>
      </c>
      <c r="S249" s="23">
        <f>S241*S244</f>
        <v>0</v>
      </c>
      <c r="T249" s="23">
        <f>T241*T244</f>
        <v>0</v>
      </c>
      <c r="U249" s="23">
        <f>U241*U244</f>
        <v>0</v>
      </c>
      <c r="V249" s="23">
        <f>V241*V244</f>
        <v>0</v>
      </c>
      <c r="W249" s="23">
        <f>W241*W244</f>
        <v>0</v>
      </c>
      <c r="X249" s="23">
        <f>X241*X244</f>
        <v>0</v>
      </c>
      <c r="Y249" s="23">
        <f>Y241*Y244</f>
        <v>0</v>
      </c>
      <c r="Z249" s="23">
        <f>Z241*Z244</f>
        <v>0</v>
      </c>
      <c r="AA249" s="23">
        <f>AA241*AA244</f>
        <v>0</v>
      </c>
      <c r="AB249" s="23">
        <f>AB241*AB244</f>
        <v>0</v>
      </c>
      <c r="AC249" s="23">
        <f>AC241*AC244</f>
        <v>0</v>
      </c>
      <c r="AD249" s="23">
        <f>AD241*AD244</f>
        <v>0</v>
      </c>
      <c r="AE249" s="23">
        <f>AE241*AE244</f>
        <v>0</v>
      </c>
    </row>
    <row r="250">
      <c r="A250" s="6" t="inlineStr">
        <is>
          <t xml:space="preserve">§ 36h: first five years paid again at the reviewed AW</t>
        </is>
      </c>
      <c r="B250" s="10" t="inlineStr">
        <is>
          <t xml:space="preserve">€</t>
        </is>
      </c>
      <c r="F250" s="23">
        <f>F241*Timing!F77*(F243-F242)</f>
        <v>0</v>
      </c>
      <c r="G250" s="23">
        <f>G241*Timing!G77*(G243-G242)</f>
        <v>0</v>
      </c>
      <c r="H250" s="23">
        <f>H241*Timing!H77*(H243-H242)</f>
        <v>0</v>
      </c>
      <c r="I250" s="23">
        <f>I241*Timing!I77*(I243-I242)</f>
        <v>0</v>
      </c>
      <c r="J250" s="23">
        <f>J241*Timing!J77*(J243-J242)</f>
        <v>0</v>
      </c>
      <c r="K250" s="23">
        <f>K241*Timing!K77*(K243-K242)</f>
        <v>0</v>
      </c>
      <c r="L250" s="23">
        <f>L241*Timing!L77*(L243-L242)</f>
        <v>0</v>
      </c>
      <c r="M250" s="23">
        <f>M241*Timing!M77*(M243-M242)</f>
        <v>0</v>
      </c>
      <c r="N250" s="23">
        <f>N241*Timing!N77*(N243-N242)</f>
        <v>0</v>
      </c>
      <c r="O250" s="23">
        <f>O241*Timing!O77*(O243-O242)</f>
        <v>0</v>
      </c>
      <c r="P250" s="23">
        <f>P241*Timing!P77*(P243-P242)</f>
        <v>0</v>
      </c>
      <c r="Q250" s="23">
        <f>Q241*Timing!Q77*(Q243-Q242)</f>
        <v>0</v>
      </c>
      <c r="R250" s="23">
        <f>R241*Timing!R77*(R243-R242)</f>
        <v>0</v>
      </c>
      <c r="S250" s="23">
        <f>S241*Timing!S77*(S243-S242)</f>
        <v>0</v>
      </c>
      <c r="T250" s="23">
        <f>T241*Timing!T77*(T243-T242)</f>
        <v>0</v>
      </c>
      <c r="U250" s="23">
        <f>U241*Timing!U77*(U243-U242)</f>
        <v>0</v>
      </c>
      <c r="V250" s="23">
        <f>V241*Timing!V77*(V243-V242)</f>
        <v>0</v>
      </c>
      <c r="W250" s="23">
        <f>W241*Timing!W77*(W243-W242)</f>
        <v>0</v>
      </c>
      <c r="X250" s="23">
        <f>X241*Timing!X77*(X243-X242)</f>
        <v>0</v>
      </c>
      <c r="Y250" s="23">
        <f>Y241*Timing!Y77*(Y243-Y242)</f>
        <v>0</v>
      </c>
      <c r="Z250" s="23">
        <f>Z241*Timing!Z77*(Z243-Z242)</f>
        <v>0</v>
      </c>
      <c r="AA250" s="23">
        <f>AA241*Timing!AA77*(AA243-AA242)</f>
        <v>0</v>
      </c>
      <c r="AB250" s="23">
        <f>AB241*Timing!AB77*(AB243-AB242)</f>
        <v>0</v>
      </c>
      <c r="AC250" s="23">
        <f>AC241*Timing!AC77*(AC243-AC242)</f>
        <v>0</v>
      </c>
      <c r="AD250" s="23">
        <f>AD241*Timing!AD77*(AD243-AD242)</f>
        <v>0</v>
      </c>
      <c r="AE250" s="23">
        <f>AE241*Timing!AE77*(AE243-AE242)</f>
        <v>0</v>
      </c>
    </row>
    <row r="251">
      <c r="A251" s="6" t="inlineStr">
        <is>
          <t xml:space="preserve">§ 36h settlement (only if the site quality moved by more than 2 points)</t>
        </is>
      </c>
      <c r="B251" s="10" t="inlineStr">
        <is>
          <t xml:space="preserve">€</t>
        </is>
      </c>
      <c r="C251" s="23">
        <f>IF(ABS($C$231-$C$230)&gt;Inputs!$C$143,SUM($F$250:$AE$250),0)</f>
        <v>0</v>
      </c>
    </row>
    <row r="252">
      <c r="A252" s="6" t="inlineStr">
        <is>
          <t xml:space="preserve">Revenue: § 36h settlement, in the year of the first review</t>
        </is>
      </c>
      <c r="B252" s="10" t="inlineStr">
        <is>
          <t xml:space="preserve">€</t>
        </is>
      </c>
      <c r="F252" s="23">
        <f>IF(Timing!F59=YEAR(Timing!$C$12),$C$251,0)</f>
        <v>0</v>
      </c>
      <c r="G252" s="23">
        <f>IF(Timing!G59=YEAR(Timing!$C$12),$C$251,0)</f>
        <v>0</v>
      </c>
      <c r="H252" s="23">
        <f>IF(Timing!H59=YEAR(Timing!$C$12),$C$251,0)</f>
        <v>0</v>
      </c>
      <c r="I252" s="23">
        <f>IF(Timing!I59=YEAR(Timing!$C$12),$C$251,0)</f>
        <v>0</v>
      </c>
      <c r="J252" s="23">
        <f>IF(Timing!J59=YEAR(Timing!$C$12),$C$251,0)</f>
        <v>0</v>
      </c>
      <c r="K252" s="23">
        <f>IF(Timing!K59=YEAR(Timing!$C$12),$C$251,0)</f>
        <v>0</v>
      </c>
      <c r="L252" s="23">
        <f>IF(Timing!L59=YEAR(Timing!$C$12),$C$251,0)</f>
        <v>0</v>
      </c>
      <c r="M252" s="23">
        <f>IF(Timing!M59=YEAR(Timing!$C$12),$C$251,0)</f>
        <v>0</v>
      </c>
      <c r="N252" s="23">
        <f>IF(Timing!N59=YEAR(Timing!$C$12),$C$251,0)</f>
        <v>0</v>
      </c>
      <c r="O252" s="23">
        <f>IF(Timing!O59=YEAR(Timing!$C$12),$C$251,0)</f>
        <v>0</v>
      </c>
      <c r="P252" s="23">
        <f>IF(Timing!P59=YEAR(Timing!$C$12),$C$251,0)</f>
        <v>0</v>
      </c>
      <c r="Q252" s="23">
        <f>IF(Timing!Q59=YEAR(Timing!$C$12),$C$251,0)</f>
        <v>0</v>
      </c>
      <c r="R252" s="23">
        <f>IF(Timing!R59=YEAR(Timing!$C$12),$C$251,0)</f>
        <v>0</v>
      </c>
      <c r="S252" s="23">
        <f>IF(Timing!S59=YEAR(Timing!$C$12),$C$251,0)</f>
        <v>0</v>
      </c>
      <c r="T252" s="23">
        <f>IF(Timing!T59=YEAR(Timing!$C$12),$C$251,0)</f>
        <v>0</v>
      </c>
      <c r="U252" s="23">
        <f>IF(Timing!U59=YEAR(Timing!$C$12),$C$251,0)</f>
        <v>0</v>
      </c>
      <c r="V252" s="23">
        <f>IF(Timing!V59=YEAR(Timing!$C$12),$C$251,0)</f>
        <v>0</v>
      </c>
      <c r="W252" s="23">
        <f>IF(Timing!W59=YEAR(Timing!$C$12),$C$251,0)</f>
        <v>0</v>
      </c>
      <c r="X252" s="23">
        <f>IF(Timing!X59=YEAR(Timing!$C$12),$C$251,0)</f>
        <v>0</v>
      </c>
      <c r="Y252" s="23">
        <f>IF(Timing!Y59=YEAR(Timing!$C$12),$C$251,0)</f>
        <v>0</v>
      </c>
      <c r="Z252" s="23">
        <f>IF(Timing!Z59=YEAR(Timing!$C$12),$C$251,0)</f>
        <v>0</v>
      </c>
      <c r="AA252" s="23">
        <f>IF(Timing!AA59=YEAR(Timing!$C$12),$C$251,0)</f>
        <v>0</v>
      </c>
      <c r="AB252" s="23">
        <f>IF(Timing!AB59=YEAR(Timing!$C$12),$C$251,0)</f>
        <v>0</v>
      </c>
      <c r="AC252" s="23">
        <f>IF(Timing!AC59=YEAR(Timing!$C$12),$C$251,0)</f>
        <v>0</v>
      </c>
      <c r="AD252" s="23">
        <f>IF(Timing!AD59=YEAR(Timing!$C$12),$C$251,0)</f>
        <v>0</v>
      </c>
      <c r="AE252" s="23">
        <f>IF(Timing!AE59=YEAR(Timing!$C$12),$C$251,0)</f>
        <v>0</v>
      </c>
    </row>
    <row r="253">
      <c r="A253" s="6" t="inlineStr">
        <is>
          <t xml:space="preserve">Revenue: market premium</t>
        </is>
      </c>
      <c r="B253" s="10" t="inlineStr">
        <is>
          <t xml:space="preserve">€</t>
        </is>
      </c>
      <c r="F253" s="23">
        <f>F249+F252</f>
        <v>0</v>
      </c>
      <c r="G253" s="23">
        <f>G249+G252</f>
        <v>0</v>
      </c>
      <c r="H253" s="23">
        <f>H249+H252</f>
        <v>0</v>
      </c>
      <c r="I253" s="23">
        <f>I249+I252</f>
        <v>0</v>
      </c>
      <c r="J253" s="23">
        <f>J249+J252</f>
        <v>0</v>
      </c>
      <c r="K253" s="23">
        <f>K249+K252</f>
        <v>0</v>
      </c>
      <c r="L253" s="23">
        <f>L249+L252</f>
        <v>0</v>
      </c>
      <c r="M253" s="23">
        <f>M249+M252</f>
        <v>0</v>
      </c>
      <c r="N253" s="23">
        <f>N249+N252</f>
        <v>0</v>
      </c>
      <c r="O253" s="23">
        <f>O249+O252</f>
        <v>0</v>
      </c>
      <c r="P253" s="23">
        <f>P249+P252</f>
        <v>0</v>
      </c>
      <c r="Q253" s="23">
        <f>Q249+Q252</f>
        <v>0</v>
      </c>
      <c r="R253" s="23">
        <f>R249+R252</f>
        <v>0</v>
      </c>
      <c r="S253" s="23">
        <f>S249+S252</f>
        <v>0</v>
      </c>
      <c r="T253" s="23">
        <f>T249+T252</f>
        <v>0</v>
      </c>
      <c r="U253" s="23">
        <f>U249+U252</f>
        <v>0</v>
      </c>
      <c r="V253" s="23">
        <f>V249+V252</f>
        <v>0</v>
      </c>
      <c r="W253" s="23">
        <f>W249+W252</f>
        <v>0</v>
      </c>
      <c r="X253" s="23">
        <f>X249+X252</f>
        <v>0</v>
      </c>
      <c r="Y253" s="23">
        <f>Y249+Y252</f>
        <v>0</v>
      </c>
      <c r="Z253" s="23">
        <f>Z249+Z252</f>
        <v>0</v>
      </c>
      <c r="AA253" s="23">
        <f>AA249+AA252</f>
        <v>0</v>
      </c>
      <c r="AB253" s="23">
        <f>AB249+AB252</f>
        <v>0</v>
      </c>
      <c r="AC253" s="23">
        <f>AC249+AC252</f>
        <v>0</v>
      </c>
      <c r="AD253" s="23">
        <f>AD249+AD252</f>
        <v>0</v>
      </c>
      <c r="AE253" s="23">
        <f>AE249+AE252</f>
        <v>0</v>
      </c>
    </row>
    <row r="254">
      <c r="A254" s="6" t="inlineStr">
        <is>
          <t xml:space="preserve">Price after support (market value or PPA)</t>
        </is>
      </c>
      <c r="B254" s="10" t="inlineStr">
        <is>
          <t xml:space="preserve">€/kWh</t>
        </is>
      </c>
      <c r="F254" s="37">
        <f>IF(Inputs!$C$33="ppa",Inputs!$C$34*Timing!F76*1/1000,F237)</f>
        <v>0.079104</v>
      </c>
      <c r="G254" s="37">
        <f>IF(Inputs!$C$33="ppa",Inputs!$C$34*Timing!G76*1/1000,G237)</f>
        <v>0.06619199999999999</v>
      </c>
      <c r="H254" s="37">
        <f>IF(Inputs!$C$33="ppa",Inputs!$C$34*Timing!H76*1/1000,H237)</f>
        <v>0.06532752751200001</v>
      </c>
      <c r="I254" s="37">
        <f>IF(Inputs!$C$33="ppa",Inputs!$C$34*Timing!I76*1/1000,I237)</f>
        <v>0.06663407806223999</v>
      </c>
      <c r="J254" s="37">
        <f>IF(Inputs!$C$33="ppa",Inputs!$C$34*Timing!J76*1/1000,J237)</f>
        <v>0.0679667596234848</v>
      </c>
      <c r="K254" s="37">
        <f>IF(Inputs!$C$33="ppa",Inputs!$C$34*Timing!K76*1/1000,K237)</f>
        <v>0.0693260948159545</v>
      </c>
      <c r="L254" s="37">
        <f>IF(Inputs!$C$33="ppa",Inputs!$C$34*Timing!L76*1/1000,L237)</f>
        <v>0.0707126167122736</v>
      </c>
      <c r="M254" s="37">
        <f>IF(Inputs!$C$33="ppa",Inputs!$C$34*Timing!M76*1/1000,M237)</f>
        <v>0.07212686904651905</v>
      </c>
      <c r="N254" s="37">
        <f>IF(Inputs!$C$33="ppa",Inputs!$C$34*Timing!N76*1/1000,N237)</f>
        <v>0.07356940642744944</v>
      </c>
      <c r="O254" s="37">
        <f>IF(Inputs!$C$33="ppa",Inputs!$C$34*Timing!O76*1/1000,O237)</f>
        <v>0.07504079455599844</v>
      </c>
      <c r="P254" s="37">
        <f>IF(Inputs!$C$33="ppa",Inputs!$C$34*Timing!P76*1/1000,P237)</f>
        <v>0.0765416104471184</v>
      </c>
      <c r="Q254" s="37">
        <f>IF(Inputs!$C$33="ppa",Inputs!$C$34*Timing!Q76*1/1000,Q237)</f>
        <v>0.07807244265606075</v>
      </c>
      <c r="R254" s="37">
        <f>IF(Inputs!$C$33="ppa",Inputs!$C$34*Timing!R76*1/1000,R237)</f>
        <v>0.07963389150918197</v>
      </c>
      <c r="S254" s="37">
        <f>IF(Inputs!$C$33="ppa",Inputs!$C$34*Timing!S76*1/1000,S237)</f>
        <v>0.08122656933936562</v>
      </c>
      <c r="T254" s="37">
        <f>IF(Inputs!$C$33="ppa",Inputs!$C$34*Timing!T76*1/1000,T237)</f>
        <v>0.08285110072615294</v>
      </c>
      <c r="U254" s="37">
        <f>IF(Inputs!$C$33="ppa",Inputs!$C$34*Timing!U76*1/1000,U237)</f>
        <v>0.08450812274067597</v>
      </c>
      <c r="V254" s="37">
        <f>IF(Inputs!$C$33="ppa",Inputs!$C$34*Timing!V76*1/1000,V237)</f>
        <v>0.0861982851954895</v>
      </c>
      <c r="W254" s="37">
        <f>IF(Inputs!$C$33="ppa",Inputs!$C$34*Timing!W76*1/1000,W237)</f>
        <v>0.08792225089939928</v>
      </c>
      <c r="X254" s="37">
        <f>IF(Inputs!$C$33="ppa",Inputs!$C$34*Timing!X76*1/1000,X237)</f>
        <v>0.08968069591738728</v>
      </c>
      <c r="Y254" s="37">
        <f>IF(Inputs!$C$33="ppa",Inputs!$C$34*Timing!Y76*1/1000,Y237)</f>
        <v>0.09147430983573503</v>
      </c>
      <c r="Z254" s="37">
        <f>IF(Inputs!$C$33="ppa",Inputs!$C$34*Timing!Z76*1/1000,Z237)</f>
        <v>0.09330379603244973</v>
      </c>
      <c r="AA254" s="37">
        <f>IF(Inputs!$C$33="ppa",Inputs!$C$34*Timing!AA76*1/1000,AA237)</f>
        <v>0.09516987195309871</v>
      </c>
      <c r="AB254" s="37">
        <f>IF(Inputs!$C$33="ppa",Inputs!$C$34*Timing!AB76*1/1000,AB237)</f>
        <v>0.0970732693921607</v>
      </c>
      <c r="AC254" s="37">
        <f>IF(Inputs!$C$33="ppa",Inputs!$C$34*Timing!AC76*1/1000,AC237)</f>
        <v>0.09901473478000392</v>
      </c>
      <c r="AD254" s="37">
        <f>IF(Inputs!$C$33="ppa",Inputs!$C$34*Timing!AD76*1/1000,AD237)</f>
        <v>0.100995029475604</v>
      </c>
      <c r="AE254" s="37">
        <f>IF(Inputs!$C$33="ppa",Inputs!$C$34*Timing!AE76*1/1000,AE237)</f>
        <v>0.1030149300651161</v>
      </c>
    </row>
    <row r="255">
      <c r="A255" s="6" t="inlineStr">
        <is>
          <t xml:space="preserve">Revenue: after support</t>
        </is>
      </c>
      <c r="B255" s="10" t="inlineStr">
        <is>
          <t xml:space="preserve">€</t>
        </is>
      </c>
      <c r="F255" s="23">
        <f>IF(Inputs!$C$33="ppa",F240,F239)*F254*(1-Timing!F69)</f>
        <v>0</v>
      </c>
      <c r="G255" s="23">
        <f>IF(Inputs!$C$33="ppa",G240,G239)*G254*(1-Timing!G69)</f>
        <v>0</v>
      </c>
      <c r="H255" s="23">
        <f>IF(Inputs!$C$33="ppa",H240,H239)*H254*(1-Timing!H69)</f>
        <v>0</v>
      </c>
      <c r="I255" s="23">
        <f>IF(Inputs!$C$33="ppa",I240,I239)*I254*(1-Timing!I69)</f>
        <v>0</v>
      </c>
      <c r="J255" s="23">
        <f>IF(Inputs!$C$33="ppa",J240,J239)*J254*(1-Timing!J69)</f>
        <v>0</v>
      </c>
      <c r="K255" s="23">
        <f>IF(Inputs!$C$33="ppa",K240,K239)*K254*(1-Timing!K69)</f>
        <v>0</v>
      </c>
      <c r="L255" s="23">
        <f>IF(Inputs!$C$33="ppa",L240,L239)*L254*(1-Timing!L69)</f>
        <v>0</v>
      </c>
      <c r="M255" s="23">
        <f>IF(Inputs!$C$33="ppa",M240,M239)*M254*(1-Timing!M69)</f>
        <v>0</v>
      </c>
      <c r="N255" s="23">
        <f>IF(Inputs!$C$33="ppa",N240,N239)*N254*(1-Timing!N69)</f>
        <v>0</v>
      </c>
      <c r="O255" s="23">
        <f>IF(Inputs!$C$33="ppa",O240,O239)*O254*(1-Timing!O69)</f>
        <v>0</v>
      </c>
      <c r="P255" s="23">
        <f>IF(Inputs!$C$33="ppa",P240,P239)*P254*(1-Timing!P69)</f>
        <v>0</v>
      </c>
      <c r="Q255" s="23">
        <f>IF(Inputs!$C$33="ppa",Q240,Q239)*Q254*(1-Timing!Q69)</f>
        <v>0</v>
      </c>
      <c r="R255" s="23">
        <f>IF(Inputs!$C$33="ppa",R240,R239)*R254*(1-Timing!R69)</f>
        <v>0</v>
      </c>
      <c r="S255" s="23">
        <f>IF(Inputs!$C$33="ppa",S240,S239)*S254*(1-Timing!S69)</f>
        <v>0</v>
      </c>
      <c r="T255" s="23">
        <f>IF(Inputs!$C$33="ppa",T240,T239)*T254*(1-Timing!T69)</f>
        <v>0</v>
      </c>
      <c r="U255" s="23">
        <f>IF(Inputs!$C$33="ppa",U240,U239)*U254*(1-Timing!U69)</f>
        <v>0</v>
      </c>
      <c r="V255" s="23">
        <f>IF(Inputs!$C$33="ppa",V240,V239)*V254*(1-Timing!V69)</f>
        <v>0</v>
      </c>
      <c r="W255" s="23">
        <f>IF(Inputs!$C$33="ppa",W240,W239)*W254*(1-Timing!W69)</f>
        <v>0</v>
      </c>
      <c r="X255" s="23">
        <f>IF(Inputs!$C$33="ppa",X240,X239)*X254*(1-Timing!X69)</f>
        <v>0</v>
      </c>
      <c r="Y255" s="23">
        <f>IF(Inputs!$C$33="ppa",Y240,Y239)*Y254*(1-Timing!Y69)</f>
        <v>0</v>
      </c>
      <c r="Z255" s="23">
        <f>IF(Inputs!$C$33="ppa",Z240,Z239)*Z254*(1-Timing!Z69)</f>
        <v>0</v>
      </c>
      <c r="AA255" s="23">
        <f>IF(Inputs!$C$33="ppa",AA240,AA239)*AA254*(1-Timing!AA69)</f>
        <v>1651505.019164306</v>
      </c>
      <c r="AB255" s="23">
        <f>IF(Inputs!$C$33="ppa",AB240,AB239)*AB254*(1-Timing!AB69)</f>
        <v>7135181.488344201</v>
      </c>
      <c r="AC255" s="23">
        <f>IF(Inputs!$C$33="ppa",AC240,AC239)*AC254*(1-Timing!AC69)</f>
        <v>7263329.347874864</v>
      </c>
      <c r="AD255" s="23">
        <f>IF(Inputs!$C$33="ppa",AD240,AD239)*AD254*(1-Timing!AD69)</f>
        <v>7393778.742962697</v>
      </c>
      <c r="AE255" s="23">
        <f>IF(Inputs!$C$33="ppa",AE240,AE239)*AE254*(1-Timing!AE69)</f>
        <v>3732354.390856772</v>
      </c>
    </row>
    <row r="256">
      <c r="A256" s="41" t="inlineStr">
        <is>
          <t xml:space="preserve">Revenue</t>
        </is>
      </c>
      <c r="B256" s="10" t="inlineStr">
        <is>
          <t xml:space="preserve">€</t>
        </is>
      </c>
      <c r="F256" s="42">
        <f>F248+F253+F255</f>
        <v>2311183.0909180334</v>
      </c>
      <c r="G256" s="42">
        <f>G248+G253+G255</f>
        <v>4588050.137247001</v>
      </c>
      <c r="H256" s="42">
        <f>H248+H253+H255</f>
        <v>4578874.036972506</v>
      </c>
      <c r="I256" s="42">
        <f>I248+I253+I255</f>
        <v>4569716.288898562</v>
      </c>
      <c r="J256" s="42">
        <f>J248+J253+J255</f>
        <v>4560576.856320765</v>
      </c>
      <c r="K256" s="42">
        <f>K248+K253+K255</f>
        <v>4551455.702608123</v>
      </c>
      <c r="L256" s="42">
        <f>L248+L253+L255</f>
        <v>4542352.7912029065</v>
      </c>
      <c r="M256" s="42">
        <f>M248+M253+M255</f>
        <v>4533268.085620501</v>
      </c>
      <c r="N256" s="42">
        <f>N248+N253+N255</f>
        <v>4524201.549449259</v>
      </c>
      <c r="O256" s="42">
        <f>O248+O253+O255</f>
        <v>4515153.146350362</v>
      </c>
      <c r="P256" s="42">
        <f>P248+P253+P255</f>
        <v>4506122.84005766</v>
      </c>
      <c r="Q256" s="42">
        <f>Q248+Q253+Q255</f>
        <v>4497110.594377545</v>
      </c>
      <c r="R256" s="42">
        <f>R248+R253+R255</f>
        <v>4488116.37318879</v>
      </c>
      <c r="S256" s="42">
        <f>S248+S253+S255</f>
        <v>4479140.140442413</v>
      </c>
      <c r="T256" s="42">
        <f>T248+T253+T255</f>
        <v>4470181.860161528</v>
      </c>
      <c r="U256" s="42">
        <f>U248+U253+U255</f>
        <v>4461241.496441205</v>
      </c>
      <c r="V256" s="42">
        <f>V248+V253+V255</f>
        <v>4452319.013448322</v>
      </c>
      <c r="W256" s="42">
        <f>W248+W253+W255</f>
        <v>4443414.375421425</v>
      </c>
      <c r="X256" s="42">
        <f>X248+X253+X255</f>
        <v>4434527.546670583</v>
      </c>
      <c r="Y256" s="42">
        <f>Y248+Y253+Y255</f>
        <v>4425658.491577242</v>
      </c>
      <c r="Z256" s="42">
        <f>Z248+Z253+Z255</f>
        <v>4416807.1745940875</v>
      </c>
      <c r="AA256" s="42">
        <f>AA248+AA253+AA255</f>
        <v>5020887.548776161</v>
      </c>
      <c r="AB256" s="42">
        <f>AB248+AB253+AB255</f>
        <v>7135181.488344201</v>
      </c>
      <c r="AC256" s="42">
        <f>AC248+AC253+AC255</f>
        <v>7263329.347874864</v>
      </c>
      <c r="AD256" s="42">
        <f>AD248+AD253+AD255</f>
        <v>7393778.742962697</v>
      </c>
      <c r="AE256" s="42">
        <f>AE248+AE253+AE255</f>
        <v>3732354.390856772</v>
      </c>
    </row>
    <row r="257">
      <c r="A257" s="6" t="inlineStr">
        <is>
          <t xml:space="preserve">Premium advances for the year (§ 26)</t>
        </is>
      </c>
      <c r="B257" s="10" t="inlineStr">
        <is>
          <t xml:space="preserve">€</t>
        </is>
      </c>
      <c r="F257" s="23">
        <f>F241*F245</f>
        <v>0</v>
      </c>
      <c r="G257" s="23">
        <f>G241*G245</f>
        <v>0</v>
      </c>
      <c r="H257" s="23">
        <f>H241*H245</f>
        <v>0</v>
      </c>
      <c r="I257" s="23">
        <f>I241*I245</f>
        <v>0</v>
      </c>
      <c r="J257" s="23">
        <f>J241*J245</f>
        <v>0</v>
      </c>
      <c r="K257" s="23">
        <f>K241*K245</f>
        <v>0</v>
      </c>
      <c r="L257" s="23">
        <f>L241*L245</f>
        <v>0</v>
      </c>
      <c r="M257" s="23">
        <f>M241*M245</f>
        <v>0</v>
      </c>
      <c r="N257" s="23">
        <f>N241*N245</f>
        <v>0</v>
      </c>
      <c r="O257" s="23">
        <f>O241*O245</f>
        <v>0</v>
      </c>
      <c r="P257" s="23">
        <f>P241*P245</f>
        <v>0</v>
      </c>
      <c r="Q257" s="23">
        <f>Q241*Q245</f>
        <v>0</v>
      </c>
      <c r="R257" s="23">
        <f>R241*R245</f>
        <v>0</v>
      </c>
      <c r="S257" s="23">
        <f>S241*S245</f>
        <v>0</v>
      </c>
      <c r="T257" s="23">
        <f>T241*T245</f>
        <v>0</v>
      </c>
      <c r="U257" s="23">
        <f>U241*U245</f>
        <v>0</v>
      </c>
      <c r="V257" s="23">
        <f>V241*V245</f>
        <v>0</v>
      </c>
      <c r="W257" s="23">
        <f>W241*W245</f>
        <v>0</v>
      </c>
      <c r="X257" s="23">
        <f>X241*X245</f>
        <v>0</v>
      </c>
      <c r="Y257" s="23">
        <f>Y241*Y245</f>
        <v>0</v>
      </c>
      <c r="Z257" s="23">
        <f>Z241*Z245</f>
        <v>0</v>
      </c>
      <c r="AA257" s="23">
        <f>AA241*AA245</f>
        <v>0</v>
      </c>
      <c r="AB257" s="23">
        <f>AB241*AB245</f>
        <v>0</v>
      </c>
      <c r="AC257" s="23">
        <f>AC241*AC245</f>
        <v>0</v>
      </c>
      <c r="AD257" s="23">
        <f>AD241*AD245</f>
        <v>0</v>
      </c>
      <c r="AE257" s="23">
        <f>AE241*AE245</f>
        <v>0</v>
      </c>
    </row>
    <row r="258">
      <c r="A258" s="6" t="inlineStr">
        <is>
          <t xml:space="preserve">Fixed-cost basis (capacity × index × part year)</t>
        </is>
      </c>
      <c r="B258" s="10" t="inlineStr">
        <is>
          <t xml:space="preserve">kW</t>
        </is>
      </c>
      <c r="F258" s="26">
        <f>Timing!$C$28*Timing!F75*Timing!F66*1</f>
        <v>17053.25529806557</v>
      </c>
      <c r="G258" s="26">
        <f>Timing!$C$28*Timing!G75*Timing!G66*1</f>
        <v>34599.57210801</v>
      </c>
      <c r="H258" s="26">
        <f>Timing!$C$28*Timing!H75*Timing!H66*1</f>
        <v>35291.5635501702</v>
      </c>
      <c r="I258" s="26">
        <f>Timing!$C$28*Timing!I75*Timing!I66*1</f>
        <v>35997.3948211736</v>
      </c>
      <c r="J258" s="26">
        <f>Timing!$C$28*Timing!J75*Timing!J66*1</f>
        <v>36717.34271759707</v>
      </c>
      <c r="K258" s="26">
        <f>Timing!$C$28*Timing!K75*Timing!K66*1</f>
        <v>37451.68957194901</v>
      </c>
      <c r="L258" s="26">
        <f>Timing!$C$28*Timing!L75*Timing!L66*1</f>
        <v>38200.723363387995</v>
      </c>
      <c r="M258" s="26">
        <f>Timing!$C$28*Timing!M75*Timing!M66*1</f>
        <v>38964.73783065575</v>
      </c>
      <c r="N258" s="26">
        <f>Timing!$C$28*Timing!N75*Timing!N66*1</f>
        <v>39744.03258726886</v>
      </c>
      <c r="O258" s="26">
        <f>Timing!$C$28*Timing!O75*Timing!O66*1</f>
        <v>40538.91323901424</v>
      </c>
      <c r="P258" s="26">
        <f>Timing!$C$28*Timing!P75*Timing!P66*1</f>
        <v>41349.69150379453</v>
      </c>
      <c r="Q258" s="26">
        <f>Timing!$C$28*Timing!Q75*Timing!Q66*1</f>
        <v>42176.68533387042</v>
      </c>
      <c r="R258" s="26">
        <f>Timing!$C$28*Timing!R75*Timing!R66*1</f>
        <v>43020.219040547825</v>
      </c>
      <c r="S258" s="26">
        <f>Timing!$C$28*Timing!S75*Timing!S66*1</f>
        <v>43880.62342135878</v>
      </c>
      <c r="T258" s="26">
        <f>Timing!$C$28*Timing!T75*Timing!T66*1</f>
        <v>44758.23588978595</v>
      </c>
      <c r="U258" s="26">
        <f>Timing!$C$28*Timing!U75*Timing!U66*1</f>
        <v>45653.40060758168</v>
      </c>
      <c r="V258" s="26">
        <f>Timing!$C$28*Timing!V75*Timing!V66*1</f>
        <v>46566.468619733314</v>
      </c>
      <c r="W258" s="26">
        <f>Timing!$C$28*Timing!W75*Timing!W66*1</f>
        <v>47497.79799212798</v>
      </c>
      <c r="X258" s="26">
        <f>Timing!$C$28*Timing!X75*Timing!X66*1</f>
        <v>48447.75395197054</v>
      </c>
      <c r="Y258" s="26">
        <f>Timing!$C$28*Timing!Y75*Timing!Y66*1</f>
        <v>49416.709031009945</v>
      </c>
      <c r="Z258" s="26">
        <f>Timing!$C$28*Timing!Z75*Timing!Z66*1</f>
        <v>50405.043211630145</v>
      </c>
      <c r="AA258" s="26">
        <f>Timing!$C$28*Timing!AA75*Timing!AA66*1</f>
        <v>51413.14407586275</v>
      </c>
      <c r="AB258" s="26">
        <f>Timing!$C$28*Timing!AB75*Timing!AB66*1</f>
        <v>52441.40695738001</v>
      </c>
      <c r="AC258" s="26">
        <f>Timing!$C$28*Timing!AC75*Timing!AC66*1</f>
        <v>53490.23509652761</v>
      </c>
      <c r="AD258" s="26">
        <f>Timing!$C$28*Timing!AD75*Timing!AD66*1</f>
        <v>54560.039798458165</v>
      </c>
      <c r="AE258" s="26">
        <f>Timing!$C$28*Timing!AE75*Timing!AE66*1</f>
        <v>27596.916568743418</v>
      </c>
    </row>
    <row r="259">
      <c r="A259" s="6" t="inlineStr">
        <is>
          <t xml:space="preserve">Maintenance</t>
        </is>
      </c>
      <c r="B259" s="10" t="inlineStr">
        <is>
          <t xml:space="preserve">€</t>
        </is>
      </c>
      <c r="F259" s="23">
        <f>CHOOSE(Timing!F71+1,Inputs!$B$61,Inputs!$C$61,Inputs!$D$61)*F258</f>
        <v>238745.574172918</v>
      </c>
      <c r="G259" s="23">
        <f>CHOOSE(Timing!G71+1,Inputs!$B$61,Inputs!$C$61,Inputs!$D$61)*G258</f>
        <v>484394.00951213995</v>
      </c>
      <c r="H259" s="23">
        <f>CHOOSE(Timing!H71+1,Inputs!$B$61,Inputs!$C$61,Inputs!$D$61)*H258</f>
        <v>494081.8897023828</v>
      </c>
      <c r="I259" s="23">
        <f>CHOOSE(Timing!I71+1,Inputs!$B$61,Inputs!$C$61,Inputs!$D$61)*I258</f>
        <v>503963.5274964304</v>
      </c>
      <c r="J259" s="23">
        <f>CHOOSE(Timing!J71+1,Inputs!$B$61,Inputs!$C$61,Inputs!$D$61)*J258</f>
        <v>514042.798046359</v>
      </c>
      <c r="K259" s="23">
        <f>CHOOSE(Timing!K71+1,Inputs!$B$61,Inputs!$C$61,Inputs!$D$61)*K258</f>
        <v>524323.6540072862</v>
      </c>
      <c r="L259" s="23">
        <f>CHOOSE(Timing!L71+1,Inputs!$B$61,Inputs!$C$61,Inputs!$D$61)*L258</f>
        <v>534810.127087432</v>
      </c>
      <c r="M259" s="23">
        <f>CHOOSE(Timing!M71+1,Inputs!$B$61,Inputs!$C$61,Inputs!$D$61)*M258</f>
        <v>545506.3296291805</v>
      </c>
      <c r="N259" s="23">
        <f>CHOOSE(Timing!N71+1,Inputs!$B$61,Inputs!$C$61,Inputs!$D$61)*N258</f>
        <v>556416.4562217641</v>
      </c>
      <c r="O259" s="23">
        <f>CHOOSE(Timing!O71+1,Inputs!$B$61,Inputs!$C$61,Inputs!$D$61)*O258</f>
        <v>567544.7853461994</v>
      </c>
      <c r="P259" s="23">
        <f>CHOOSE(Timing!P71+1,Inputs!$B$61,Inputs!$C$61,Inputs!$D$61)*P258</f>
        <v>661595.0640607125</v>
      </c>
      <c r="Q259" s="23">
        <f>CHOOSE(Timing!Q71+1,Inputs!$B$61,Inputs!$C$61,Inputs!$D$61)*Q258</f>
        <v>674826.9653419267</v>
      </c>
      <c r="R259" s="23">
        <f>CHOOSE(Timing!R71+1,Inputs!$B$61,Inputs!$C$61,Inputs!$D$61)*R258</f>
        <v>688323.5046487652</v>
      </c>
      <c r="S259" s="23">
        <f>CHOOSE(Timing!S71+1,Inputs!$B$61,Inputs!$C$61,Inputs!$D$61)*S258</f>
        <v>702089.9747417405</v>
      </c>
      <c r="T259" s="23">
        <f>CHOOSE(Timing!T71+1,Inputs!$B$61,Inputs!$C$61,Inputs!$D$61)*T258</f>
        <v>716131.7742365752</v>
      </c>
      <c r="U259" s="23">
        <f>CHOOSE(Timing!U71+1,Inputs!$B$61,Inputs!$C$61,Inputs!$D$61)*U258</f>
        <v>730454.4097213069</v>
      </c>
      <c r="V259" s="23">
        <f>CHOOSE(Timing!V71+1,Inputs!$B$61,Inputs!$C$61,Inputs!$D$61)*V258</f>
        <v>745063.497915733</v>
      </c>
      <c r="W259" s="23">
        <f>CHOOSE(Timing!W71+1,Inputs!$B$61,Inputs!$C$61,Inputs!$D$61)*W258</f>
        <v>759964.7678740476</v>
      </c>
      <c r="X259" s="23">
        <f>CHOOSE(Timing!X71+1,Inputs!$B$61,Inputs!$C$61,Inputs!$D$61)*X258</f>
        <v>775164.0632315286</v>
      </c>
      <c r="Y259" s="23">
        <f>CHOOSE(Timing!Y71+1,Inputs!$B$61,Inputs!$C$61,Inputs!$D$61)*Y258</f>
        <v>790667.3444961591</v>
      </c>
      <c r="Z259" s="23">
        <f>CHOOSE(Timing!Z71+1,Inputs!$B$61,Inputs!$C$61,Inputs!$D$61)*Z258</f>
        <v>887128.7605246906</v>
      </c>
      <c r="AA259" s="23">
        <f>CHOOSE(Timing!AA71+1,Inputs!$B$61,Inputs!$C$61,Inputs!$D$61)*AA258</f>
        <v>904871.3357351845</v>
      </c>
      <c r="AB259" s="23">
        <f>CHOOSE(Timing!AB71+1,Inputs!$B$61,Inputs!$C$61,Inputs!$D$61)*AB258</f>
        <v>922968.7624498882</v>
      </c>
      <c r="AC259" s="23">
        <f>CHOOSE(Timing!AC71+1,Inputs!$B$61,Inputs!$C$61,Inputs!$D$61)*AC258</f>
        <v>941428.1376988861</v>
      </c>
      <c r="AD259" s="23">
        <f>CHOOSE(Timing!AD71+1,Inputs!$B$61,Inputs!$C$61,Inputs!$D$61)*AD258</f>
        <v>960256.7004528638</v>
      </c>
      <c r="AE259" s="23">
        <f>CHOOSE(Timing!AE71+1,Inputs!$B$61,Inputs!$C$61,Inputs!$D$61)*AE258</f>
        <v>485705.7316098842</v>
      </c>
    </row>
    <row r="260">
      <c r="A260" s="6" t="inlineStr">
        <is>
          <t xml:space="preserve">Management</t>
        </is>
      </c>
      <c r="B260" s="10" t="inlineStr">
        <is>
          <t xml:space="preserve">€</t>
        </is>
      </c>
      <c r="F260" s="23">
        <f>CHOOSE(Timing!F71+1,Inputs!$B$62,Inputs!$C$62,Inputs!$D$62)*F258</f>
        <v>68213.02119226228</v>
      </c>
      <c r="G260" s="23">
        <f>CHOOSE(Timing!G71+1,Inputs!$B$62,Inputs!$C$62,Inputs!$D$62)*G258</f>
        <v>138398.28843204</v>
      </c>
      <c r="H260" s="23">
        <f>CHOOSE(Timing!H71+1,Inputs!$B$62,Inputs!$C$62,Inputs!$D$62)*H258</f>
        <v>141166.2542006808</v>
      </c>
      <c r="I260" s="23">
        <f>CHOOSE(Timing!I71+1,Inputs!$B$62,Inputs!$C$62,Inputs!$D$62)*I258</f>
        <v>143989.5792846944</v>
      </c>
      <c r="J260" s="23">
        <f>CHOOSE(Timing!J71+1,Inputs!$B$62,Inputs!$C$62,Inputs!$D$62)*J258</f>
        <v>146869.3708703883</v>
      </c>
      <c r="K260" s="23">
        <f>CHOOSE(Timing!K71+1,Inputs!$B$62,Inputs!$C$62,Inputs!$D$62)*K258</f>
        <v>149806.75828779605</v>
      </c>
      <c r="L260" s="23">
        <f>CHOOSE(Timing!L71+1,Inputs!$B$62,Inputs!$C$62,Inputs!$D$62)*L258</f>
        <v>152802.89345355198</v>
      </c>
      <c r="M260" s="23">
        <f>CHOOSE(Timing!M71+1,Inputs!$B$62,Inputs!$C$62,Inputs!$D$62)*M258</f>
        <v>155858.951322623</v>
      </c>
      <c r="N260" s="23">
        <f>CHOOSE(Timing!N71+1,Inputs!$B$62,Inputs!$C$62,Inputs!$D$62)*N258</f>
        <v>158976.13034907545</v>
      </c>
      <c r="O260" s="23">
        <f>CHOOSE(Timing!O71+1,Inputs!$B$62,Inputs!$C$62,Inputs!$D$62)*O258</f>
        <v>162155.65295605696</v>
      </c>
      <c r="P260" s="23">
        <f>CHOOSE(Timing!P71+1,Inputs!$B$62,Inputs!$C$62,Inputs!$D$62)*P258</f>
        <v>206748.45751897263</v>
      </c>
      <c r="Q260" s="23">
        <f>CHOOSE(Timing!Q71+1,Inputs!$B$62,Inputs!$C$62,Inputs!$D$62)*Q258</f>
        <v>210883.42666935208</v>
      </c>
      <c r="R260" s="23">
        <f>CHOOSE(Timing!R71+1,Inputs!$B$62,Inputs!$C$62,Inputs!$D$62)*R258</f>
        <v>215101.09520273912</v>
      </c>
      <c r="S260" s="23">
        <f>CHOOSE(Timing!S71+1,Inputs!$B$62,Inputs!$C$62,Inputs!$D$62)*S258</f>
        <v>219403.1171067939</v>
      </c>
      <c r="T260" s="23">
        <f>CHOOSE(Timing!T71+1,Inputs!$B$62,Inputs!$C$62,Inputs!$D$62)*T258</f>
        <v>223791.17944892976</v>
      </c>
      <c r="U260" s="23">
        <f>CHOOSE(Timing!U71+1,Inputs!$B$62,Inputs!$C$62,Inputs!$D$62)*U258</f>
        <v>228267.0030379084</v>
      </c>
      <c r="V260" s="23">
        <f>CHOOSE(Timing!V71+1,Inputs!$B$62,Inputs!$C$62,Inputs!$D$62)*V258</f>
        <v>232832.34309866658</v>
      </c>
      <c r="W260" s="23">
        <f>CHOOSE(Timing!W71+1,Inputs!$B$62,Inputs!$C$62,Inputs!$D$62)*W258</f>
        <v>237488.98996063988</v>
      </c>
      <c r="X260" s="23">
        <f>CHOOSE(Timing!X71+1,Inputs!$B$62,Inputs!$C$62,Inputs!$D$62)*X258</f>
        <v>242238.7697598527</v>
      </c>
      <c r="Y260" s="23">
        <f>CHOOSE(Timing!Y71+1,Inputs!$B$62,Inputs!$C$62,Inputs!$D$62)*Y258</f>
        <v>247083.5451550497</v>
      </c>
      <c r="Z260" s="23">
        <f>CHOOSE(Timing!Z71+1,Inputs!$B$62,Inputs!$C$62,Inputs!$D$62)*Z258</f>
        <v>252025.21605815072</v>
      </c>
      <c r="AA260" s="23">
        <f>CHOOSE(Timing!AA71+1,Inputs!$B$62,Inputs!$C$62,Inputs!$D$62)*AA258</f>
        <v>257065.72037931375</v>
      </c>
      <c r="AB260" s="23">
        <f>CHOOSE(Timing!AB71+1,Inputs!$B$62,Inputs!$C$62,Inputs!$D$62)*AB258</f>
        <v>262207.03478690004</v>
      </c>
      <c r="AC260" s="23">
        <f>CHOOSE(Timing!AC71+1,Inputs!$B$62,Inputs!$C$62,Inputs!$D$62)*AC258</f>
        <v>267451.17548263806</v>
      </c>
      <c r="AD260" s="23">
        <f>CHOOSE(Timing!AD71+1,Inputs!$B$62,Inputs!$C$62,Inputs!$D$62)*AD258</f>
        <v>272800.1989922908</v>
      </c>
      <c r="AE260" s="23">
        <f>CHOOSE(Timing!AE71+1,Inputs!$B$62,Inputs!$C$62,Inputs!$D$62)*AE258</f>
        <v>137984.5828437171</v>
      </c>
    </row>
    <row r="261">
      <c r="A261" s="6" t="inlineStr">
        <is>
          <t xml:space="preserve">Insurance</t>
        </is>
      </c>
      <c r="B261" s="10" t="inlineStr">
        <is>
          <t xml:space="preserve">€</t>
        </is>
      </c>
      <c r="F261" s="23">
        <f>CHOOSE(Timing!F71+1,Inputs!$B$63,Inputs!$C$63,Inputs!$D$63)*F258</f>
        <v>17053.25529806557</v>
      </c>
      <c r="G261" s="23">
        <f>CHOOSE(Timing!G71+1,Inputs!$B$63,Inputs!$C$63,Inputs!$D$63)*G258</f>
        <v>34599.57210801</v>
      </c>
      <c r="H261" s="23">
        <f>CHOOSE(Timing!H71+1,Inputs!$B$63,Inputs!$C$63,Inputs!$D$63)*H258</f>
        <v>35291.5635501702</v>
      </c>
      <c r="I261" s="23">
        <f>CHOOSE(Timing!I71+1,Inputs!$B$63,Inputs!$C$63,Inputs!$D$63)*I258</f>
        <v>35997.3948211736</v>
      </c>
      <c r="J261" s="23">
        <f>CHOOSE(Timing!J71+1,Inputs!$B$63,Inputs!$C$63,Inputs!$D$63)*J258</f>
        <v>36717.34271759707</v>
      </c>
      <c r="K261" s="23">
        <f>CHOOSE(Timing!K71+1,Inputs!$B$63,Inputs!$C$63,Inputs!$D$63)*K258</f>
        <v>37451.68957194901</v>
      </c>
      <c r="L261" s="23">
        <f>CHOOSE(Timing!L71+1,Inputs!$B$63,Inputs!$C$63,Inputs!$D$63)*L258</f>
        <v>38200.723363387995</v>
      </c>
      <c r="M261" s="23">
        <f>CHOOSE(Timing!M71+1,Inputs!$B$63,Inputs!$C$63,Inputs!$D$63)*M258</f>
        <v>38964.73783065575</v>
      </c>
      <c r="N261" s="23">
        <f>CHOOSE(Timing!N71+1,Inputs!$B$63,Inputs!$C$63,Inputs!$D$63)*N258</f>
        <v>39744.03258726886</v>
      </c>
      <c r="O261" s="23">
        <f>CHOOSE(Timing!O71+1,Inputs!$B$63,Inputs!$C$63,Inputs!$D$63)*O258</f>
        <v>40538.91323901424</v>
      </c>
      <c r="P261" s="23">
        <f>CHOOSE(Timing!P71+1,Inputs!$B$63,Inputs!$C$63,Inputs!$D$63)*P258</f>
        <v>41349.69150379453</v>
      </c>
      <c r="Q261" s="23">
        <f>CHOOSE(Timing!Q71+1,Inputs!$B$63,Inputs!$C$63,Inputs!$D$63)*Q258</f>
        <v>42176.68533387042</v>
      </c>
      <c r="R261" s="23">
        <f>CHOOSE(Timing!R71+1,Inputs!$B$63,Inputs!$C$63,Inputs!$D$63)*R258</f>
        <v>43020.219040547825</v>
      </c>
      <c r="S261" s="23">
        <f>CHOOSE(Timing!S71+1,Inputs!$B$63,Inputs!$C$63,Inputs!$D$63)*S258</f>
        <v>43880.62342135878</v>
      </c>
      <c r="T261" s="23">
        <f>CHOOSE(Timing!T71+1,Inputs!$B$63,Inputs!$C$63,Inputs!$D$63)*T258</f>
        <v>44758.23588978595</v>
      </c>
      <c r="U261" s="23">
        <f>CHOOSE(Timing!U71+1,Inputs!$B$63,Inputs!$C$63,Inputs!$D$63)*U258</f>
        <v>45653.40060758168</v>
      </c>
      <c r="V261" s="23">
        <f>CHOOSE(Timing!V71+1,Inputs!$B$63,Inputs!$C$63,Inputs!$D$63)*V258</f>
        <v>46566.468619733314</v>
      </c>
      <c r="W261" s="23">
        <f>CHOOSE(Timing!W71+1,Inputs!$B$63,Inputs!$C$63,Inputs!$D$63)*W258</f>
        <v>47497.79799212798</v>
      </c>
      <c r="X261" s="23">
        <f>CHOOSE(Timing!X71+1,Inputs!$B$63,Inputs!$C$63,Inputs!$D$63)*X258</f>
        <v>48447.75395197054</v>
      </c>
      <c r="Y261" s="23">
        <f>CHOOSE(Timing!Y71+1,Inputs!$B$63,Inputs!$C$63,Inputs!$D$63)*Y258</f>
        <v>49416.709031009945</v>
      </c>
      <c r="Z261" s="23">
        <f>CHOOSE(Timing!Z71+1,Inputs!$B$63,Inputs!$C$63,Inputs!$D$63)*Z258</f>
        <v>50405.043211630145</v>
      </c>
      <c r="AA261" s="23">
        <f>CHOOSE(Timing!AA71+1,Inputs!$B$63,Inputs!$C$63,Inputs!$D$63)*AA258</f>
        <v>51413.14407586275</v>
      </c>
      <c r="AB261" s="23">
        <f>CHOOSE(Timing!AB71+1,Inputs!$B$63,Inputs!$C$63,Inputs!$D$63)*AB258</f>
        <v>52441.40695738001</v>
      </c>
      <c r="AC261" s="23">
        <f>CHOOSE(Timing!AC71+1,Inputs!$B$63,Inputs!$C$63,Inputs!$D$63)*AC258</f>
        <v>53490.23509652761</v>
      </c>
      <c r="AD261" s="23">
        <f>CHOOSE(Timing!AD71+1,Inputs!$B$63,Inputs!$C$63,Inputs!$D$63)*AD258</f>
        <v>54560.039798458165</v>
      </c>
      <c r="AE261" s="23">
        <f>CHOOSE(Timing!AE71+1,Inputs!$B$63,Inputs!$C$63,Inputs!$D$63)*AE258</f>
        <v>27596.916568743418</v>
      </c>
    </row>
    <row r="262">
      <c r="A262" s="6" t="inlineStr">
        <is>
          <t xml:space="preserve">Other</t>
        </is>
      </c>
      <c r="B262" s="10" t="inlineStr">
        <is>
          <t xml:space="preserve">€</t>
        </is>
      </c>
      <c r="F262" s="23">
        <f>CHOOSE(Timing!F71+1,Inputs!$B$64,Inputs!$C$64,Inputs!$D$64)*F258</f>
        <v>102319.53178839342</v>
      </c>
      <c r="G262" s="23">
        <f>CHOOSE(Timing!G71+1,Inputs!$B$64,Inputs!$C$64,Inputs!$D$64)*G258</f>
        <v>207597.43264805997</v>
      </c>
      <c r="H262" s="23">
        <f>CHOOSE(Timing!H71+1,Inputs!$B$64,Inputs!$C$64,Inputs!$D$64)*H258</f>
        <v>211749.3813010212</v>
      </c>
      <c r="I262" s="23">
        <f>CHOOSE(Timing!I71+1,Inputs!$B$64,Inputs!$C$64,Inputs!$D$64)*I258</f>
        <v>215984.3689270416</v>
      </c>
      <c r="J262" s="23">
        <f>CHOOSE(Timing!J71+1,Inputs!$B$64,Inputs!$C$64,Inputs!$D$64)*J258</f>
        <v>220304.05630558243</v>
      </c>
      <c r="K262" s="23">
        <f>CHOOSE(Timing!K71+1,Inputs!$B$64,Inputs!$C$64,Inputs!$D$64)*K258</f>
        <v>224710.13743169408</v>
      </c>
      <c r="L262" s="23">
        <f>CHOOSE(Timing!L71+1,Inputs!$B$64,Inputs!$C$64,Inputs!$D$64)*L258</f>
        <v>229204.34018032797</v>
      </c>
      <c r="M262" s="23">
        <f>CHOOSE(Timing!M71+1,Inputs!$B$64,Inputs!$C$64,Inputs!$D$64)*M258</f>
        <v>233788.4269839345</v>
      </c>
      <c r="N262" s="23">
        <f>CHOOSE(Timing!N71+1,Inputs!$B$64,Inputs!$C$64,Inputs!$D$64)*N258</f>
        <v>238464.1955236132</v>
      </c>
      <c r="O262" s="23">
        <f>CHOOSE(Timing!O71+1,Inputs!$B$64,Inputs!$C$64,Inputs!$D$64)*O258</f>
        <v>243233.47943408543</v>
      </c>
      <c r="P262" s="23">
        <f>CHOOSE(Timing!P71+1,Inputs!$B$64,Inputs!$C$64,Inputs!$D$64)*P258</f>
        <v>248098.14902276717</v>
      </c>
      <c r="Q262" s="23">
        <f>CHOOSE(Timing!Q71+1,Inputs!$B$64,Inputs!$C$64,Inputs!$D$64)*Q258</f>
        <v>253060.11200322252</v>
      </c>
      <c r="R262" s="23">
        <f>CHOOSE(Timing!R71+1,Inputs!$B$64,Inputs!$C$64,Inputs!$D$64)*R258</f>
        <v>258121.31424328696</v>
      </c>
      <c r="S262" s="23">
        <f>CHOOSE(Timing!S71+1,Inputs!$B$64,Inputs!$C$64,Inputs!$D$64)*S258</f>
        <v>263283.7405281527</v>
      </c>
      <c r="T262" s="23">
        <f>CHOOSE(Timing!T71+1,Inputs!$B$64,Inputs!$C$64,Inputs!$D$64)*T258</f>
        <v>268549.4153387157</v>
      </c>
      <c r="U262" s="23">
        <f>CHOOSE(Timing!U71+1,Inputs!$B$64,Inputs!$C$64,Inputs!$D$64)*U258</f>
        <v>273920.40364549006</v>
      </c>
      <c r="V262" s="23">
        <f>CHOOSE(Timing!V71+1,Inputs!$B$64,Inputs!$C$64,Inputs!$D$64)*V258</f>
        <v>279398.81171839987</v>
      </c>
      <c r="W262" s="23">
        <f>CHOOSE(Timing!W71+1,Inputs!$B$64,Inputs!$C$64,Inputs!$D$64)*W258</f>
        <v>284986.78795276786</v>
      </c>
      <c r="X262" s="23">
        <f>CHOOSE(Timing!X71+1,Inputs!$B$64,Inputs!$C$64,Inputs!$D$64)*X258</f>
        <v>290686.5237118232</v>
      </c>
      <c r="Y262" s="23">
        <f>CHOOSE(Timing!Y71+1,Inputs!$B$64,Inputs!$C$64,Inputs!$D$64)*Y258</f>
        <v>296500.2541860597</v>
      </c>
      <c r="Z262" s="23">
        <f>CHOOSE(Timing!Z71+1,Inputs!$B$64,Inputs!$C$64,Inputs!$D$64)*Z258</f>
        <v>302430.2592697809</v>
      </c>
      <c r="AA262" s="23">
        <f>CHOOSE(Timing!AA71+1,Inputs!$B$64,Inputs!$C$64,Inputs!$D$64)*AA258</f>
        <v>308478.8644551765</v>
      </c>
      <c r="AB262" s="23">
        <f>CHOOSE(Timing!AB71+1,Inputs!$B$64,Inputs!$C$64,Inputs!$D$64)*AB258</f>
        <v>314648.44174428005</v>
      </c>
      <c r="AC262" s="23">
        <f>CHOOSE(Timing!AC71+1,Inputs!$B$64,Inputs!$C$64,Inputs!$D$64)*AC258</f>
        <v>320941.4105791657</v>
      </c>
      <c r="AD262" s="23">
        <f>CHOOSE(Timing!AD71+1,Inputs!$B$64,Inputs!$C$64,Inputs!$D$64)*AD258</f>
        <v>327360.238790749</v>
      </c>
      <c r="AE262" s="23">
        <f>CHOOSE(Timing!AE71+1,Inputs!$B$64,Inputs!$C$64,Inputs!$D$64)*AE258</f>
        <v>165581.49941246051</v>
      </c>
    </row>
    <row r="263">
      <c r="A263" s="6" t="inlineStr">
        <is>
          <t xml:space="preserve">Land lease on revenue</t>
        </is>
      </c>
      <c r="B263" s="10" t="inlineStr">
        <is>
          <t xml:space="preserve">€</t>
        </is>
      </c>
      <c r="F263" s="23">
        <f>Inputs!$C$65*F256</f>
        <v>231118.30909180336</v>
      </c>
      <c r="G263" s="23">
        <f>Inputs!$C$65*G256</f>
        <v>458805.0137247001</v>
      </c>
      <c r="H263" s="23">
        <f>Inputs!$C$65*H256</f>
        <v>457887.40369725064</v>
      </c>
      <c r="I263" s="23">
        <f>Inputs!$C$65*I256</f>
        <v>456971.6288898562</v>
      </c>
      <c r="J263" s="23">
        <f>Inputs!$C$65*J256</f>
        <v>456057.6856320765</v>
      </c>
      <c r="K263" s="23">
        <f>Inputs!$C$65*K256</f>
        <v>455145.57026081235</v>
      </c>
      <c r="L263" s="23">
        <f>Inputs!$C$65*L256</f>
        <v>454235.27912029065</v>
      </c>
      <c r="M263" s="23">
        <f>Inputs!$C$65*M256</f>
        <v>453326.8085620501</v>
      </c>
      <c r="N263" s="23">
        <f>Inputs!$C$65*N256</f>
        <v>452420.154944926</v>
      </c>
      <c r="O263" s="23">
        <f>Inputs!$C$65*O256</f>
        <v>451515.3146350363</v>
      </c>
      <c r="P263" s="23">
        <f>Inputs!$C$65*P256</f>
        <v>450612.28400576604</v>
      </c>
      <c r="Q263" s="23">
        <f>Inputs!$C$65*Q256</f>
        <v>449711.0594377545</v>
      </c>
      <c r="R263" s="23">
        <f>Inputs!$C$65*R256</f>
        <v>448811.637318879</v>
      </c>
      <c r="S263" s="23">
        <f>Inputs!$C$65*S256</f>
        <v>447914.01404424134</v>
      </c>
      <c r="T263" s="23">
        <f>Inputs!$C$65*T256</f>
        <v>447018.18601615285</v>
      </c>
      <c r="U263" s="23">
        <f>Inputs!$C$65*U256</f>
        <v>446124.14964412054</v>
      </c>
      <c r="V263" s="23">
        <f>Inputs!$C$65*V256</f>
        <v>445231.90134483227</v>
      </c>
      <c r="W263" s="23">
        <f>Inputs!$C$65*W256</f>
        <v>444341.4375421426</v>
      </c>
      <c r="X263" s="23">
        <f>Inputs!$C$65*X256</f>
        <v>443452.75466705835</v>
      </c>
      <c r="Y263" s="23">
        <f>Inputs!$C$65*Y256</f>
        <v>442565.8491577242</v>
      </c>
      <c r="Z263" s="23">
        <f>Inputs!$C$65*Z256</f>
        <v>441680.7174594088</v>
      </c>
      <c r="AA263" s="23">
        <f>Inputs!$C$65*AA256</f>
        <v>502088.7548776161</v>
      </c>
      <c r="AB263" s="23">
        <f>Inputs!$C$65*AB256</f>
        <v>713518.1488344201</v>
      </c>
      <c r="AC263" s="23">
        <f>Inputs!$C$65*AC256</f>
        <v>726332.9347874864</v>
      </c>
      <c r="AD263" s="23">
        <f>Inputs!$C$65*AD256</f>
        <v>739377.8742962697</v>
      </c>
      <c r="AE263" s="23">
        <f>Inputs!$C$65*AE256</f>
        <v>373235.43908567727</v>
      </c>
    </row>
    <row r="264">
      <c r="A264" s="6" t="inlineStr">
        <is>
          <t xml:space="preserve">Land lease minimum</t>
        </is>
      </c>
      <c r="B264" s="10" t="inlineStr">
        <is>
          <t xml:space="preserve">€</t>
        </is>
      </c>
      <c r="F264" s="23">
        <f>Inputs!$C$66*Inputs!$C$6*Timing!F76*Timing!F66</f>
        <v>184140.53879781417</v>
      </c>
      <c r="G264" s="23">
        <f>Inputs!$C$66*Inputs!$C$6*Timing!G76*Timing!G66</f>
        <v>373605.14099999995</v>
      </c>
      <c r="H264" s="23">
        <f>Inputs!$C$66*Inputs!$C$6*Timing!H76*Timing!H66</f>
        <v>381077.24382000003</v>
      </c>
      <c r="I264" s="23">
        <f>Inputs!$C$66*Inputs!$C$6*Timing!I76*Timing!I66</f>
        <v>388698.78869639995</v>
      </c>
      <c r="J264" s="23">
        <f>Inputs!$C$66*Inputs!$C$6*Timing!J76*Timing!J66</f>
        <v>396472.764470328</v>
      </c>
      <c r="K264" s="23">
        <f>Inputs!$C$66*Inputs!$C$6*Timing!K76*Timing!K66</f>
        <v>404402.2197597346</v>
      </c>
      <c r="L264" s="23">
        <f>Inputs!$C$66*Inputs!$C$6*Timing!L76*Timing!L66</f>
        <v>412490.26415492926</v>
      </c>
      <c r="M264" s="23">
        <f>Inputs!$C$66*Inputs!$C$6*Timing!M76*Timing!M66</f>
        <v>420740.0694380278</v>
      </c>
      <c r="N264" s="23">
        <f>Inputs!$C$66*Inputs!$C$6*Timing!N76*Timing!N66</f>
        <v>429154.87082678836</v>
      </c>
      <c r="O264" s="23">
        <f>Inputs!$C$66*Inputs!$C$6*Timing!O76*Timing!O66</f>
        <v>437737.9682433241</v>
      </c>
      <c r="P264" s="23">
        <f>Inputs!$C$66*Inputs!$C$6*Timing!P76*Timing!P66</f>
        <v>446492.72760819056</v>
      </c>
      <c r="Q264" s="23">
        <f>Inputs!$C$66*Inputs!$C$6*Timing!Q76*Timing!Q66</f>
        <v>455422.58216035436</v>
      </c>
      <c r="R264" s="23">
        <f>Inputs!$C$66*Inputs!$C$6*Timing!R76*Timing!R66</f>
        <v>464531.0338035615</v>
      </c>
      <c r="S264" s="23">
        <f>Inputs!$C$66*Inputs!$C$6*Timing!S76*Timing!S66</f>
        <v>473821.6544796327</v>
      </c>
      <c r="T264" s="23">
        <f>Inputs!$C$66*Inputs!$C$6*Timing!T76*Timing!T66</f>
        <v>483298.08756922535</v>
      </c>
      <c r="U264" s="23">
        <f>Inputs!$C$66*Inputs!$C$6*Timing!U76*Timing!U66</f>
        <v>492964.04932060983</v>
      </c>
      <c r="V264" s="23">
        <f>Inputs!$C$66*Inputs!$C$6*Timing!V76*Timing!V66</f>
        <v>502823.3303070221</v>
      </c>
      <c r="W264" s="23">
        <f>Inputs!$C$66*Inputs!$C$6*Timing!W76*Timing!W66</f>
        <v>512879.7969131625</v>
      </c>
      <c r="X264" s="23">
        <f>Inputs!$C$66*Inputs!$C$6*Timing!X76*Timing!X66</f>
        <v>523137.39285142574</v>
      </c>
      <c r="Y264" s="23">
        <f>Inputs!$C$66*Inputs!$C$6*Timing!Y76*Timing!Y66</f>
        <v>533600.1407084543</v>
      </c>
      <c r="Z264" s="23">
        <f>Inputs!$C$66*Inputs!$C$6*Timing!Z76*Timing!Z66</f>
        <v>544272.1435226233</v>
      </c>
      <c r="AA264" s="23">
        <f>Inputs!$C$66*Inputs!$C$6*Timing!AA76*Timing!AA66</f>
        <v>555157.5863930759</v>
      </c>
      <c r="AB264" s="23">
        <f>Inputs!$C$66*Inputs!$C$6*Timing!AB76*Timing!AB66</f>
        <v>566260.7381209374</v>
      </c>
      <c r="AC264" s="23">
        <f>Inputs!$C$66*Inputs!$C$6*Timing!AC76*Timing!AC66</f>
        <v>577585.9528833561</v>
      </c>
      <c r="AD264" s="23">
        <f>Inputs!$C$66*Inputs!$C$6*Timing!AD76*Timing!AD66</f>
        <v>589137.6719410233</v>
      </c>
      <c r="AE264" s="23">
        <f>Inputs!$C$66*Inputs!$C$6*Timing!AE76*Timing!AE66</f>
        <v>297990.6766952102</v>
      </c>
    </row>
    <row r="265">
      <c r="A265" s="6" t="inlineStr">
        <is>
          <t xml:space="preserve">Land lease</t>
        </is>
      </c>
      <c r="B265" s="10" t="inlineStr">
        <is>
          <t xml:space="preserve">€</t>
        </is>
      </c>
      <c r="F265" s="23">
        <f>MAX(F263,F264)</f>
        <v>231118.30909180336</v>
      </c>
      <c r="G265" s="23">
        <f>MAX(G263,G264)</f>
        <v>458805.0137247001</v>
      </c>
      <c r="H265" s="23">
        <f>MAX(H263,H264)</f>
        <v>457887.40369725064</v>
      </c>
      <c r="I265" s="23">
        <f>MAX(I263,I264)</f>
        <v>456971.6288898562</v>
      </c>
      <c r="J265" s="23">
        <f>MAX(J263,J264)</f>
        <v>456057.6856320765</v>
      </c>
      <c r="K265" s="23">
        <f>MAX(K263,K264)</f>
        <v>455145.57026081235</v>
      </c>
      <c r="L265" s="23">
        <f>MAX(L263,L264)</f>
        <v>454235.27912029065</v>
      </c>
      <c r="M265" s="23">
        <f>MAX(M263,M264)</f>
        <v>453326.8085620501</v>
      </c>
      <c r="N265" s="23">
        <f>MAX(N263,N264)</f>
        <v>452420.154944926</v>
      </c>
      <c r="O265" s="23">
        <f>MAX(O263,O264)</f>
        <v>451515.3146350363</v>
      </c>
      <c r="P265" s="23">
        <f>MAX(P263,P264)</f>
        <v>450612.28400576604</v>
      </c>
      <c r="Q265" s="23">
        <f>MAX(Q263,Q264)</f>
        <v>455422.58216035436</v>
      </c>
      <c r="R265" s="23">
        <f>MAX(R263,R264)</f>
        <v>464531.0338035615</v>
      </c>
      <c r="S265" s="23">
        <f>MAX(S263,S264)</f>
        <v>473821.6544796327</v>
      </c>
      <c r="T265" s="23">
        <f>MAX(T263,T264)</f>
        <v>483298.08756922535</v>
      </c>
      <c r="U265" s="23">
        <f>MAX(U263,U264)</f>
        <v>492964.04932060983</v>
      </c>
      <c r="V265" s="23">
        <f>MAX(V263,V264)</f>
        <v>502823.3303070221</v>
      </c>
      <c r="W265" s="23">
        <f>MAX(W263,W264)</f>
        <v>512879.7969131625</v>
      </c>
      <c r="X265" s="23">
        <f>MAX(X263,X264)</f>
        <v>523137.39285142574</v>
      </c>
      <c r="Y265" s="23">
        <f>MAX(Y263,Y264)</f>
        <v>533600.1407084543</v>
      </c>
      <c r="Z265" s="23">
        <f>MAX(Z263,Z264)</f>
        <v>544272.1435226233</v>
      </c>
      <c r="AA265" s="23">
        <f>MAX(AA263,AA264)</f>
        <v>555157.5863930759</v>
      </c>
      <c r="AB265" s="23">
        <f>MAX(AB263,AB264)</f>
        <v>713518.1488344201</v>
      </c>
      <c r="AC265" s="23">
        <f>MAX(AC263,AC264)</f>
        <v>726332.9347874864</v>
      </c>
      <c r="AD265" s="23">
        <f>MAX(AD263,AD264)</f>
        <v>739377.8742962697</v>
      </c>
      <c r="AE265" s="23">
        <f>MAX(AE263,AE264)</f>
        <v>373235.43908567727</v>
      </c>
    </row>
    <row r="266">
      <c r="A266" s="6" t="inlineStr">
        <is>
          <t xml:space="preserve">Direct marketing</t>
        </is>
      </c>
      <c r="B266" s="10" t="inlineStr">
        <is>
          <t xml:space="preserve">€</t>
        </is>
      </c>
      <c r="F266" s="23">
        <f>Inputs!$C$32*Timing!F76/100*F240</f>
        <v>76783.59206431439</v>
      </c>
      <c r="G266" s="23">
        <f>Inputs!$C$32*Timing!G76/100*G240</f>
        <v>155475.65700147257</v>
      </c>
      <c r="H266" s="23">
        <f>Inputs!$C$32*Timing!H76/100*H240</f>
        <v>158267.99980121903</v>
      </c>
      <c r="I266" s="23">
        <f>Inputs!$C$32*Timing!I76/100*I240</f>
        <v>161110.4930776489</v>
      </c>
      <c r="J266" s="23">
        <f>Inputs!$C$32*Timing!J76/100*J240</f>
        <v>164004.03753332346</v>
      </c>
      <c r="K266" s="23">
        <f>Inputs!$C$32*Timing!K76/100*K240</f>
        <v>166949.550047422</v>
      </c>
      <c r="L266" s="23">
        <f>Inputs!$C$32*Timing!L76/100*L240</f>
        <v>169947.9639662737</v>
      </c>
      <c r="M266" s="23">
        <f>Inputs!$C$32*Timing!M76/100*M240</f>
        <v>173000.22939910795</v>
      </c>
      <c r="N266" s="23">
        <f>Inputs!$C$32*Timing!N76/100*N240</f>
        <v>176107.31351911588</v>
      </c>
      <c r="O266" s="23">
        <f>Inputs!$C$32*Timing!O76/100*O240</f>
        <v>179270.20086991927</v>
      </c>
      <c r="P266" s="23">
        <f>Inputs!$C$32*Timing!P76/100*P240</f>
        <v>182489.89367754298</v>
      </c>
      <c r="Q266" s="23">
        <f>Inputs!$C$32*Timing!Q76/100*Q240</f>
        <v>185767.41216799163</v>
      </c>
      <c r="R266" s="23">
        <f>Inputs!$C$32*Timing!R76/100*R240</f>
        <v>189103.7948905288</v>
      </c>
      <c r="S266" s="23">
        <f>Inputs!$C$32*Timing!S76/100*S240</f>
        <v>192500.09904676268</v>
      </c>
      <c r="T266" s="23">
        <f>Inputs!$C$32*Timing!T76/100*T240</f>
        <v>195957.40082564254</v>
      </c>
      <c r="U266" s="23">
        <f>Inputs!$C$32*Timing!U76/100*U240</f>
        <v>199476.7957444711</v>
      </c>
      <c r="V266" s="23">
        <f>Inputs!$C$32*Timing!V76/100*V240</f>
        <v>203059.39899604174</v>
      </c>
      <c r="W266" s="23">
        <f>Inputs!$C$32*Timing!W76/100*W240</f>
        <v>206706.34580201068</v>
      </c>
      <c r="X266" s="23">
        <f>Inputs!$C$32*Timing!X76/100*X240</f>
        <v>210418.79177261482</v>
      </c>
      <c r="Y266" s="23">
        <f>Inputs!$C$32*Timing!Y76/100*Y240</f>
        <v>214197.91327285094</v>
      </c>
      <c r="Z266" s="23">
        <f>Inputs!$C$32*Timing!Z76/100*Z240</f>
        <v>218044.90779523135</v>
      </c>
      <c r="AA266" s="23">
        <f>Inputs!$C$32*Timing!AA76/100*AA240</f>
        <v>221960.99433923376</v>
      </c>
      <c r="AB266" s="23">
        <f>Inputs!$C$32*Timing!AB76/100*AB240</f>
        <v>225947.41379756638</v>
      </c>
      <c r="AC266" s="23">
        <f>Inputs!$C$32*Timing!AC76/100*AC240</f>
        <v>230005.42934937068</v>
      </c>
      <c r="AD266" s="23">
        <f>Inputs!$C$32*Timing!AD76/100*AD240</f>
        <v>234136.32686048537</v>
      </c>
      <c r="AE266" s="23">
        <f>Inputs!$C$32*Timing!AE76/100*AE240</f>
        <v>118191.2223771311</v>
      </c>
    </row>
    <row r="267">
      <c r="A267" s="6" t="inlineStr">
        <is>
          <t xml:space="preserve">Municipal payment (§ 6)</t>
        </is>
      </c>
      <c r="B267" s="10" t="inlineStr">
        <is>
          <t xml:space="preserve">€</t>
        </is>
      </c>
      <c r="F267" s="23">
        <f>Inputs!$C$38/100*F239*(Timing!F69+IF(Inputs!$C$39,1-Timing!F69,0))</f>
        <v>77232.51765807964</v>
      </c>
      <c r="G267" s="23">
        <f>Inputs!$C$38/100*G239*(Timing!G69+IF(Inputs!$C$39,1-Timing!G69,0))</f>
        <v>153318.3003257143</v>
      </c>
      <c r="H267" s="23">
        <f>Inputs!$C$38/100*H239*(Timing!H69+IF(Inputs!$C$39,1-Timing!H69,0))</f>
        <v>153011.66372506288</v>
      </c>
      <c r="I267" s="23">
        <f>Inputs!$C$38/100*I239*(Timing!I69+IF(Inputs!$C$39,1-Timing!I69,0))</f>
        <v>152705.6403976128</v>
      </c>
      <c r="J267" s="23">
        <f>Inputs!$C$38/100*J239*(Timing!J69+IF(Inputs!$C$39,1-Timing!J69,0))</f>
        <v>152400.22911681753</v>
      </c>
      <c r="K267" s="23">
        <f>Inputs!$C$38/100*K239*(Timing!K69+IF(Inputs!$C$39,1-Timing!K69,0))</f>
        <v>152095.4286585839</v>
      </c>
      <c r="L267" s="23">
        <f>Inputs!$C$38/100*L239*(Timing!L69+IF(Inputs!$C$39,1-Timing!L69,0))</f>
        <v>151791.23780126675</v>
      </c>
      <c r="M267" s="23">
        <f>Inputs!$C$38/100*M239*(Timing!M69+IF(Inputs!$C$39,1-Timing!M69,0))</f>
        <v>151487.6553256642</v>
      </c>
      <c r="N267" s="23">
        <f>Inputs!$C$38/100*N239*(Timing!N69+IF(Inputs!$C$39,1-Timing!N69,0))</f>
        <v>151184.68001501285</v>
      </c>
      <c r="O267" s="23">
        <f>Inputs!$C$38/100*O239*(Timing!O69+IF(Inputs!$C$39,1-Timing!O69,0))</f>
        <v>150882.31065498287</v>
      </c>
      <c r="P267" s="23">
        <f>Inputs!$C$38/100*P239*(Timing!P69+IF(Inputs!$C$39,1-Timing!P69,0))</f>
        <v>150580.54603367287</v>
      </c>
      <c r="Q267" s="23">
        <f>Inputs!$C$38/100*Q239*(Timing!Q69+IF(Inputs!$C$39,1-Timing!Q69,0))</f>
        <v>150279.38494160553</v>
      </c>
      <c r="R267" s="23">
        <f>Inputs!$C$38/100*R239*(Timing!R69+IF(Inputs!$C$39,1-Timing!R69,0))</f>
        <v>149978.82617172232</v>
      </c>
      <c r="S267" s="23">
        <f>Inputs!$C$38/100*S239*(Timing!S69+IF(Inputs!$C$39,1-Timing!S69,0))</f>
        <v>149678.8685193789</v>
      </c>
      <c r="T267" s="23">
        <f>Inputs!$C$38/100*T239*(Timing!T69+IF(Inputs!$C$39,1-Timing!T69,0))</f>
        <v>149379.5107823401</v>
      </c>
      <c r="U267" s="23">
        <f>Inputs!$C$38/100*U239*(Timing!U69+IF(Inputs!$C$39,1-Timing!U69,0))</f>
        <v>149080.75176077546</v>
      </c>
      <c r="V267" s="23">
        <f>Inputs!$C$38/100*V239*(Timing!V69+IF(Inputs!$C$39,1-Timing!V69,0))</f>
        <v>148782.59025725388</v>
      </c>
      <c r="W267" s="23">
        <f>Inputs!$C$38/100*W239*(Timing!W69+IF(Inputs!$C$39,1-Timing!W69,0))</f>
        <v>148485.02507673937</v>
      </c>
      <c r="X267" s="23">
        <f>Inputs!$C$38/100*X239*(Timing!X69+IF(Inputs!$C$39,1-Timing!X69,0))</f>
        <v>148188.0550265859</v>
      </c>
      <c r="Y267" s="23">
        <f>Inputs!$C$38/100*Y239*(Timing!Y69+IF(Inputs!$C$39,1-Timing!Y69,0))</f>
        <v>147891.67891653272</v>
      </c>
      <c r="Z267" s="23">
        <f>Inputs!$C$38/100*Z239*(Timing!Z69+IF(Inputs!$C$39,1-Timing!Z69,0))</f>
        <v>147595.89555869967</v>
      </c>
      <c r="AA267" s="23">
        <f>Inputs!$C$38/100*AA239*(Timing!AA69+IF(Inputs!$C$39,1-Timing!AA69,0))</f>
        <v>147300.70376758228</v>
      </c>
      <c r="AB267" s="23">
        <f>Inputs!$C$38/100*AB239*(Timing!AB69+IF(Inputs!$C$39,1-Timing!AB69,0))</f>
        <v>147006.1023600471</v>
      </c>
      <c r="AC267" s="23">
        <f>Inputs!$C$38/100*AC239*(Timing!AC69+IF(Inputs!$C$39,1-Timing!AC69,0))</f>
        <v>146712.09015532702</v>
      </c>
      <c r="AD267" s="23">
        <f>Inputs!$C$38/100*AD239*(Timing!AD69+IF(Inputs!$C$39,1-Timing!AD69,0))</f>
        <v>146418.66597501637</v>
      </c>
      <c r="AE267" s="23">
        <f>Inputs!$C$38/100*AE239*(Timing!AE69+IF(Inputs!$C$39,1-Timing!AE69,0))</f>
        <v>72462.39721752057</v>
      </c>
    </row>
    <row r="268">
      <c r="A268" s="6" t="inlineStr">
        <is>
          <t xml:space="preserve">Guarantee fee</t>
        </is>
      </c>
      <c r="B268" s="10" t="inlineStr">
        <is>
          <t xml:space="preserve">€</t>
        </is>
      </c>
      <c r="F268" s="23">
        <f>Timing!$C$33*Inputs!$C$68*Timing!F66</f>
        <v>4995.901639344263</v>
      </c>
      <c r="G268" s="23">
        <f>Timing!$C$33*Inputs!$C$68*Timing!G66</f>
        <v>9937.5</v>
      </c>
      <c r="H268" s="23">
        <f>Timing!$C$33*Inputs!$C$68*Timing!H66</f>
        <v>9937.5</v>
      </c>
      <c r="I268" s="23">
        <f>Timing!$C$33*Inputs!$C$68*Timing!I66</f>
        <v>9937.5</v>
      </c>
      <c r="J268" s="23">
        <f>Timing!$C$33*Inputs!$C$68*Timing!J66</f>
        <v>9937.5</v>
      </c>
      <c r="K268" s="23">
        <f>Timing!$C$33*Inputs!$C$68*Timing!K66</f>
        <v>9937.5</v>
      </c>
      <c r="L268" s="23">
        <f>Timing!$C$33*Inputs!$C$68*Timing!L66</f>
        <v>9937.5</v>
      </c>
      <c r="M268" s="23">
        <f>Timing!$C$33*Inputs!$C$68*Timing!M66</f>
        <v>9937.5</v>
      </c>
      <c r="N268" s="23">
        <f>Timing!$C$33*Inputs!$C$68*Timing!N66</f>
        <v>9937.5</v>
      </c>
      <c r="O268" s="23">
        <f>Timing!$C$33*Inputs!$C$68*Timing!O66</f>
        <v>9937.5</v>
      </c>
      <c r="P268" s="23">
        <f>Timing!$C$33*Inputs!$C$68*Timing!P66</f>
        <v>9937.5</v>
      </c>
      <c r="Q268" s="23">
        <f>Timing!$C$33*Inputs!$C$68*Timing!Q66</f>
        <v>9937.5</v>
      </c>
      <c r="R268" s="23">
        <f>Timing!$C$33*Inputs!$C$68*Timing!R66</f>
        <v>9937.5</v>
      </c>
      <c r="S268" s="23">
        <f>Timing!$C$33*Inputs!$C$68*Timing!S66</f>
        <v>9937.5</v>
      </c>
      <c r="T268" s="23">
        <f>Timing!$C$33*Inputs!$C$68*Timing!T66</f>
        <v>9937.5</v>
      </c>
      <c r="U268" s="23">
        <f>Timing!$C$33*Inputs!$C$68*Timing!U66</f>
        <v>9937.5</v>
      </c>
      <c r="V268" s="23">
        <f>Timing!$C$33*Inputs!$C$68*Timing!V66</f>
        <v>9937.5</v>
      </c>
      <c r="W268" s="23">
        <f>Timing!$C$33*Inputs!$C$68*Timing!W66</f>
        <v>9937.5</v>
      </c>
      <c r="X268" s="23">
        <f>Timing!$C$33*Inputs!$C$68*Timing!X66</f>
        <v>9937.5</v>
      </c>
      <c r="Y268" s="23">
        <f>Timing!$C$33*Inputs!$C$68*Timing!Y66</f>
        <v>9937.5</v>
      </c>
      <c r="Z268" s="23">
        <f>Timing!$C$33*Inputs!$C$68*Timing!Z66</f>
        <v>9937.5</v>
      </c>
      <c r="AA268" s="23">
        <f>Timing!$C$33*Inputs!$C$68*Timing!AA66</f>
        <v>9937.5</v>
      </c>
      <c r="AB268" s="23">
        <f>Timing!$C$33*Inputs!$C$68*Timing!AB66</f>
        <v>9937.5</v>
      </c>
      <c r="AC268" s="23">
        <f>Timing!$C$33*Inputs!$C$68*Timing!AC66</f>
        <v>9937.5</v>
      </c>
      <c r="AD268" s="23">
        <f>Timing!$C$33*Inputs!$C$68*Timing!AD66</f>
        <v>9937.5</v>
      </c>
      <c r="AE268" s="23">
        <f>Timing!$C$33*Inputs!$C$68*Timing!AE66</f>
        <v>4927.91095890411</v>
      </c>
    </row>
    <row r="269">
      <c r="A269" s="6" t="inlineStr">
        <is>
          <t xml:space="preserve">Generator grid fee</t>
        </is>
      </c>
      <c r="B269" s="10" t="inlineStr">
        <is>
          <t xml:space="preserve">€</t>
        </is>
      </c>
      <c r="F269" s="23">
        <f>Inputs!$C$71*Timing!$C$28*Timing!F76*Timing!F66*1</f>
        <v>0</v>
      </c>
      <c r="G269" s="23">
        <f>Inputs!$C$71*Timing!$C$28*Timing!G76*Timing!G66*1</f>
        <v>0</v>
      </c>
      <c r="H269" s="23">
        <f>Inputs!$C$71*Timing!$C$28*Timing!H76*Timing!H66*1</f>
        <v>0</v>
      </c>
      <c r="I269" s="23">
        <f>Inputs!$C$71*Timing!$C$28*Timing!I76*Timing!I66*1</f>
        <v>0</v>
      </c>
      <c r="J269" s="23">
        <f>Inputs!$C$71*Timing!$C$28*Timing!J76*Timing!J66*1</f>
        <v>0</v>
      </c>
      <c r="K269" s="23">
        <f>Inputs!$C$71*Timing!$C$28*Timing!K76*Timing!K66*1</f>
        <v>0</v>
      </c>
      <c r="L269" s="23">
        <f>Inputs!$C$71*Timing!$C$28*Timing!L76*Timing!L66*1</f>
        <v>0</v>
      </c>
      <c r="M269" s="23">
        <f>Inputs!$C$71*Timing!$C$28*Timing!M76*Timing!M66*1</f>
        <v>0</v>
      </c>
      <c r="N269" s="23">
        <f>Inputs!$C$71*Timing!$C$28*Timing!N76*Timing!N66*1</f>
        <v>0</v>
      </c>
      <c r="O269" s="23">
        <f>Inputs!$C$71*Timing!$C$28*Timing!O76*Timing!O66*1</f>
        <v>0</v>
      </c>
      <c r="P269" s="23">
        <f>Inputs!$C$71*Timing!$C$28*Timing!P76*Timing!P66*1</f>
        <v>0</v>
      </c>
      <c r="Q269" s="23">
        <f>Inputs!$C$71*Timing!$C$28*Timing!Q76*Timing!Q66*1</f>
        <v>0</v>
      </c>
      <c r="R269" s="23">
        <f>Inputs!$C$71*Timing!$C$28*Timing!R76*Timing!R66*1</f>
        <v>0</v>
      </c>
      <c r="S269" s="23">
        <f>Inputs!$C$71*Timing!$C$28*Timing!S76*Timing!S66*1</f>
        <v>0</v>
      </c>
      <c r="T269" s="23">
        <f>Inputs!$C$71*Timing!$C$28*Timing!T76*Timing!T66*1</f>
        <v>0</v>
      </c>
      <c r="U269" s="23">
        <f>Inputs!$C$71*Timing!$C$28*Timing!U76*Timing!U66*1</f>
        <v>0</v>
      </c>
      <c r="V269" s="23">
        <f>Inputs!$C$71*Timing!$C$28*Timing!V76*Timing!V66*1</f>
        <v>0</v>
      </c>
      <c r="W269" s="23">
        <f>Inputs!$C$71*Timing!$C$28*Timing!W76*Timing!W66*1</f>
        <v>0</v>
      </c>
      <c r="X269" s="23">
        <f>Inputs!$C$71*Timing!$C$28*Timing!X76*Timing!X66*1</f>
        <v>0</v>
      </c>
      <c r="Y269" s="23">
        <f>Inputs!$C$71*Timing!$C$28*Timing!Y76*Timing!Y66*1</f>
        <v>0</v>
      </c>
      <c r="Z269" s="23">
        <f>Inputs!$C$71*Timing!$C$28*Timing!Z76*Timing!Z66*1</f>
        <v>0</v>
      </c>
      <c r="AA269" s="23">
        <f>Inputs!$C$71*Timing!$C$28*Timing!AA76*Timing!AA66*1</f>
        <v>0</v>
      </c>
      <c r="AB269" s="23">
        <f>Inputs!$C$71*Timing!$C$28*Timing!AB76*Timing!AB66*1</f>
        <v>0</v>
      </c>
      <c r="AC269" s="23">
        <f>Inputs!$C$71*Timing!$C$28*Timing!AC76*Timing!AC66*1</f>
        <v>0</v>
      </c>
      <c r="AD269" s="23">
        <f>Inputs!$C$71*Timing!$C$28*Timing!AD76*Timing!AD66*1</f>
        <v>0</v>
      </c>
      <c r="AE269" s="23">
        <f>Inputs!$C$71*Timing!$C$28*Timing!AE76*Timing!AE66*1</f>
        <v>0</v>
      </c>
    </row>
    <row r="270">
      <c r="A270" s="41" t="inlineStr">
        <is>
          <t xml:space="preserve">Operating costs</t>
        </is>
      </c>
      <c r="B270" s="10" t="inlineStr">
        <is>
          <t xml:space="preserve">€</t>
        </is>
      </c>
      <c r="F270" s="42">
        <f>F259+F260+F261+F262+F265+F266+F267+F268+F269</f>
        <v>816461.702905181</v>
      </c>
      <c r="G270" s="42">
        <f>G259+G260+G261+G262+G265+G266+G267+G268+G269</f>
        <v>1642525.7737521369</v>
      </c>
      <c r="H270" s="42">
        <f>H259+H260+H261+H262+H265+H266+H267+H268+H269</f>
        <v>1661393.6559777877</v>
      </c>
      <c r="I270" s="42">
        <f>I259+I260+I261+I262+I265+I266+I267+I268+I269</f>
        <v>1680660.1328944578</v>
      </c>
      <c r="J270" s="42">
        <f>J259+J260+J261+J262+J265+J266+J267+J268+J269</f>
        <v>1700333.0202221442</v>
      </c>
      <c r="K270" s="42">
        <f>K259+K260+K261+K262+K265+K266+K267+K268+K269</f>
        <v>1720420.2882655438</v>
      </c>
      <c r="L270" s="42">
        <f>L259+L260+L261+L262+L265+L266+L267+L268+L269</f>
        <v>1740930.064972531</v>
      </c>
      <c r="M270" s="42">
        <f>M259+M260+M261+M262+M265+M266+M267+M268+M269</f>
        <v>1761870.639053216</v>
      </c>
      <c r="N270" s="42">
        <f>N259+N260+N261+N262+N265+N266+N267+N268+N269</f>
        <v>1783250.4631607763</v>
      </c>
      <c r="O270" s="42">
        <f>O259+O260+O261+O262+O265+O266+O267+O268+O269</f>
        <v>1805078.1571352945</v>
      </c>
      <c r="P270" s="42">
        <f>P259+P260+P261+P262+P265+P266+P267+P268+P269</f>
        <v>1951411.5858232286</v>
      </c>
      <c r="Q270" s="42">
        <f>Q259+Q260+Q261+Q262+Q265+Q266+Q267+Q268+Q269</f>
        <v>1982354.0686183234</v>
      </c>
      <c r="R270" s="42">
        <f>R259+R260+R261+R262+R265+R266+R267+R268+R269</f>
        <v>2018117.2880011518</v>
      </c>
      <c r="S270" s="42">
        <f>S259+S260+S261+S262+S265+S266+S267+S268+S269</f>
        <v>2054595.5778438197</v>
      </c>
      <c r="T270" s="42">
        <f>T259+T260+T261+T262+T265+T266+T267+T268+T269</f>
        <v>2091803.1040912145</v>
      </c>
      <c r="U270" s="42">
        <f>U259+U260+U261+U262+U265+U266+U267+U268+U269</f>
        <v>2129754.3138381434</v>
      </c>
      <c r="V270" s="42">
        <f>V259+V260+V261+V262+V265+V266+V267+V268+V269</f>
        <v>2168463.9409128507</v>
      </c>
      <c r="W270" s="42">
        <f>W259+W260+W261+W262+W265+W266+W267+W268+W269</f>
        <v>2207947.011571496</v>
      </c>
      <c r="X270" s="42">
        <f>X259+X260+X261+X262+X265+X266+X267+X268+X269</f>
        <v>2248218.8503058013</v>
      </c>
      <c r="Y270" s="42">
        <f>Y259+Y260+Y261+Y262+Y265+Y266+Y267+Y268+Y269</f>
        <v>2289295.0857661166</v>
      </c>
      <c r="Z270" s="42">
        <f>Z259+Z260+Z261+Z262+Z265+Z266+Z267+Z268+Z269</f>
        <v>2411839.7259408063</v>
      </c>
      <c r="AA270" s="42">
        <f>AA259+AA260+AA261+AA262+AA265+AA266+AA267+AA268+AA269</f>
        <v>2456185.8491454297</v>
      </c>
      <c r="AB270" s="42">
        <f>AB259+AB260+AB261+AB262+AB265+AB266+AB267+AB268+AB269</f>
        <v>2648674.810930481</v>
      </c>
      <c r="AC270" s="42">
        <f>AC259+AC260+AC261+AC262+AC265+AC266+AC267+AC268+AC269</f>
        <v>2696298.913149402</v>
      </c>
      <c r="AD270" s="42">
        <f>AD259+AD260+AD261+AD262+AD265+AD266+AD267+AD268+AD269</f>
        <v>2744847.545166134</v>
      </c>
      <c r="AE270" s="42">
        <f>AE259+AE260+AE261+AE262+AE265+AE266+AE267+AE268+AE269</f>
        <v>1385685.700074038</v>
      </c>
    </row>
    <row r="271">
      <c r="A271" s="6" t="inlineStr">
        <is>
          <t xml:space="preserve">§ 6 refund (up to 0.2 ct/kWh, years with a premium)</t>
        </is>
      </c>
      <c r="B271" s="10" t="inlineStr">
        <is>
          <t xml:space="preserve">€</t>
        </is>
      </c>
      <c r="F271" s="23">
        <f>Timing!$C$32*F241*F246</f>
        <v>0</v>
      </c>
      <c r="G271" s="23">
        <f>Timing!$C$32*G241*G246</f>
        <v>0</v>
      </c>
      <c r="H271" s="23">
        <f>Timing!$C$32*H241*H246</f>
        <v>0</v>
      </c>
      <c r="I271" s="23">
        <f>Timing!$C$32*I241*I246</f>
        <v>0</v>
      </c>
      <c r="J271" s="23">
        <f>Timing!$C$32*J241*J246</f>
        <v>0</v>
      </c>
      <c r="K271" s="23">
        <f>Timing!$C$32*K241*K246</f>
        <v>0</v>
      </c>
      <c r="L271" s="23">
        <f>Timing!$C$32*L241*L246</f>
        <v>0</v>
      </c>
      <c r="M271" s="23">
        <f>Timing!$C$32*M241*M246</f>
        <v>0</v>
      </c>
      <c r="N271" s="23">
        <f>Timing!$C$32*N241*N246</f>
        <v>0</v>
      </c>
      <c r="O271" s="23">
        <f>Timing!$C$32*O241*O246</f>
        <v>0</v>
      </c>
      <c r="P271" s="23">
        <f>Timing!$C$32*P241*P246</f>
        <v>0</v>
      </c>
      <c r="Q271" s="23">
        <f>Timing!$C$32*Q241*Q246</f>
        <v>0</v>
      </c>
      <c r="R271" s="23">
        <f>Timing!$C$32*R241*R246</f>
        <v>0</v>
      </c>
      <c r="S271" s="23">
        <f>Timing!$C$32*S241*S246</f>
        <v>0</v>
      </c>
      <c r="T271" s="23">
        <f>Timing!$C$32*T241*T246</f>
        <v>0</v>
      </c>
      <c r="U271" s="23">
        <f>Timing!$C$32*U241*U246</f>
        <v>0</v>
      </c>
      <c r="V271" s="23">
        <f>Timing!$C$32*V241*V246</f>
        <v>0</v>
      </c>
      <c r="W271" s="23">
        <f>Timing!$C$32*W241*W246</f>
        <v>0</v>
      </c>
      <c r="X271" s="23">
        <f>Timing!$C$32*X241*X246</f>
        <v>0</v>
      </c>
      <c r="Y271" s="23">
        <f>Timing!$C$32*Y241*Y246</f>
        <v>0</v>
      </c>
      <c r="Z271" s="23">
        <f>Timing!$C$32*Z241*Z246</f>
        <v>0</v>
      </c>
      <c r="AA271" s="23">
        <f>Timing!$C$32*AA241*AA246</f>
        <v>0</v>
      </c>
      <c r="AB271" s="23">
        <f>Timing!$C$32*AB241*AB246</f>
        <v>0</v>
      </c>
      <c r="AC271" s="23">
        <f>Timing!$C$32*AC241*AC246</f>
        <v>0</v>
      </c>
      <c r="AD271" s="23">
        <f>Timing!$C$32*AD241*AD246</f>
        <v>0</v>
      </c>
      <c r="AE271" s="23">
        <f>Timing!$C$32*AE241*AE246</f>
        <v>0</v>
      </c>
    </row>
    <row r="272">
      <c r="A272" s="41" t="inlineStr">
        <is>
          <t xml:space="preserve">EBITDA</t>
        </is>
      </c>
      <c r="B272" s="10" t="inlineStr">
        <is>
          <t xml:space="preserve">€</t>
        </is>
      </c>
      <c r="F272" s="42">
        <f>F256+F271-F270</f>
        <v>1494721.3880128525</v>
      </c>
      <c r="G272" s="42">
        <f>G256+G271-G270</f>
        <v>2945524.3634948637</v>
      </c>
      <c r="H272" s="42">
        <f>H256+H271-H270</f>
        <v>2917480.3809947185</v>
      </c>
      <c r="I272" s="42">
        <f>I256+I271-I270</f>
        <v>2889056.1560041043</v>
      </c>
      <c r="J272" s="42">
        <f>J256+J271-J270</f>
        <v>2860243.8360986207</v>
      </c>
      <c r="K272" s="42">
        <f>K256+K271-K270</f>
        <v>2831035.4143425794</v>
      </c>
      <c r="L272" s="42">
        <f>L256+L271-L270</f>
        <v>2801422.7262303755</v>
      </c>
      <c r="M272" s="42">
        <f>M256+M271-M270</f>
        <v>2771397.446567285</v>
      </c>
      <c r="N272" s="42">
        <f>N256+N271-N270</f>
        <v>2740951.086288483</v>
      </c>
      <c r="O272" s="42">
        <f>O256+O271-O270</f>
        <v>2710074.9892150676</v>
      </c>
      <c r="P272" s="42">
        <f>P256+P271-P270</f>
        <v>2554711.2542344313</v>
      </c>
      <c r="Q272" s="42">
        <f>Q256+Q271-Q270</f>
        <v>2514756.525759221</v>
      </c>
      <c r="R272" s="42">
        <f>R256+R271-R270</f>
        <v>2469999.085187638</v>
      </c>
      <c r="S272" s="42">
        <f>S256+S271-S270</f>
        <v>2424544.5625985935</v>
      </c>
      <c r="T272" s="42">
        <f>T256+T271-T270</f>
        <v>2378378.7560703135</v>
      </c>
      <c r="U272" s="42">
        <f>U256+U271-U270</f>
        <v>2331487.1826030617</v>
      </c>
      <c r="V272" s="42">
        <f>V256+V271-V270</f>
        <v>2283855.0725354715</v>
      </c>
      <c r="W272" s="42">
        <f>W256+W271-W270</f>
        <v>2235467.3638499295</v>
      </c>
      <c r="X272" s="42">
        <f>X256+X271-X270</f>
        <v>2186308.696364782</v>
      </c>
      <c r="Y272" s="42">
        <f>Y256+Y271-Y270</f>
        <v>2136363.405811125</v>
      </c>
      <c r="Z272" s="42">
        <f>Z256+Z271-Z270</f>
        <v>2004967.4486532812</v>
      </c>
      <c r="AA272" s="42">
        <f>AA256+AA271-AA270</f>
        <v>2564701.6996307313</v>
      </c>
      <c r="AB272" s="42">
        <f>AB256+AB271-AB270</f>
        <v>4486506.67741372</v>
      </c>
      <c r="AC272" s="42">
        <f>AC256+AC271-AC270</f>
        <v>4567030.4347254615</v>
      </c>
      <c r="AD272" s="42">
        <f>AD256+AD271-AD270</f>
        <v>4648931.197796563</v>
      </c>
      <c r="AE272" s="42">
        <f>AE256+AE271-AE270</f>
        <v>2346668.690782734</v>
      </c>
    </row>
    <row r="273">
      <c r="A273" s="6" t="inlineStr">
        <is>
          <t xml:space="preserve">Market and PPA sales billed</t>
        </is>
      </c>
      <c r="B273" s="10" t="inlineStr">
        <is>
          <t xml:space="preserve">€</t>
        </is>
      </c>
      <c r="F273" s="23">
        <f>F248+F255</f>
        <v>2311183.0909180334</v>
      </c>
      <c r="G273" s="23">
        <f>G248+G255</f>
        <v>4588050.137247001</v>
      </c>
      <c r="H273" s="23">
        <f>H248+H255</f>
        <v>4578874.036972506</v>
      </c>
      <c r="I273" s="23">
        <f>I248+I255</f>
        <v>4569716.288898562</v>
      </c>
      <c r="J273" s="23">
        <f>J248+J255</f>
        <v>4560576.856320765</v>
      </c>
      <c r="K273" s="23">
        <f>K248+K255</f>
        <v>4551455.702608123</v>
      </c>
      <c r="L273" s="23">
        <f>L248+L255</f>
        <v>4542352.7912029065</v>
      </c>
      <c r="M273" s="23">
        <f>M248+M255</f>
        <v>4533268.085620501</v>
      </c>
      <c r="N273" s="23">
        <f>N248+N255</f>
        <v>4524201.549449259</v>
      </c>
      <c r="O273" s="23">
        <f>O248+O255</f>
        <v>4515153.146350362</v>
      </c>
      <c r="P273" s="23">
        <f>P248+P255</f>
        <v>4506122.84005766</v>
      </c>
      <c r="Q273" s="23">
        <f>Q248+Q255</f>
        <v>4497110.594377545</v>
      </c>
      <c r="R273" s="23">
        <f>R248+R255</f>
        <v>4488116.37318879</v>
      </c>
      <c r="S273" s="23">
        <f>S248+S255</f>
        <v>4479140.140442413</v>
      </c>
      <c r="T273" s="23">
        <f>T248+T255</f>
        <v>4470181.860161528</v>
      </c>
      <c r="U273" s="23">
        <f>U248+U255</f>
        <v>4461241.496441205</v>
      </c>
      <c r="V273" s="23">
        <f>V248+V255</f>
        <v>4452319.013448322</v>
      </c>
      <c r="W273" s="23">
        <f>W248+W255</f>
        <v>4443414.375421425</v>
      </c>
      <c r="X273" s="23">
        <f>X248+X255</f>
        <v>4434527.546670583</v>
      </c>
      <c r="Y273" s="23">
        <f>Y248+Y255</f>
        <v>4425658.491577242</v>
      </c>
      <c r="Z273" s="23">
        <f>Z248+Z255</f>
        <v>4416807.1745940875</v>
      </c>
      <c r="AA273" s="23">
        <f>AA248+AA255</f>
        <v>5020887.548776161</v>
      </c>
      <c r="AB273" s="23">
        <f>AB248+AB255</f>
        <v>7135181.488344201</v>
      </c>
      <c r="AC273" s="23">
        <f>AC248+AC255</f>
        <v>7263329.347874864</v>
      </c>
      <c r="AD273" s="23">
        <f>AD248+AD255</f>
        <v>7393778.742962697</v>
      </c>
      <c r="AE273" s="23">
        <f>AE248+AE255</f>
        <v>3732354.390856772</v>
      </c>
    </row>
    <row r="274">
      <c r="A274" s="6" t="inlineStr">
        <is>
          <t xml:space="preserve">Premium and § 6 refund still due after the advances</t>
        </is>
      </c>
      <c r="B274" s="10" t="inlineStr">
        <is>
          <t xml:space="preserve">€</t>
        </is>
      </c>
      <c r="F274" s="23">
        <f>F253-F257+F271</f>
        <v>0</v>
      </c>
      <c r="G274" s="23">
        <f>G253-G257+G271</f>
        <v>0</v>
      </c>
      <c r="H274" s="23">
        <f>H253-H257+H271</f>
        <v>0</v>
      </c>
      <c r="I274" s="23">
        <f>I253-I257+I271</f>
        <v>0</v>
      </c>
      <c r="J274" s="23">
        <f>J253-J257+J271</f>
        <v>0</v>
      </c>
      <c r="K274" s="23">
        <f>K253-K257+K271</f>
        <v>0</v>
      </c>
      <c r="L274" s="23">
        <f>L253-L257+L271</f>
        <v>0</v>
      </c>
      <c r="M274" s="23">
        <f>M253-M257+M271</f>
        <v>0</v>
      </c>
      <c r="N274" s="23">
        <f>N253-N257+N271</f>
        <v>0</v>
      </c>
      <c r="O274" s="23">
        <f>O253-O257+O271</f>
        <v>0</v>
      </c>
      <c r="P274" s="23">
        <f>P253-P257+P271</f>
        <v>0</v>
      </c>
      <c r="Q274" s="23">
        <f>Q253-Q257+Q271</f>
        <v>0</v>
      </c>
      <c r="R274" s="23">
        <f>R253-R257+R271</f>
        <v>0</v>
      </c>
      <c r="S274" s="23">
        <f>S253-S257+S271</f>
        <v>0</v>
      </c>
      <c r="T274" s="23">
        <f>T253-T257+T271</f>
        <v>0</v>
      </c>
      <c r="U274" s="23">
        <f>U253-U257+U271</f>
        <v>0</v>
      </c>
      <c r="V274" s="23">
        <f>V253-V257+V271</f>
        <v>0</v>
      </c>
      <c r="W274" s="23">
        <f>W253-W257+W271</f>
        <v>0</v>
      </c>
      <c r="X274" s="23">
        <f>X253-X257+X271</f>
        <v>0</v>
      </c>
      <c r="Y274" s="23">
        <f>Y253-Y257+Y271</f>
        <v>0</v>
      </c>
      <c r="Z274" s="23">
        <f>Z253-Z257+Z271</f>
        <v>0</v>
      </c>
      <c r="AA274" s="23">
        <f>AA253-AA257+AA271</f>
        <v>0</v>
      </c>
      <c r="AB274" s="23">
        <f>AB253-AB257+AB271</f>
        <v>0</v>
      </c>
      <c r="AC274" s="23">
        <f>AC253-AC257+AC271</f>
        <v>0</v>
      </c>
      <c r="AD274" s="23">
        <f>AD253-AD257+AD271</f>
        <v>0</v>
      </c>
      <c r="AE274" s="23">
        <f>AE253-AE257+AE271</f>
        <v>0</v>
      </c>
    </row>
    <row r="275">
      <c r="A275" s="6" t="inlineStr">
        <is>
          <t xml:space="preserve">Receivables: market sales</t>
        </is>
      </c>
      <c r="B275" s="10" t="inlineStr">
        <is>
          <t xml:space="preserve">€</t>
        </is>
      </c>
      <c r="F275" s="23">
        <f>IF(Timing!F72=1,0,IF(Timing!F64&gt;0,MIN(F273,F273/Timing!F64*Inputs!$C$36),0))</f>
        <v>376823.3300409837</v>
      </c>
      <c r="G275" s="23">
        <f>IF(Timing!G72=1,0,IF(Timing!G64&gt;0,MIN(G273,G273/Timing!G64*Inputs!$C$36),0))</f>
        <v>377100.0112805754</v>
      </c>
      <c r="H275" s="23">
        <f>IF(Timing!H72=1,0,IF(Timing!H64&gt;0,MIN(H273,H273/Timing!H64*Inputs!$C$36),0))</f>
        <v>376345.8112580142</v>
      </c>
      <c r="I275" s="23">
        <f>IF(Timing!I72=1,0,IF(Timing!I64&gt;0,MIN(I273,I273/Timing!I64*Inputs!$C$36),0))</f>
        <v>375593.11963549827</v>
      </c>
      <c r="J275" s="23">
        <f>IF(Timing!J72=1,0,IF(Timing!J64&gt;0,MIN(J273,J273/Timing!J64*Inputs!$C$36),0))</f>
        <v>373817.7751082594</v>
      </c>
      <c r="K275" s="23">
        <f>IF(Timing!K72=1,0,IF(Timing!K64&gt;0,MIN(K273,K273/Timing!K64*Inputs!$C$36),0))</f>
        <v>374092.2495294348</v>
      </c>
      <c r="L275" s="23">
        <f>IF(Timing!L72=1,0,IF(Timing!L64&gt;0,MIN(L273,L273/Timing!L64*Inputs!$C$36),0))</f>
        <v>373344.0650303759</v>
      </c>
      <c r="M275" s="23">
        <f>IF(Timing!M72=1,0,IF(Timing!M64&gt;0,MIN(M273,M273/Timing!M64*Inputs!$C$36),0))</f>
        <v>372597.37690031517</v>
      </c>
      <c r="N275" s="23">
        <f>IF(Timing!N72=1,0,IF(Timing!N64&gt;0,MIN(N273,N273/Timing!N64*Inputs!$C$36),0))</f>
        <v>370836.19257780816</v>
      </c>
      <c r="O275" s="23">
        <f>IF(Timing!O72=1,0,IF(Timing!O64&gt;0,MIN(O273,O273/Timing!O64*Inputs!$C$36),0))</f>
        <v>371108.47778222157</v>
      </c>
      <c r="P275" s="23">
        <f>IF(Timing!P72=1,0,IF(Timing!P64&gt;0,MIN(P273,P273/Timing!P64*Inputs!$C$36),0))</f>
        <v>370366.260826657</v>
      </c>
      <c r="Q275" s="23">
        <f>IF(Timing!Q72=1,0,IF(Timing!Q64&gt;0,MIN(Q273,Q273/Timing!Q64*Inputs!$C$36),0))</f>
        <v>369625.5283050037</v>
      </c>
      <c r="R275" s="23">
        <f>IF(Timing!R72=1,0,IF(Timing!R64&gt;0,MIN(R273,R273/Timing!R64*Inputs!$C$36),0))</f>
        <v>367878.3912449828</v>
      </c>
      <c r="S275" s="23">
        <f>IF(Timing!S72=1,0,IF(Timing!S64&gt;0,MIN(S273,S273/Timing!S64*Inputs!$C$36),0))</f>
        <v>368148.504693897</v>
      </c>
      <c r="T275" s="23">
        <f>IF(Timing!T72=1,0,IF(Timing!T64&gt;0,MIN(T273,T273/Timing!T64*Inputs!$C$36),0))</f>
        <v>367412.20768450917</v>
      </c>
      <c r="U275" s="23">
        <f>IF(Timing!U72=1,0,IF(Timing!U64&gt;0,MIN(U273,U273/Timing!U64*Inputs!$C$36),0))</f>
        <v>366677.38326914015</v>
      </c>
      <c r="V275" s="23">
        <f>IF(Timing!V72=1,0,IF(Timing!V64&gt;0,MIN(V273,V273/Timing!V64*Inputs!$C$36),0))</f>
        <v>364944.18143019034</v>
      </c>
      <c r="W275" s="23">
        <f>IF(Timing!W72=1,0,IF(Timing!W64&gt;0,MIN(W273,W273/Timing!W64*Inputs!$C$36),0))</f>
        <v>365212.1404455966</v>
      </c>
      <c r="X275" s="23">
        <f>IF(Timing!X72=1,0,IF(Timing!X64&gt;0,MIN(X273,X273/Timing!X64*Inputs!$C$36),0))</f>
        <v>364481.71616470546</v>
      </c>
      <c r="Y275" s="23">
        <f>IF(Timing!Y72=1,0,IF(Timing!Y64&gt;0,MIN(Y273,Y273/Timing!Y64*Inputs!$C$36),0))</f>
        <v>363752.75273237604</v>
      </c>
      <c r="Z275" s="23">
        <f>IF(Timing!Z72=1,0,IF(Timing!Z64&gt;0,MIN(Z273,Z273/Timing!Z64*Inputs!$C$36),0))</f>
        <v>362033.3749667285</v>
      </c>
      <c r="AA275" s="23">
        <f>IF(Timing!AA72=1,0,IF(Timing!AA64&gt;0,MIN(AA273,AA273/Timing!AA64*Inputs!$C$36),0))</f>
        <v>412675.68894050637</v>
      </c>
      <c r="AB275" s="23">
        <f>IF(Timing!AB72=1,0,IF(Timing!AB64&gt;0,MIN(AB273,AB273/Timing!AB64*Inputs!$C$36),0))</f>
        <v>586453.2730145918</v>
      </c>
      <c r="AC275" s="23">
        <f>IF(Timing!AC72=1,0,IF(Timing!AC64&gt;0,MIN(AC273,AC273/Timing!AC64*Inputs!$C$36),0))</f>
        <v>596985.973797934</v>
      </c>
      <c r="AD275" s="23">
        <f>IF(Timing!AD72=1,0,IF(Timing!AD64&gt;0,MIN(AD273,AD273/Timing!AD64*Inputs!$C$36),0))</f>
        <v>606047.437947762</v>
      </c>
      <c r="AE275" s="23">
        <f>IF(Timing!AE72=1,0,IF(Timing!AE64&gt;0,MIN(AE273,AE273/Timing!AE64*Inputs!$C$36),0))</f>
        <v>0</v>
      </c>
    </row>
    <row r="276">
      <c r="A276" s="6" t="inlineStr">
        <is>
          <t xml:space="preserve">Receivables: December advance (paid on 15 January)</t>
        </is>
      </c>
      <c r="B276" s="10" t="inlineStr">
        <is>
          <t xml:space="preserve">€</t>
        </is>
      </c>
      <c r="F276" s="23">
        <f>IF(OR(Timing!F72=1,Timing!$C$31=0,Timing!$C$11&lt;=DATE(Timing!F59,12,1)),0,F257/Timing!F67)</f>
        <v>0</v>
      </c>
      <c r="G276" s="23">
        <f>IF(OR(Timing!G72=1,Timing!$C$31=0,Timing!$C$11&lt;=DATE(Timing!G59,12,1)),0,G257/Timing!G67)</f>
        <v>0</v>
      </c>
      <c r="H276" s="23">
        <f>IF(OR(Timing!H72=1,Timing!$C$31=0,Timing!$C$11&lt;=DATE(Timing!H59,12,1)),0,H257/Timing!H67)</f>
        <v>0</v>
      </c>
      <c r="I276" s="23">
        <f>IF(OR(Timing!I72=1,Timing!$C$31=0,Timing!$C$11&lt;=DATE(Timing!I59,12,1)),0,I257/Timing!I67)</f>
        <v>0</v>
      </c>
      <c r="J276" s="23">
        <f>IF(OR(Timing!J72=1,Timing!$C$31=0,Timing!$C$11&lt;=DATE(Timing!J59,12,1)),0,J257/Timing!J67)</f>
        <v>0</v>
      </c>
      <c r="K276" s="23">
        <f>IF(OR(Timing!K72=1,Timing!$C$31=0,Timing!$C$11&lt;=DATE(Timing!K59,12,1)),0,K257/Timing!K67)</f>
        <v>0</v>
      </c>
      <c r="L276" s="23">
        <f>IF(OR(Timing!L72=1,Timing!$C$31=0,Timing!$C$11&lt;=DATE(Timing!L59,12,1)),0,L257/Timing!L67)</f>
        <v>0</v>
      </c>
      <c r="M276" s="23">
        <f>IF(OR(Timing!M72=1,Timing!$C$31=0,Timing!$C$11&lt;=DATE(Timing!M59,12,1)),0,M257/Timing!M67)</f>
        <v>0</v>
      </c>
      <c r="N276" s="23">
        <f>IF(OR(Timing!N72=1,Timing!$C$31=0,Timing!$C$11&lt;=DATE(Timing!N59,12,1)),0,N257/Timing!N67)</f>
        <v>0</v>
      </c>
      <c r="O276" s="23">
        <f>IF(OR(Timing!O72=1,Timing!$C$31=0,Timing!$C$11&lt;=DATE(Timing!O59,12,1)),0,O257/Timing!O67)</f>
        <v>0</v>
      </c>
      <c r="P276" s="23">
        <f>IF(OR(Timing!P72=1,Timing!$C$31=0,Timing!$C$11&lt;=DATE(Timing!P59,12,1)),0,P257/Timing!P67)</f>
        <v>0</v>
      </c>
      <c r="Q276" s="23">
        <f>IF(OR(Timing!Q72=1,Timing!$C$31=0,Timing!$C$11&lt;=DATE(Timing!Q59,12,1)),0,Q257/Timing!Q67)</f>
        <v>0</v>
      </c>
      <c r="R276" s="23">
        <f>IF(OR(Timing!R72=1,Timing!$C$31=0,Timing!$C$11&lt;=DATE(Timing!R59,12,1)),0,R257/Timing!R67)</f>
        <v>0</v>
      </c>
      <c r="S276" s="23">
        <f>IF(OR(Timing!S72=1,Timing!$C$31=0,Timing!$C$11&lt;=DATE(Timing!S59,12,1)),0,S257/Timing!S67)</f>
        <v>0</v>
      </c>
      <c r="T276" s="23">
        <f>IF(OR(Timing!T72=1,Timing!$C$31=0,Timing!$C$11&lt;=DATE(Timing!T59,12,1)),0,T257/Timing!T67)</f>
        <v>0</v>
      </c>
      <c r="U276" s="23">
        <f>IF(OR(Timing!U72=1,Timing!$C$31=0,Timing!$C$11&lt;=DATE(Timing!U59,12,1)),0,U257/Timing!U67)</f>
        <v>0</v>
      </c>
      <c r="V276" s="23">
        <f>IF(OR(Timing!V72=1,Timing!$C$31=0,Timing!$C$11&lt;=DATE(Timing!V59,12,1)),0,V257/Timing!V67)</f>
        <v>0</v>
      </c>
      <c r="W276" s="23">
        <f>IF(OR(Timing!W72=1,Timing!$C$31=0,Timing!$C$11&lt;=DATE(Timing!W59,12,1)),0,W257/Timing!W67)</f>
        <v>0</v>
      </c>
      <c r="X276" s="23">
        <f>IF(OR(Timing!X72=1,Timing!$C$31=0,Timing!$C$11&lt;=DATE(Timing!X59,12,1)),0,X257/Timing!X67)</f>
        <v>0</v>
      </c>
      <c r="Y276" s="23">
        <f>IF(OR(Timing!Y72=1,Timing!$C$31=0,Timing!$C$11&lt;=DATE(Timing!Y59,12,1)),0,Y257/Timing!Y67)</f>
        <v>0</v>
      </c>
      <c r="Z276" s="23">
        <f>IF(OR(Timing!Z72=1,Timing!$C$31=0,Timing!$C$11&lt;=DATE(Timing!Z59,12,1)),0,Z257/Timing!Z67)</f>
        <v>0</v>
      </c>
      <c r="AA276" s="23">
        <f>IF(OR(Timing!AA72=1,Timing!$C$31=0,Timing!$C$11&lt;=DATE(Timing!AA59,12,1)),0,AA257/Timing!AA67)</f>
        <v>0</v>
      </c>
      <c r="AB276" s="23">
        <f>IF(OR(Timing!AB72=1,Timing!$C$31=0,Timing!$C$11&lt;=DATE(Timing!AB59,12,1)),0,AB257/Timing!AB67)</f>
        <v>0</v>
      </c>
      <c r="AC276" s="23">
        <f>IF(OR(Timing!AC72=1,Timing!$C$31=0,Timing!$C$11&lt;=DATE(Timing!AC59,12,1)),0,AC257/Timing!AC67)</f>
        <v>0</v>
      </c>
      <c r="AD276" s="23">
        <f>IF(OR(Timing!AD72=1,Timing!$C$31=0,Timing!$C$11&lt;=DATE(Timing!AD59,12,1)),0,AD257/Timing!AD67)</f>
        <v>0</v>
      </c>
      <c r="AE276" s="23">
        <f>IF(OR(Timing!AE72=1,Timing!$C$31=0,Timing!$C$11&lt;=DATE(Timing!AE59,12,1)),0,AE257/Timing!AE67)</f>
        <v>0</v>
      </c>
    </row>
    <row r="277">
      <c r="A277" s="6" t="inlineStr">
        <is>
          <t xml:space="preserve">Receivables: premium and § 6 refund awaiting the final settlement</t>
        </is>
      </c>
      <c r="B277" s="10" t="inlineStr">
        <is>
          <t xml:space="preserve">€</t>
        </is>
      </c>
      <c r="F277" s="23">
        <f>IF(OR(Timing!F72=1,Timing!$C$31=0),0,SUMIFS($F$274:$AE$274,Timing!$F$59:$AE$59,"&gt;"&amp;(Timing!F59-Timing!$C$31),Timing!$F$59:$AE$59,"&lt;="&amp;Timing!F59))</f>
        <v>0</v>
      </c>
      <c r="G277" s="23">
        <f>IF(OR(Timing!G72=1,Timing!$C$31=0),0,SUMIFS($F$274:$AE$274,Timing!$F$59:$AE$59,"&gt;"&amp;(Timing!G59-Timing!$C$31),Timing!$F$59:$AE$59,"&lt;="&amp;Timing!G59))</f>
        <v>0</v>
      </c>
      <c r="H277" s="23">
        <f>IF(OR(Timing!H72=1,Timing!$C$31=0),0,SUMIFS($F$274:$AE$274,Timing!$F$59:$AE$59,"&gt;"&amp;(Timing!H59-Timing!$C$31),Timing!$F$59:$AE$59,"&lt;="&amp;Timing!H59))</f>
        <v>0</v>
      </c>
      <c r="I277" s="23">
        <f>IF(OR(Timing!I72=1,Timing!$C$31=0),0,SUMIFS($F$274:$AE$274,Timing!$F$59:$AE$59,"&gt;"&amp;(Timing!I59-Timing!$C$31),Timing!$F$59:$AE$59,"&lt;="&amp;Timing!I59))</f>
        <v>0</v>
      </c>
      <c r="J277" s="23">
        <f>IF(OR(Timing!J72=1,Timing!$C$31=0),0,SUMIFS($F$274:$AE$274,Timing!$F$59:$AE$59,"&gt;"&amp;(Timing!J59-Timing!$C$31),Timing!$F$59:$AE$59,"&lt;="&amp;Timing!J59))</f>
        <v>0</v>
      </c>
      <c r="K277" s="23">
        <f>IF(OR(Timing!K72=1,Timing!$C$31=0),0,SUMIFS($F$274:$AE$274,Timing!$F$59:$AE$59,"&gt;"&amp;(Timing!K59-Timing!$C$31),Timing!$F$59:$AE$59,"&lt;="&amp;Timing!K59))</f>
        <v>0</v>
      </c>
      <c r="L277" s="23">
        <f>IF(OR(Timing!L72=1,Timing!$C$31=0),0,SUMIFS($F$274:$AE$274,Timing!$F$59:$AE$59,"&gt;"&amp;(Timing!L59-Timing!$C$31),Timing!$F$59:$AE$59,"&lt;="&amp;Timing!L59))</f>
        <v>0</v>
      </c>
      <c r="M277" s="23">
        <f>IF(OR(Timing!M72=1,Timing!$C$31=0),0,SUMIFS($F$274:$AE$274,Timing!$F$59:$AE$59,"&gt;"&amp;(Timing!M59-Timing!$C$31),Timing!$F$59:$AE$59,"&lt;="&amp;Timing!M59))</f>
        <v>0</v>
      </c>
      <c r="N277" s="23">
        <f>IF(OR(Timing!N72=1,Timing!$C$31=0),0,SUMIFS($F$274:$AE$274,Timing!$F$59:$AE$59,"&gt;"&amp;(Timing!N59-Timing!$C$31),Timing!$F$59:$AE$59,"&lt;="&amp;Timing!N59))</f>
        <v>0</v>
      </c>
      <c r="O277" s="23">
        <f>IF(OR(Timing!O72=1,Timing!$C$31=0),0,SUMIFS($F$274:$AE$274,Timing!$F$59:$AE$59,"&gt;"&amp;(Timing!O59-Timing!$C$31),Timing!$F$59:$AE$59,"&lt;="&amp;Timing!O59))</f>
        <v>0</v>
      </c>
      <c r="P277" s="23">
        <f>IF(OR(Timing!P72=1,Timing!$C$31=0),0,SUMIFS($F$274:$AE$274,Timing!$F$59:$AE$59,"&gt;"&amp;(Timing!P59-Timing!$C$31),Timing!$F$59:$AE$59,"&lt;="&amp;Timing!P59))</f>
        <v>0</v>
      </c>
      <c r="Q277" s="23">
        <f>IF(OR(Timing!Q72=1,Timing!$C$31=0),0,SUMIFS($F$274:$AE$274,Timing!$F$59:$AE$59,"&gt;"&amp;(Timing!Q59-Timing!$C$31),Timing!$F$59:$AE$59,"&lt;="&amp;Timing!Q59))</f>
        <v>0</v>
      </c>
      <c r="R277" s="23">
        <f>IF(OR(Timing!R72=1,Timing!$C$31=0),0,SUMIFS($F$274:$AE$274,Timing!$F$59:$AE$59,"&gt;"&amp;(Timing!R59-Timing!$C$31),Timing!$F$59:$AE$59,"&lt;="&amp;Timing!R59))</f>
        <v>0</v>
      </c>
      <c r="S277" s="23">
        <f>IF(OR(Timing!S72=1,Timing!$C$31=0),0,SUMIFS($F$274:$AE$274,Timing!$F$59:$AE$59,"&gt;"&amp;(Timing!S59-Timing!$C$31),Timing!$F$59:$AE$59,"&lt;="&amp;Timing!S59))</f>
        <v>0</v>
      </c>
      <c r="T277" s="23">
        <f>IF(OR(Timing!T72=1,Timing!$C$31=0),0,SUMIFS($F$274:$AE$274,Timing!$F$59:$AE$59,"&gt;"&amp;(Timing!T59-Timing!$C$31),Timing!$F$59:$AE$59,"&lt;="&amp;Timing!T59))</f>
        <v>0</v>
      </c>
      <c r="U277" s="23">
        <f>IF(OR(Timing!U72=1,Timing!$C$31=0),0,SUMIFS($F$274:$AE$274,Timing!$F$59:$AE$59,"&gt;"&amp;(Timing!U59-Timing!$C$31),Timing!$F$59:$AE$59,"&lt;="&amp;Timing!U59))</f>
        <v>0</v>
      </c>
      <c r="V277" s="23">
        <f>IF(OR(Timing!V72=1,Timing!$C$31=0),0,SUMIFS($F$274:$AE$274,Timing!$F$59:$AE$59,"&gt;"&amp;(Timing!V59-Timing!$C$31),Timing!$F$59:$AE$59,"&lt;="&amp;Timing!V59))</f>
        <v>0</v>
      </c>
      <c r="W277" s="23">
        <f>IF(OR(Timing!W72=1,Timing!$C$31=0),0,SUMIFS($F$274:$AE$274,Timing!$F$59:$AE$59,"&gt;"&amp;(Timing!W59-Timing!$C$31),Timing!$F$59:$AE$59,"&lt;="&amp;Timing!W59))</f>
        <v>0</v>
      </c>
      <c r="X277" s="23">
        <f>IF(OR(Timing!X72=1,Timing!$C$31=0),0,SUMIFS($F$274:$AE$274,Timing!$F$59:$AE$59,"&gt;"&amp;(Timing!X59-Timing!$C$31),Timing!$F$59:$AE$59,"&lt;="&amp;Timing!X59))</f>
        <v>0</v>
      </c>
      <c r="Y277" s="23">
        <f>IF(OR(Timing!Y72=1,Timing!$C$31=0),0,SUMIFS($F$274:$AE$274,Timing!$F$59:$AE$59,"&gt;"&amp;(Timing!Y59-Timing!$C$31),Timing!$F$59:$AE$59,"&lt;="&amp;Timing!Y59))</f>
        <v>0</v>
      </c>
      <c r="Z277" s="23">
        <f>IF(OR(Timing!Z72=1,Timing!$C$31=0),0,SUMIFS($F$274:$AE$274,Timing!$F$59:$AE$59,"&gt;"&amp;(Timing!Z59-Timing!$C$31),Timing!$F$59:$AE$59,"&lt;="&amp;Timing!Z59))</f>
        <v>0</v>
      </c>
      <c r="AA277" s="23">
        <f>IF(OR(Timing!AA72=1,Timing!$C$31=0),0,SUMIFS($F$274:$AE$274,Timing!$F$59:$AE$59,"&gt;"&amp;(Timing!AA59-Timing!$C$31),Timing!$F$59:$AE$59,"&lt;="&amp;Timing!AA59))</f>
        <v>0</v>
      </c>
      <c r="AB277" s="23">
        <f>IF(OR(Timing!AB72=1,Timing!$C$31=0),0,SUMIFS($F$274:$AE$274,Timing!$F$59:$AE$59,"&gt;"&amp;(Timing!AB59-Timing!$C$31),Timing!$F$59:$AE$59,"&lt;="&amp;Timing!AB59))</f>
        <v>0</v>
      </c>
      <c r="AC277" s="23">
        <f>IF(OR(Timing!AC72=1,Timing!$C$31=0),0,SUMIFS($F$274:$AE$274,Timing!$F$59:$AE$59,"&gt;"&amp;(Timing!AC59-Timing!$C$31),Timing!$F$59:$AE$59,"&lt;="&amp;Timing!AC59))</f>
        <v>0</v>
      </c>
      <c r="AD277" s="23">
        <f>IF(OR(Timing!AD72=1,Timing!$C$31=0),0,SUMIFS($F$274:$AE$274,Timing!$F$59:$AE$59,"&gt;"&amp;(Timing!AD59-Timing!$C$31),Timing!$F$59:$AE$59,"&lt;="&amp;Timing!AD59))</f>
        <v>0</v>
      </c>
      <c r="AE277" s="23">
        <f>IF(OR(Timing!AE72=1,Timing!$C$31=0),0,SUMIFS($F$274:$AE$274,Timing!$F$59:$AE$59,"&gt;"&amp;(Timing!AE59-Timing!$C$31),Timing!$F$59:$AE$59,"&lt;="&amp;Timing!AE59))</f>
        <v>0</v>
      </c>
    </row>
    <row r="278">
      <c r="A278" s="6" t="inlineStr">
        <is>
          <t xml:space="preserve">Receivables: premium</t>
        </is>
      </c>
      <c r="B278" s="10" t="inlineStr">
        <is>
          <t xml:space="preserve">€</t>
        </is>
      </c>
      <c r="F278" s="23">
        <f>F276+F277</f>
        <v>0</v>
      </c>
      <c r="G278" s="23">
        <f>G276+G277</f>
        <v>0</v>
      </c>
      <c r="H278" s="23">
        <f>H276+H277</f>
        <v>0</v>
      </c>
      <c r="I278" s="23">
        <f>I276+I277</f>
        <v>0</v>
      </c>
      <c r="J278" s="23">
        <f>J276+J277</f>
        <v>0</v>
      </c>
      <c r="K278" s="23">
        <f>K276+K277</f>
        <v>0</v>
      </c>
      <c r="L278" s="23">
        <f>L276+L277</f>
        <v>0</v>
      </c>
      <c r="M278" s="23">
        <f>M276+M277</f>
        <v>0</v>
      </c>
      <c r="N278" s="23">
        <f>N276+N277</f>
        <v>0</v>
      </c>
      <c r="O278" s="23">
        <f>O276+O277</f>
        <v>0</v>
      </c>
      <c r="P278" s="23">
        <f>P276+P277</f>
        <v>0</v>
      </c>
      <c r="Q278" s="23">
        <f>Q276+Q277</f>
        <v>0</v>
      </c>
      <c r="R278" s="23">
        <f>R276+R277</f>
        <v>0</v>
      </c>
      <c r="S278" s="23">
        <f>S276+S277</f>
        <v>0</v>
      </c>
      <c r="T278" s="23">
        <f>T276+T277</f>
        <v>0</v>
      </c>
      <c r="U278" s="23">
        <f>U276+U277</f>
        <v>0</v>
      </c>
      <c r="V278" s="23">
        <f>V276+V277</f>
        <v>0</v>
      </c>
      <c r="W278" s="23">
        <f>W276+W277</f>
        <v>0</v>
      </c>
      <c r="X278" s="23">
        <f>X276+X277</f>
        <v>0</v>
      </c>
      <c r="Y278" s="23">
        <f>Y276+Y277</f>
        <v>0</v>
      </c>
      <c r="Z278" s="23">
        <f>Z276+Z277</f>
        <v>0</v>
      </c>
      <c r="AA278" s="23">
        <f>AA276+AA277</f>
        <v>0</v>
      </c>
      <c r="AB278" s="23">
        <f>AB276+AB277</f>
        <v>0</v>
      </c>
      <c r="AC278" s="23">
        <f>AC276+AC277</f>
        <v>0</v>
      </c>
      <c r="AD278" s="23">
        <f>AD276+AD277</f>
        <v>0</v>
      </c>
      <c r="AE278" s="23">
        <f>AE276+AE277</f>
        <v>0</v>
      </c>
    </row>
    <row r="279">
      <c r="A279" s="41" t="inlineStr">
        <is>
          <t xml:space="preserve">Receivables at year end</t>
        </is>
      </c>
      <c r="B279" s="10" t="inlineStr">
        <is>
          <t xml:space="preserve">€</t>
        </is>
      </c>
      <c r="E279" s="23">
        <f>$C$60</f>
        <v>498049.00082810305</v>
      </c>
      <c r="F279" s="42">
        <f>F275+F278</f>
        <v>376823.3300409837</v>
      </c>
      <c r="G279" s="42">
        <f>G275+G278</f>
        <v>377100.0112805754</v>
      </c>
      <c r="H279" s="42">
        <f>H275+H278</f>
        <v>376345.8112580142</v>
      </c>
      <c r="I279" s="42">
        <f>I275+I278</f>
        <v>375593.11963549827</v>
      </c>
      <c r="J279" s="42">
        <f>J275+J278</f>
        <v>373817.7751082594</v>
      </c>
      <c r="K279" s="42">
        <f>K275+K278</f>
        <v>374092.2495294348</v>
      </c>
      <c r="L279" s="42">
        <f>L275+L278</f>
        <v>373344.0650303759</v>
      </c>
      <c r="M279" s="42">
        <f>M275+M278</f>
        <v>372597.37690031517</v>
      </c>
      <c r="N279" s="42">
        <f>N275+N278</f>
        <v>370836.19257780816</v>
      </c>
      <c r="O279" s="42">
        <f>O275+O278</f>
        <v>371108.47778222157</v>
      </c>
      <c r="P279" s="42">
        <f>P275+P278</f>
        <v>370366.260826657</v>
      </c>
      <c r="Q279" s="42">
        <f>Q275+Q278</f>
        <v>369625.5283050037</v>
      </c>
      <c r="R279" s="42">
        <f>R275+R278</f>
        <v>367878.3912449828</v>
      </c>
      <c r="S279" s="42">
        <f>S275+S278</f>
        <v>368148.504693897</v>
      </c>
      <c r="T279" s="42">
        <f>T275+T278</f>
        <v>367412.20768450917</v>
      </c>
      <c r="U279" s="42">
        <f>U275+U278</f>
        <v>366677.38326914015</v>
      </c>
      <c r="V279" s="42">
        <f>V275+V278</f>
        <v>364944.18143019034</v>
      </c>
      <c r="W279" s="42">
        <f>W275+W278</f>
        <v>365212.1404455966</v>
      </c>
      <c r="X279" s="42">
        <f>X275+X278</f>
        <v>364481.71616470546</v>
      </c>
      <c r="Y279" s="42">
        <f>Y275+Y278</f>
        <v>363752.75273237604</v>
      </c>
      <c r="Z279" s="42">
        <f>Z275+Z278</f>
        <v>362033.3749667285</v>
      </c>
      <c r="AA279" s="42">
        <f>AA275+AA278</f>
        <v>412675.68894050637</v>
      </c>
      <c r="AB279" s="42">
        <f>AB275+AB278</f>
        <v>586453.2730145918</v>
      </c>
      <c r="AC279" s="42">
        <f>AC275+AC278</f>
        <v>596985.973797934</v>
      </c>
      <c r="AD279" s="42">
        <f>AD275+AD278</f>
        <v>606047.437947762</v>
      </c>
      <c r="AE279" s="42">
        <f>AE275+AE278</f>
        <v>0</v>
      </c>
    </row>
    <row r="280">
      <c r="A280" s="6" t="inlineStr">
        <is>
          <t xml:space="preserve">Change in working capital</t>
        </is>
      </c>
      <c r="B280" s="10" t="inlineStr">
        <is>
          <t xml:space="preserve">€</t>
        </is>
      </c>
      <c r="F280" s="23">
        <f>F279-E279</f>
        <v>-121225.67078711936</v>
      </c>
      <c r="G280" s="23">
        <f>G279-F279</f>
        <v>276.6812395917368</v>
      </c>
      <c r="H280" s="23">
        <f>H279-G279</f>
        <v>-754.2000225612428</v>
      </c>
      <c r="I280" s="23">
        <f>I279-H279</f>
        <v>-752.6916225159075</v>
      </c>
      <c r="J280" s="23">
        <f>J279-I279</f>
        <v>-1775.3445272388635</v>
      </c>
      <c r="K280" s="23">
        <f>K279-J279</f>
        <v>274.4744211753714</v>
      </c>
      <c r="L280" s="23">
        <f>L279-K279</f>
        <v>-748.1844990588725</v>
      </c>
      <c r="M280" s="23">
        <f>M279-L279</f>
        <v>-746.6881300607347</v>
      </c>
      <c r="N280" s="23">
        <f>N279-M279</f>
        <v>-1761.1843225070043</v>
      </c>
      <c r="O280" s="23">
        <f>O279-N279</f>
        <v>272.28520441340515</v>
      </c>
      <c r="P280" s="23">
        <f>P279-O279</f>
        <v>-742.2169555645669</v>
      </c>
      <c r="Q280" s="23">
        <f>Q279-P279</f>
        <v>-740.7325216532918</v>
      </c>
      <c r="R280" s="23">
        <f>R279-Q279</f>
        <v>-1747.1370600209339</v>
      </c>
      <c r="S280" s="23">
        <f>S279-R279</f>
        <v>270.11344891419867</v>
      </c>
      <c r="T280" s="23">
        <f>T279-S279</f>
        <v>-736.2970093878102</v>
      </c>
      <c r="U280" s="23">
        <f>U279-T279</f>
        <v>-734.8244153690175</v>
      </c>
      <c r="V280" s="23">
        <f>V279-U279</f>
        <v>-1733.2018389498116</v>
      </c>
      <c r="W280" s="23">
        <f>W279-V279</f>
        <v>267.95901540626073</v>
      </c>
      <c r="X280" s="23">
        <f>X279-W279</f>
        <v>-730.4242808911367</v>
      </c>
      <c r="Y280" s="23">
        <f>Y279-X279</f>
        <v>-728.9634323294158</v>
      </c>
      <c r="Z280" s="23">
        <f>Z279-Y279</f>
        <v>-1719.3777656475431</v>
      </c>
      <c r="AA280" s="23">
        <f>AA279-Z279</f>
        <v>50642.31397377787</v>
      </c>
      <c r="AB280" s="23">
        <f>AB279-AA279</f>
        <v>173777.5840740854</v>
      </c>
      <c r="AC280" s="23">
        <f>AC279-AB279</f>
        <v>10532.70078334224</v>
      </c>
      <c r="AD280" s="23">
        <f>AD279-AC279</f>
        <v>9061.464149827952</v>
      </c>
      <c r="AE280" s="23">
        <f>AE279-AD279</f>
        <v>-606047.437947762</v>
      </c>
    </row>
    <row r="282">
      <c r="A282" s="5" t="inlineStr">
        <is>
          <t xml:space="preserve">Lender case P90 1-yr</t>
        </is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>
      <c r="A283" s="6" t="inlineStr">
        <is>
          <t xml:space="preserve">Lender's floor: revenue counted up to the AW (1 = yes)</t>
        </is>
      </c>
      <c r="C283" s="23">
        <f>IF(Inputs!$C$40="floor",1,0)</f>
        <v>1</v>
      </c>
    </row>
    <row r="284">
      <c r="A284" s="6" t="inlineStr">
        <is>
          <t xml:space="preserve">Two-sided premium in this case (1 = yes)</t>
        </is>
      </c>
      <c r="C284" s="23">
        <f>IF(AND($C$283=0,Inputs!$C$35),1,0)</f>
        <v>0</v>
      </c>
    </row>
    <row r="285">
      <c r="A285" s="6" t="inlineStr">
        <is>
          <t xml:space="preserve">Site quality until the first § 36h review</t>
        </is>
      </c>
      <c r="C285" s="43">
        <f>Inputs!$C$16</f>
        <v>0.68</v>
      </c>
    </row>
    <row r="286">
      <c r="A286" s="6" t="inlineStr">
        <is>
          <t xml:space="preserve">Site quality after the reviews</t>
        </is>
      </c>
      <c r="C286" s="24">
        <f>Inputs!$C$16</f>
        <v>0.68</v>
      </c>
      <c r="D286" s="2" t="inlineStr">
        <is>
          <t xml:space="preserve">no review in this case</t>
        </is>
      </c>
    </row>
    <row r="287">
      <c r="A287" s="6" t="inlineStr">
        <is>
          <t xml:space="preserve">Correction factor until the first review</t>
        </is>
      </c>
      <c r="C287" s="44">
        <f>IF($C$285*100&lt;=IF(Inputs!$C$17,Inputs!$C$187,Inputs!$C$188),IF(Inputs!$C$17,Inputs!$C$185,Inputs!$C$184),IF($C$285*100&gt;=Inputs!$C$189,Inputs!$C$186,INDEX(Inputs!$B$173:$B$183,MATCH($C$285*100,Inputs!$A$173:$A$183,1))+($C$285*100-INDEX(Inputs!$A$173:$A$183,MATCH($C$285*100,Inputs!$A$173:$A$183,1)))/(INDEX(Inputs!$A$173:$A$183,MATCH($C$285*100,Inputs!$A$173:$A$183,1)+1)-INDEX(Inputs!$A$173:$A$183,MATCH($C$285*100,Inputs!$A$173:$A$183,1)))*(INDEX(Inputs!$B$173:$B$183,MATCH($C$285*100,Inputs!$A$173:$A$183,1)+1)-INDEX(Inputs!$B$173:$B$183,MATCH($C$285*100,Inputs!$A$173:$A$183,1)))))</f>
        <v>1.316</v>
      </c>
    </row>
    <row r="288">
      <c r="A288" s="6" t="inlineStr">
        <is>
          <t xml:space="preserve">Correction factor after the reviews</t>
        </is>
      </c>
      <c r="C288" s="44">
        <f>IF($C$286*100&lt;=IF(Inputs!$C$17,Inputs!$C$187,Inputs!$C$188),IF(Inputs!$C$17,Inputs!$C$185,Inputs!$C$184),IF($C$286*100&gt;=Inputs!$C$189,Inputs!$C$186,INDEX(Inputs!$B$173:$B$183,MATCH($C$286*100,Inputs!$A$173:$A$183,1))+($C$286*100-INDEX(Inputs!$A$173:$A$183,MATCH($C$286*100,Inputs!$A$173:$A$183,1)))/(INDEX(Inputs!$A$173:$A$183,MATCH($C$286*100,Inputs!$A$173:$A$183,1)+1)-INDEX(Inputs!$A$173:$A$183,MATCH($C$286*100,Inputs!$A$173:$A$183,1)))*(INDEX(Inputs!$B$173:$B$183,MATCH($C$286*100,Inputs!$A$173:$A$183,1)+1)-INDEX(Inputs!$B$173:$B$183,MATCH($C$286*100,Inputs!$A$173:$A$183,1)))))</f>
        <v>1.316</v>
      </c>
    </row>
    <row r="289">
      <c r="A289" s="6" t="inlineStr">
        <is>
          <t xml:space="preserve">AW until the first review (rounded to 0.01 ct)</t>
        </is>
      </c>
      <c r="B289" s="10" t="inlineStr">
        <is>
          <t xml:space="preserve">€/kWh</t>
        </is>
      </c>
      <c r="C289" s="21">
        <f>ROUND(Inputs!$C$27*$C$287,2)/100</f>
        <v>0.063</v>
      </c>
    </row>
    <row r="290">
      <c r="A290" s="6" t="inlineStr">
        <is>
          <t xml:space="preserve">AW after the reviews</t>
        </is>
      </c>
      <c r="B290" s="10" t="inlineStr">
        <is>
          <t xml:space="preserve">€/kWh</t>
        </is>
      </c>
      <c r="C290" s="21">
        <f>ROUND(Inputs!$C$27*$C$288,2)/100</f>
        <v>0.063</v>
      </c>
    </row>
    <row r="291">
      <c r="A291" s="6" t="inlineStr">
        <is>
          <t xml:space="preserve">Baseload price</t>
        </is>
      </c>
      <c r="B291" s="10" t="inlineStr">
        <is>
          <t xml:space="preserve">€/MWh</t>
        </is>
      </c>
      <c r="E291" s="26">
        <f>IF(COUNTIF(Inputs!$A$42:$A$44,Timing!$C$15-1)&gt;0,SUMIFS(Inputs!$B$42:$B$44,Inputs!$A$42:$A$44,Timing!$C$15-1),Inputs!$C$30*Timing!E76)*1</f>
        <v>128.37</v>
      </c>
      <c r="F291" s="26">
        <f>IF(COUNTIF(Inputs!$A$42:$A$44,Timing!F59)&gt;0,SUMIFS(Inputs!$B$42:$B$44,Inputs!$A$42:$A$44,Timing!F59),Inputs!$C$30*Timing!F76)*1</f>
        <v>98.88</v>
      </c>
      <c r="G291" s="26">
        <f>IF(COUNTIF(Inputs!$A$42:$A$44,Timing!G59)&gt;0,SUMIFS(Inputs!$B$42:$B$44,Inputs!$A$42:$A$44,Timing!G59),Inputs!$C$30*Timing!G76)*1</f>
        <v>82.74</v>
      </c>
      <c r="H291" s="26">
        <f>IF(COUNTIF(Inputs!$A$42:$A$44,Timing!H59)&gt;0,SUMIFS(Inputs!$B$42:$B$44,Inputs!$A$42:$A$44,Timing!H59),Inputs!$C$30*Timing!H76)*1</f>
        <v>81.65940939000001</v>
      </c>
      <c r="I291" s="26">
        <f>IF(COUNTIF(Inputs!$A$42:$A$44,Timing!I59)&gt;0,SUMIFS(Inputs!$B$42:$B$44,Inputs!$A$42:$A$44,Timing!I59),Inputs!$C$30*Timing!I76)*1</f>
        <v>83.2925975778</v>
      </c>
      <c r="J291" s="26">
        <f>IF(COUNTIF(Inputs!$A$42:$A$44,Timing!J59)&gt;0,SUMIFS(Inputs!$B$42:$B$44,Inputs!$A$42:$A$44,Timing!J59),Inputs!$C$30*Timing!J76)*1</f>
        <v>84.95844952935599</v>
      </c>
      <c r="K291" s="26">
        <f>IF(COUNTIF(Inputs!$A$42:$A$44,Timing!K59)&gt;0,SUMIFS(Inputs!$B$42:$B$44,Inputs!$A$42:$A$44,Timing!K59),Inputs!$C$30*Timing!K76)*1</f>
        <v>86.65761851994313</v>
      </c>
      <c r="L291" s="26">
        <f>IF(COUNTIF(Inputs!$A$42:$A$44,Timing!L59)&gt;0,SUMIFS(Inputs!$B$42:$B$44,Inputs!$A$42:$A$44,Timing!L59),Inputs!$C$30*Timing!L76)*1</f>
        <v>88.39077089034198</v>
      </c>
      <c r="M291" s="26">
        <f>IF(COUNTIF(Inputs!$A$42:$A$44,Timing!M59)&gt;0,SUMIFS(Inputs!$B$42:$B$44,Inputs!$A$42:$A$44,Timing!M59),Inputs!$C$30*Timing!M76)*1</f>
        <v>90.15858630814881</v>
      </c>
      <c r="N291" s="26">
        <f>IF(COUNTIF(Inputs!$A$42:$A$44,Timing!N59)&gt;0,SUMIFS(Inputs!$B$42:$B$44,Inputs!$A$42:$A$44,Timing!N59),Inputs!$C$30*Timing!N76)*1</f>
        <v>91.96175803431179</v>
      </c>
      <c r="O291" s="26">
        <f>IF(COUNTIF(Inputs!$A$42:$A$44,Timing!O59)&gt;0,SUMIFS(Inputs!$B$42:$B$44,Inputs!$A$42:$A$44,Timing!O59),Inputs!$C$30*Timing!O76)*1</f>
        <v>93.80099319499803</v>
      </c>
      <c r="P291" s="26">
        <f>IF(COUNTIF(Inputs!$A$42:$A$44,Timing!P59)&gt;0,SUMIFS(Inputs!$B$42:$B$44,Inputs!$A$42:$A$44,Timing!P59),Inputs!$C$30*Timing!P76)*1</f>
        <v>95.67701305889798</v>
      </c>
      <c r="Q291" s="26">
        <f>IF(COUNTIF(Inputs!$A$42:$A$44,Timing!Q59)&gt;0,SUMIFS(Inputs!$B$42:$B$44,Inputs!$A$42:$A$44,Timing!Q59),Inputs!$C$30*Timing!Q76)*1</f>
        <v>97.59055332007594</v>
      </c>
      <c r="R291" s="26">
        <f>IF(COUNTIF(Inputs!$A$42:$A$44,Timing!R59)&gt;0,SUMIFS(Inputs!$B$42:$B$44,Inputs!$A$42:$A$44,Timing!R59),Inputs!$C$30*Timing!R76)*1</f>
        <v>99.54236438647747</v>
      </c>
      <c r="S291" s="26">
        <f>IF(COUNTIF(Inputs!$A$42:$A$44,Timing!S59)&gt;0,SUMIFS(Inputs!$B$42:$B$44,Inputs!$A$42:$A$44,Timing!S59),Inputs!$C$30*Timing!S76)*1</f>
        <v>101.53321167420701</v>
      </c>
      <c r="T291" s="26">
        <f>IF(COUNTIF(Inputs!$A$42:$A$44,Timing!T59)&gt;0,SUMIFS(Inputs!$B$42:$B$44,Inputs!$A$42:$A$44,Timing!T59),Inputs!$C$30*Timing!T76)*1</f>
        <v>103.56387590769116</v>
      </c>
      <c r="U291" s="26">
        <f>IF(COUNTIF(Inputs!$A$42:$A$44,Timing!U59)&gt;0,SUMIFS(Inputs!$B$42:$B$44,Inputs!$A$42:$A$44,Timing!U59),Inputs!$C$30*Timing!U76)*1</f>
        <v>105.63515342584496</v>
      </c>
      <c r="V291" s="26">
        <f>IF(COUNTIF(Inputs!$A$42:$A$44,Timing!V59)&gt;0,SUMIFS(Inputs!$B$42:$B$44,Inputs!$A$42:$A$44,Timing!V59),Inputs!$C$30*Timing!V76)*1</f>
        <v>107.74785649436187</v>
      </c>
      <c r="W291" s="26">
        <f>IF(COUNTIF(Inputs!$A$42:$A$44,Timing!W59)&gt;0,SUMIFS(Inputs!$B$42:$B$44,Inputs!$A$42:$A$44,Timing!W59),Inputs!$C$30*Timing!W76)*1</f>
        <v>109.9028136242491</v>
      </c>
      <c r="X291" s="26">
        <f>IF(COUNTIF(Inputs!$A$42:$A$44,Timing!X59)&gt;0,SUMIFS(Inputs!$B$42:$B$44,Inputs!$A$42:$A$44,Timing!X59),Inputs!$C$30*Timing!X76)*1</f>
        <v>112.1008698967341</v>
      </c>
      <c r="Y291" s="26">
        <f>IF(COUNTIF(Inputs!$A$42:$A$44,Timing!Y59)&gt;0,SUMIFS(Inputs!$B$42:$B$44,Inputs!$A$42:$A$44,Timing!Y59),Inputs!$C$30*Timing!Y76)*1</f>
        <v>114.34288729466878</v>
      </c>
      <c r="Z291" s="26">
        <f>IF(COUNTIF(Inputs!$A$42:$A$44,Timing!Z59)&gt;0,SUMIFS(Inputs!$B$42:$B$44,Inputs!$A$42:$A$44,Timing!Z59),Inputs!$C$30*Timing!Z76)*1</f>
        <v>116.62974504056216</v>
      </c>
      <c r="AA291" s="26">
        <f>IF(COUNTIF(Inputs!$A$42:$A$44,Timing!AA59)&gt;0,SUMIFS(Inputs!$B$42:$B$44,Inputs!$A$42:$A$44,Timing!AA59),Inputs!$C$30*Timing!AA76)*1</f>
        <v>118.9623399413734</v>
      </c>
      <c r="AB291" s="26">
        <f>IF(COUNTIF(Inputs!$A$42:$A$44,Timing!AB59)&gt;0,SUMIFS(Inputs!$B$42:$B$44,Inputs!$A$42:$A$44,Timing!AB59),Inputs!$C$30*Timing!AB76)*1</f>
        <v>121.34158674020087</v>
      </c>
      <c r="AC291" s="26">
        <f>IF(COUNTIF(Inputs!$A$42:$A$44,Timing!AC59)&gt;0,SUMIFS(Inputs!$B$42:$B$44,Inputs!$A$42:$A$44,Timing!AC59),Inputs!$C$30*Timing!AC76)*1</f>
        <v>123.76841847500489</v>
      </c>
      <c r="AD291" s="26">
        <f>IF(COUNTIF(Inputs!$A$42:$A$44,Timing!AD59)&gt;0,SUMIFS(Inputs!$B$42:$B$44,Inputs!$A$42:$A$44,Timing!AD59),Inputs!$C$30*Timing!AD76)*1</f>
        <v>126.243786844505</v>
      </c>
      <c r="AE291" s="26">
        <f>IF(COUNTIF(Inputs!$A$42:$A$44,Timing!AE59)&gt;0,SUMIFS(Inputs!$B$42:$B$44,Inputs!$A$42:$A$44,Timing!AE59),Inputs!$C$30*Timing!AE76)*1</f>
        <v>128.76866258139512</v>
      </c>
    </row>
    <row r="292">
      <c r="A292" s="6" t="inlineStr">
        <is>
          <t xml:space="preserve">Market value of wind (JW)</t>
        </is>
      </c>
      <c r="B292" s="10" t="inlineStr">
        <is>
          <t xml:space="preserve">€/kWh</t>
        </is>
      </c>
      <c r="E292" s="37">
        <f>E291*Inputs!$C$31/1000</f>
        <v>0.10269600000000001</v>
      </c>
      <c r="F292" s="37">
        <f>F291*Inputs!$C$31/1000</f>
        <v>0.079104</v>
      </c>
      <c r="G292" s="37">
        <f>G291*Inputs!$C$31/1000</f>
        <v>0.06619199999999999</v>
      </c>
      <c r="H292" s="37">
        <f>H291*Inputs!$C$31/1000</f>
        <v>0.06532752751200001</v>
      </c>
      <c r="I292" s="37">
        <f>I291*Inputs!$C$31/1000</f>
        <v>0.06663407806223999</v>
      </c>
      <c r="J292" s="37">
        <f>J291*Inputs!$C$31/1000</f>
        <v>0.0679667596234848</v>
      </c>
      <c r="K292" s="37">
        <f>K291*Inputs!$C$31/1000</f>
        <v>0.0693260948159545</v>
      </c>
      <c r="L292" s="37">
        <f>L291*Inputs!$C$31/1000</f>
        <v>0.0707126167122736</v>
      </c>
      <c r="M292" s="37">
        <f>M291*Inputs!$C$31/1000</f>
        <v>0.07212686904651905</v>
      </c>
      <c r="N292" s="37">
        <f>N291*Inputs!$C$31/1000</f>
        <v>0.07356940642744944</v>
      </c>
      <c r="O292" s="37">
        <f>O291*Inputs!$C$31/1000</f>
        <v>0.07504079455599844</v>
      </c>
      <c r="P292" s="37">
        <f>P291*Inputs!$C$31/1000</f>
        <v>0.0765416104471184</v>
      </c>
      <c r="Q292" s="37">
        <f>Q291*Inputs!$C$31/1000</f>
        <v>0.07807244265606075</v>
      </c>
      <c r="R292" s="37">
        <f>R291*Inputs!$C$31/1000</f>
        <v>0.07963389150918197</v>
      </c>
      <c r="S292" s="37">
        <f>S291*Inputs!$C$31/1000</f>
        <v>0.08122656933936562</v>
      </c>
      <c r="T292" s="37">
        <f>T291*Inputs!$C$31/1000</f>
        <v>0.08285110072615294</v>
      </c>
      <c r="U292" s="37">
        <f>U291*Inputs!$C$31/1000</f>
        <v>0.08450812274067597</v>
      </c>
      <c r="V292" s="37">
        <f>V291*Inputs!$C$31/1000</f>
        <v>0.0861982851954895</v>
      </c>
      <c r="W292" s="37">
        <f>W291*Inputs!$C$31/1000</f>
        <v>0.08792225089939928</v>
      </c>
      <c r="X292" s="37">
        <f>X291*Inputs!$C$31/1000</f>
        <v>0.08968069591738728</v>
      </c>
      <c r="Y292" s="37">
        <f>Y291*Inputs!$C$31/1000</f>
        <v>0.09147430983573503</v>
      </c>
      <c r="Z292" s="37">
        <f>Z291*Inputs!$C$31/1000</f>
        <v>0.09330379603244973</v>
      </c>
      <c r="AA292" s="37">
        <f>AA291*Inputs!$C$31/1000</f>
        <v>0.09516987195309871</v>
      </c>
      <c r="AB292" s="37">
        <f>AB291*Inputs!$C$31/1000</f>
        <v>0.0970732693921607</v>
      </c>
      <c r="AC292" s="37">
        <f>AC291*Inputs!$C$31/1000</f>
        <v>0.09901473478000392</v>
      </c>
      <c r="AD292" s="37">
        <f>AD291*Inputs!$C$31/1000</f>
        <v>0.100995029475604</v>
      </c>
      <c r="AE292" s="37">
        <f>AE291*Inputs!$C$31/1000</f>
        <v>0.1030149300651161</v>
      </c>
    </row>
    <row r="293">
      <c r="A293" s="6" t="inlineStr">
        <is>
          <t xml:space="preserve">Market value of the year before (basis of the advances, § 26)</t>
        </is>
      </c>
      <c r="B293" s="10" t="inlineStr">
        <is>
          <t xml:space="preserve">€/kWh</t>
        </is>
      </c>
      <c r="F293" s="37">
        <f>E292</f>
        <v>0.10269600000000001</v>
      </c>
      <c r="G293" s="37">
        <f>F292</f>
        <v>0.079104</v>
      </c>
      <c r="H293" s="37">
        <f>G292</f>
        <v>0.06619199999999999</v>
      </c>
      <c r="I293" s="37">
        <f>H292</f>
        <v>0.06532752751200001</v>
      </c>
      <c r="J293" s="37">
        <f>I292</f>
        <v>0.06663407806223999</v>
      </c>
      <c r="K293" s="37">
        <f>J292</f>
        <v>0.0679667596234848</v>
      </c>
      <c r="L293" s="37">
        <f>K292</f>
        <v>0.0693260948159545</v>
      </c>
      <c r="M293" s="37">
        <f>L292</f>
        <v>0.0707126167122736</v>
      </c>
      <c r="N293" s="37">
        <f>M292</f>
        <v>0.07212686904651905</v>
      </c>
      <c r="O293" s="37">
        <f>N292</f>
        <v>0.07356940642744944</v>
      </c>
      <c r="P293" s="37">
        <f>O292</f>
        <v>0.07504079455599844</v>
      </c>
      <c r="Q293" s="37">
        <f>P292</f>
        <v>0.0765416104471184</v>
      </c>
      <c r="R293" s="37">
        <f>Q292</f>
        <v>0.07807244265606075</v>
      </c>
      <c r="S293" s="37">
        <f>R292</f>
        <v>0.07963389150918197</v>
      </c>
      <c r="T293" s="37">
        <f>S292</f>
        <v>0.08122656933936562</v>
      </c>
      <c r="U293" s="37">
        <f>T292</f>
        <v>0.08285110072615294</v>
      </c>
      <c r="V293" s="37">
        <f>U292</f>
        <v>0.08450812274067597</v>
      </c>
      <c r="W293" s="37">
        <f>V292</f>
        <v>0.0861982851954895</v>
      </c>
      <c r="X293" s="37">
        <f>W292</f>
        <v>0.08792225089939928</v>
      </c>
      <c r="Y293" s="37">
        <f>X292</f>
        <v>0.08968069591738728</v>
      </c>
      <c r="Z293" s="37">
        <f>Y292</f>
        <v>0.09147430983573503</v>
      </c>
      <c r="AA293" s="37">
        <f>Z292</f>
        <v>0.09330379603244973</v>
      </c>
      <c r="AB293" s="37">
        <f>AA292</f>
        <v>0.09516987195309871</v>
      </c>
      <c r="AC293" s="37">
        <f>AB292</f>
        <v>0.0970732693921607</v>
      </c>
      <c r="AD293" s="37">
        <f>AC292</f>
        <v>0.09901473478000392</v>
      </c>
      <c r="AE293" s="37">
        <f>AD292</f>
        <v>0.100995029475604</v>
      </c>
    </row>
    <row r="294">
      <c r="A294" s="6" t="inlineStr">
        <is>
          <t xml:space="preserve">Output</t>
        </is>
      </c>
      <c r="B294" s="10" t="inlineStr">
        <is>
          <t xml:space="preserve">kWh</t>
        </is>
      </c>
      <c r="F294" s="23">
        <f>Timing!$C$28*Timing!$C$29*Timing!F66*Timing!F73*Inputs!$C$107</f>
        <v>32281462.372681748</v>
      </c>
      <c r="G294" s="23">
        <f>Timing!$C$28*Timing!$C$29*Timing!G66*Timing!G73*Inputs!$C$107</f>
        <v>64083615.20622129</v>
      </c>
      <c r="H294" s="23">
        <f>Timing!$C$28*Timing!$C$29*Timing!H66*Timing!H73*Inputs!$C$107</f>
        <v>63955447.975808844</v>
      </c>
      <c r="I294" s="23">
        <f>Timing!$C$28*Timing!$C$29*Timing!I66*Timing!I73*Inputs!$C$107</f>
        <v>63827537.07985724</v>
      </c>
      <c r="J294" s="23">
        <f>Timing!$C$28*Timing!$C$29*Timing!J66*Timing!J73*Inputs!$C$107</f>
        <v>63699882.00569751</v>
      </c>
      <c r="K294" s="23">
        <f>Timing!$C$28*Timing!$C$29*Timing!K66*Timing!K73*Inputs!$C$107</f>
        <v>63572482.24168612</v>
      </c>
      <c r="L294" s="23">
        <f>Timing!$C$28*Timing!$C$29*Timing!L66*Timing!L73*Inputs!$C$107</f>
        <v>63445337.27720275</v>
      </c>
      <c r="M294" s="23">
        <f>Timing!$C$28*Timing!$C$29*Timing!M66*Timing!M73*Inputs!$C$107</f>
        <v>63318446.60264834</v>
      </c>
      <c r="N294" s="23">
        <f>Timing!$C$28*Timing!$C$29*Timing!N66*Timing!N73*Inputs!$C$107</f>
        <v>63191809.70944304</v>
      </c>
      <c r="O294" s="23">
        <f>Timing!$C$28*Timing!$C$29*Timing!O66*Timing!O73*Inputs!$C$107</f>
        <v>63065426.090024166</v>
      </c>
      <c r="P294" s="23">
        <f>Timing!$C$28*Timing!$C$29*Timing!P66*Timing!P73*Inputs!$C$107</f>
        <v>62939295.2378441</v>
      </c>
      <c r="Q294" s="23">
        <f>Timing!$C$28*Timing!$C$29*Timing!Q66*Timing!Q73*Inputs!$C$107</f>
        <v>62813416.64736842</v>
      </c>
      <c r="R294" s="23">
        <f>Timing!$C$28*Timing!$C$29*Timing!R66*Timing!R73*Inputs!$C$107</f>
        <v>62687789.81407368</v>
      </c>
      <c r="S294" s="23">
        <f>Timing!$C$28*Timing!$C$29*Timing!S66*Timing!S73*Inputs!$C$107</f>
        <v>62562414.23444555</v>
      </c>
      <c r="T294" s="23">
        <f>Timing!$C$28*Timing!$C$29*Timing!T66*Timing!T73*Inputs!$C$107</f>
        <v>62437289.405976646</v>
      </c>
      <c r="U294" s="23">
        <f>Timing!$C$28*Timing!$C$29*Timing!U66*Timing!U73*Inputs!$C$107</f>
        <v>62312414.827164695</v>
      </c>
      <c r="V294" s="23">
        <f>Timing!$C$28*Timing!$C$29*Timing!V66*Timing!V73*Inputs!$C$107</f>
        <v>62187789.99751036</v>
      </c>
      <c r="W294" s="23">
        <f>Timing!$C$28*Timing!$C$29*Timing!W66*Timing!W73*Inputs!$C$107</f>
        <v>62063414.41751534</v>
      </c>
      <c r="X294" s="23">
        <f>Timing!$C$28*Timing!$C$29*Timing!X66*Timing!X73*Inputs!$C$107</f>
        <v>61939287.58868031</v>
      </c>
      <c r="Y294" s="23">
        <f>Timing!$C$28*Timing!$C$29*Timing!Y66*Timing!Y73*Inputs!$C$107</f>
        <v>61815409.01350295</v>
      </c>
      <c r="Z294" s="23">
        <f>Timing!$C$28*Timing!$C$29*Timing!Z66*Timing!Z73*Inputs!$C$107</f>
        <v>61691778.19547594</v>
      </c>
      <c r="AA294" s="23">
        <f>Timing!$C$28*Timing!$C$29*Timing!AA66*Timing!AA73*Inputs!$C$107</f>
        <v>61568394.639084995</v>
      </c>
      <c r="AB294" s="23">
        <f>Timing!$C$28*Timing!$C$29*Timing!AB66*Timing!AB73*Inputs!$C$107</f>
        <v>61445257.84980682</v>
      </c>
      <c r="AC294" s="23">
        <f>Timing!$C$28*Timing!$C$29*Timing!AC66*Timing!AC73*Inputs!$C$107</f>
        <v>61322367.33410722</v>
      </c>
      <c r="AD294" s="23">
        <f>Timing!$C$28*Timing!$C$29*Timing!AD66*Timing!AD73*Inputs!$C$107</f>
        <v>61199722.599438995</v>
      </c>
      <c r="AE294" s="23">
        <f>Timing!$C$28*Timing!$C$29*Timing!AE66*Timing!AE73*Inputs!$C$107</f>
        <v>30287658.879225925</v>
      </c>
    </row>
    <row r="295">
      <c r="A295" s="6" t="inlineStr">
        <is>
          <t xml:space="preserve">Output sold (not curtailed at negative prices)</t>
        </is>
      </c>
      <c r="B295" s="10" t="inlineStr">
        <is>
          <t xml:space="preserve">kWh</t>
        </is>
      </c>
      <c r="F295" s="23">
        <f>F294*(1-Inputs!$C$23)</f>
        <v>30667389.25404766</v>
      </c>
      <c r="G295" s="23">
        <f>G294*(1-Inputs!$C$23)</f>
        <v>60879434.44591022</v>
      </c>
      <c r="H295" s="23">
        <f>H294*(1-Inputs!$C$23)</f>
        <v>60757675.5770184</v>
      </c>
      <c r="I295" s="23">
        <f>I294*(1-Inputs!$C$23)</f>
        <v>60636160.22586437</v>
      </c>
      <c r="J295" s="23">
        <f>J294*(1-Inputs!$C$23)</f>
        <v>60514887.90541263</v>
      </c>
      <c r="K295" s="23">
        <f>K294*(1-Inputs!$C$23)</f>
        <v>60393858.129601814</v>
      </c>
      <c r="L295" s="23">
        <f>L294*(1-Inputs!$C$23)</f>
        <v>60273070.41334261</v>
      </c>
      <c r="M295" s="23">
        <f>M294*(1-Inputs!$C$23)</f>
        <v>60152524.27251592</v>
      </c>
      <c r="N295" s="23">
        <f>N294*(1-Inputs!$C$23)</f>
        <v>60032219.22397088</v>
      </c>
      <c r="O295" s="23">
        <f>O294*(1-Inputs!$C$23)</f>
        <v>59912154.78552295</v>
      </c>
      <c r="P295" s="23">
        <f>P294*(1-Inputs!$C$23)</f>
        <v>59792330.475951895</v>
      </c>
      <c r="Q295" s="23">
        <f>Q294*(1-Inputs!$C$23)</f>
        <v>59672745.815</v>
      </c>
      <c r="R295" s="23">
        <f>R294*(1-Inputs!$C$23)</f>
        <v>59553400.323369995</v>
      </c>
      <c r="S295" s="23">
        <f>S294*(1-Inputs!$C$23)</f>
        <v>59434293.52272327</v>
      </c>
      <c r="T295" s="23">
        <f>T294*(1-Inputs!$C$23)</f>
        <v>59315424.93567781</v>
      </c>
      <c r="U295" s="23">
        <f>U294*(1-Inputs!$C$23)</f>
        <v>59196794.08580646</v>
      </c>
      <c r="V295" s="23">
        <f>V294*(1-Inputs!$C$23)</f>
        <v>59078400.497634836</v>
      </c>
      <c r="W295" s="23">
        <f>W294*(1-Inputs!$C$23)</f>
        <v>58960243.69663957</v>
      </c>
      <c r="X295" s="23">
        <f>X294*(1-Inputs!$C$23)</f>
        <v>58842323.20924629</v>
      </c>
      <c r="Y295" s="23">
        <f>Y294*(1-Inputs!$C$23)</f>
        <v>58724638.562827796</v>
      </c>
      <c r="Z295" s="23">
        <f>Z294*(1-Inputs!$C$23)</f>
        <v>58607189.28570215</v>
      </c>
      <c r="AA295" s="23">
        <f>AA294*(1-Inputs!$C$23)</f>
        <v>58489974.90713074</v>
      </c>
      <c r="AB295" s="23">
        <f>AB294*(1-Inputs!$C$23)</f>
        <v>58372994.95731648</v>
      </c>
      <c r="AC295" s="23">
        <f>AC294*(1-Inputs!$C$23)</f>
        <v>58256248.967401855</v>
      </c>
      <c r="AD295" s="23">
        <f>AD294*(1-Inputs!$C$23)</f>
        <v>58139736.469467044</v>
      </c>
      <c r="AE295" s="23">
        <f>AE294*(1-Inputs!$C$23)</f>
        <v>28773275.93526463</v>
      </c>
    </row>
    <row r="296">
      <c r="A296" s="6" t="inlineStr">
        <is>
          <t xml:space="preserve">Output eligible for the premium</t>
        </is>
      </c>
      <c r="B296" s="10" t="inlineStr">
        <is>
          <t xml:space="preserve">kWh</t>
        </is>
      </c>
      <c r="F296" s="23">
        <f>F295*Timing!F69</f>
        <v>30667389.25404766</v>
      </c>
      <c r="G296" s="23">
        <f>G295*Timing!G69</f>
        <v>60879434.44591022</v>
      </c>
      <c r="H296" s="23">
        <f>H295*Timing!H69</f>
        <v>60757675.5770184</v>
      </c>
      <c r="I296" s="23">
        <f>I295*Timing!I69</f>
        <v>60636160.22586437</v>
      </c>
      <c r="J296" s="23">
        <f>J295*Timing!J69</f>
        <v>60514887.90541263</v>
      </c>
      <c r="K296" s="23">
        <f>K295*Timing!K69</f>
        <v>60393858.129601814</v>
      </c>
      <c r="L296" s="23">
        <f>L295*Timing!L69</f>
        <v>60273070.41334261</v>
      </c>
      <c r="M296" s="23">
        <f>M295*Timing!M69</f>
        <v>60152524.27251592</v>
      </c>
      <c r="N296" s="23">
        <f>N295*Timing!N69</f>
        <v>60032219.22397088</v>
      </c>
      <c r="O296" s="23">
        <f>O295*Timing!O69</f>
        <v>59912154.78552295</v>
      </c>
      <c r="P296" s="23">
        <f>P295*Timing!P69</f>
        <v>59792330.475951895</v>
      </c>
      <c r="Q296" s="23">
        <f>Q295*Timing!Q69</f>
        <v>59672745.815</v>
      </c>
      <c r="R296" s="23">
        <f>R295*Timing!R69</f>
        <v>59553400.323369995</v>
      </c>
      <c r="S296" s="23">
        <f>S295*Timing!S69</f>
        <v>59434293.52272327</v>
      </c>
      <c r="T296" s="23">
        <f>T295*Timing!T69</f>
        <v>59315424.93567781</v>
      </c>
      <c r="U296" s="23">
        <f>U295*Timing!U69</f>
        <v>59196794.08580646</v>
      </c>
      <c r="V296" s="23">
        <f>V295*Timing!V69</f>
        <v>59078400.497634836</v>
      </c>
      <c r="W296" s="23">
        <f>W295*Timing!W69</f>
        <v>58960243.69663957</v>
      </c>
      <c r="X296" s="23">
        <f>X295*Timing!X69</f>
        <v>58842323.20924629</v>
      </c>
      <c r="Y296" s="23">
        <f>Y295*Timing!Y69</f>
        <v>58724638.562827796</v>
      </c>
      <c r="Z296" s="23">
        <f>Z295*Timing!Z69</f>
        <v>58607189.28570215</v>
      </c>
      <c r="AA296" s="23">
        <f>AA295*Timing!AA69</f>
        <v>44708775.33997117</v>
      </c>
      <c r="AB296" s="23">
        <f>AB295*Timing!AB69</f>
        <v>0</v>
      </c>
      <c r="AC296" s="23">
        <f>AC295*Timing!AC69</f>
        <v>0</v>
      </c>
      <c r="AD296" s="23">
        <f>AD295*Timing!AD69</f>
        <v>0</v>
      </c>
      <c r="AE296" s="23">
        <f>AE295*Timing!AE69</f>
        <v>0</v>
      </c>
    </row>
    <row r="297">
      <c r="A297" s="6" t="inlineStr">
        <is>
          <t xml:space="preserve">Premium per kWh at the first AW</t>
        </is>
      </c>
      <c r="B297" s="10" t="inlineStr">
        <is>
          <t xml:space="preserve">€/kWh</t>
        </is>
      </c>
      <c r="F297" s="37">
        <f>IF($C$284=1,$C$289-F292,MAX(0,$C$289-F292))</f>
        <v>0</v>
      </c>
      <c r="G297" s="37">
        <f>IF($C$284=1,$C$289-G292,MAX(0,$C$289-G292))</f>
        <v>0</v>
      </c>
      <c r="H297" s="37">
        <f>IF($C$284=1,$C$289-H292,MAX(0,$C$289-H292))</f>
        <v>0</v>
      </c>
      <c r="I297" s="37">
        <f>IF($C$284=1,$C$289-I292,MAX(0,$C$289-I292))</f>
        <v>0</v>
      </c>
      <c r="J297" s="37">
        <f>IF($C$284=1,$C$289-J292,MAX(0,$C$289-J292))</f>
        <v>0</v>
      </c>
      <c r="K297" s="37">
        <f>IF($C$284=1,$C$289-K292,MAX(0,$C$289-K292))</f>
        <v>0</v>
      </c>
      <c r="L297" s="37">
        <f>IF($C$284=1,$C$289-L292,MAX(0,$C$289-L292))</f>
        <v>0</v>
      </c>
      <c r="M297" s="37">
        <f>IF($C$284=1,$C$289-M292,MAX(0,$C$289-M292))</f>
        <v>0</v>
      </c>
      <c r="N297" s="37">
        <f>IF($C$284=1,$C$289-N292,MAX(0,$C$289-N292))</f>
        <v>0</v>
      </c>
      <c r="O297" s="37">
        <f>IF($C$284=1,$C$289-O292,MAX(0,$C$289-O292))</f>
        <v>0</v>
      </c>
      <c r="P297" s="37">
        <f>IF($C$284=1,$C$289-P292,MAX(0,$C$289-P292))</f>
        <v>0</v>
      </c>
      <c r="Q297" s="37">
        <f>IF($C$284=1,$C$289-Q292,MAX(0,$C$289-Q292))</f>
        <v>0</v>
      </c>
      <c r="R297" s="37">
        <f>IF($C$284=1,$C$289-R292,MAX(0,$C$289-R292))</f>
        <v>0</v>
      </c>
      <c r="S297" s="37">
        <f>IF($C$284=1,$C$289-S292,MAX(0,$C$289-S292))</f>
        <v>0</v>
      </c>
      <c r="T297" s="37">
        <f>IF($C$284=1,$C$289-T292,MAX(0,$C$289-T292))</f>
        <v>0</v>
      </c>
      <c r="U297" s="37">
        <f>IF($C$284=1,$C$289-U292,MAX(0,$C$289-U292))</f>
        <v>0</v>
      </c>
      <c r="V297" s="37">
        <f>IF($C$284=1,$C$289-V292,MAX(0,$C$289-V292))</f>
        <v>0</v>
      </c>
      <c r="W297" s="37">
        <f>IF($C$284=1,$C$289-W292,MAX(0,$C$289-W292))</f>
        <v>0</v>
      </c>
      <c r="X297" s="37">
        <f>IF($C$284=1,$C$289-X292,MAX(0,$C$289-X292))</f>
        <v>0</v>
      </c>
      <c r="Y297" s="37">
        <f>IF($C$284=1,$C$289-Y292,MAX(0,$C$289-Y292))</f>
        <v>0</v>
      </c>
      <c r="Z297" s="37">
        <f>IF($C$284=1,$C$289-Z292,MAX(0,$C$289-Z292))</f>
        <v>0</v>
      </c>
      <c r="AA297" s="37">
        <f>IF($C$284=1,$C$289-AA292,MAX(0,$C$289-AA292))</f>
        <v>0</v>
      </c>
      <c r="AB297" s="37">
        <f>IF($C$284=1,$C$289-AB292,MAX(0,$C$289-AB292))</f>
        <v>0</v>
      </c>
      <c r="AC297" s="37">
        <f>IF($C$284=1,$C$289-AC292,MAX(0,$C$289-AC292))</f>
        <v>0</v>
      </c>
      <c r="AD297" s="37">
        <f>IF($C$284=1,$C$289-AD292,MAX(0,$C$289-AD292))</f>
        <v>0</v>
      </c>
      <c r="AE297" s="37">
        <f>IF($C$284=1,$C$289-AE292,MAX(0,$C$289-AE292))</f>
        <v>0</v>
      </c>
    </row>
    <row r="298">
      <c r="A298" s="6" t="inlineStr">
        <is>
          <t xml:space="preserve">Premium per kWh at the reviewed AW</t>
        </is>
      </c>
      <c r="B298" s="10" t="inlineStr">
        <is>
          <t xml:space="preserve">€/kWh</t>
        </is>
      </c>
      <c r="F298" s="37">
        <f>IF($C$284=1,$C$290-F292,MAX(0,$C$290-F292))</f>
        <v>0</v>
      </c>
      <c r="G298" s="37">
        <f>IF($C$284=1,$C$290-G292,MAX(0,$C$290-G292))</f>
        <v>0</v>
      </c>
      <c r="H298" s="37">
        <f>IF($C$284=1,$C$290-H292,MAX(0,$C$290-H292))</f>
        <v>0</v>
      </c>
      <c r="I298" s="37">
        <f>IF($C$284=1,$C$290-I292,MAX(0,$C$290-I292))</f>
        <v>0</v>
      </c>
      <c r="J298" s="37">
        <f>IF($C$284=1,$C$290-J292,MAX(0,$C$290-J292))</f>
        <v>0</v>
      </c>
      <c r="K298" s="37">
        <f>IF($C$284=1,$C$290-K292,MAX(0,$C$290-K292))</f>
        <v>0</v>
      </c>
      <c r="L298" s="37">
        <f>IF($C$284=1,$C$290-L292,MAX(0,$C$290-L292))</f>
        <v>0</v>
      </c>
      <c r="M298" s="37">
        <f>IF($C$284=1,$C$290-M292,MAX(0,$C$290-M292))</f>
        <v>0</v>
      </c>
      <c r="N298" s="37">
        <f>IF($C$284=1,$C$290-N292,MAX(0,$C$290-N292))</f>
        <v>0</v>
      </c>
      <c r="O298" s="37">
        <f>IF($C$284=1,$C$290-O292,MAX(0,$C$290-O292))</f>
        <v>0</v>
      </c>
      <c r="P298" s="37">
        <f>IF($C$284=1,$C$290-P292,MAX(0,$C$290-P292))</f>
        <v>0</v>
      </c>
      <c r="Q298" s="37">
        <f>IF($C$284=1,$C$290-Q292,MAX(0,$C$290-Q292))</f>
        <v>0</v>
      </c>
      <c r="R298" s="37">
        <f>IF($C$284=1,$C$290-R292,MAX(0,$C$290-R292))</f>
        <v>0</v>
      </c>
      <c r="S298" s="37">
        <f>IF($C$284=1,$C$290-S292,MAX(0,$C$290-S292))</f>
        <v>0</v>
      </c>
      <c r="T298" s="37">
        <f>IF($C$284=1,$C$290-T292,MAX(0,$C$290-T292))</f>
        <v>0</v>
      </c>
      <c r="U298" s="37">
        <f>IF($C$284=1,$C$290-U292,MAX(0,$C$290-U292))</f>
        <v>0</v>
      </c>
      <c r="V298" s="37">
        <f>IF($C$284=1,$C$290-V292,MAX(0,$C$290-V292))</f>
        <v>0</v>
      </c>
      <c r="W298" s="37">
        <f>IF($C$284=1,$C$290-W292,MAX(0,$C$290-W292))</f>
        <v>0</v>
      </c>
      <c r="X298" s="37">
        <f>IF($C$284=1,$C$290-X292,MAX(0,$C$290-X292))</f>
        <v>0</v>
      </c>
      <c r="Y298" s="37">
        <f>IF($C$284=1,$C$290-Y292,MAX(0,$C$290-Y292))</f>
        <v>0</v>
      </c>
      <c r="Z298" s="37">
        <f>IF($C$284=1,$C$290-Z292,MAX(0,$C$290-Z292))</f>
        <v>0</v>
      </c>
      <c r="AA298" s="37">
        <f>IF($C$284=1,$C$290-AA292,MAX(0,$C$290-AA292))</f>
        <v>0</v>
      </c>
      <c r="AB298" s="37">
        <f>IF($C$284=1,$C$290-AB292,MAX(0,$C$290-AB292))</f>
        <v>0</v>
      </c>
      <c r="AC298" s="37">
        <f>IF($C$284=1,$C$290-AC292,MAX(0,$C$290-AC292))</f>
        <v>0</v>
      </c>
      <c r="AD298" s="37">
        <f>IF($C$284=1,$C$290-AD292,MAX(0,$C$290-AD292))</f>
        <v>0</v>
      </c>
      <c r="AE298" s="37">
        <f>IF($C$284=1,$C$290-AE292,MAX(0,$C$290-AE292))</f>
        <v>0</v>
      </c>
    </row>
    <row r="299">
      <c r="A299" s="6" t="inlineStr">
        <is>
          <t xml:space="preserve">Market premium per kWh (Anlage 1 EEG)</t>
        </is>
      </c>
      <c r="B299" s="10" t="inlineStr">
        <is>
          <t xml:space="preserve">€/kWh</t>
        </is>
      </c>
      <c r="F299" s="37">
        <f>Timing!F77*F297+(Timing!F78+Timing!F79+Timing!F80)*F298</f>
        <v>0</v>
      </c>
      <c r="G299" s="37">
        <f>Timing!G77*G297+(Timing!G78+Timing!G79+Timing!G80)*G298</f>
        <v>0</v>
      </c>
      <c r="H299" s="37">
        <f>Timing!H77*H297+(Timing!H78+Timing!H79+Timing!H80)*H298</f>
        <v>0</v>
      </c>
      <c r="I299" s="37">
        <f>Timing!I77*I297+(Timing!I78+Timing!I79+Timing!I80)*I298</f>
        <v>0</v>
      </c>
      <c r="J299" s="37">
        <f>Timing!J77*J297+(Timing!J78+Timing!J79+Timing!J80)*J298</f>
        <v>0</v>
      </c>
      <c r="K299" s="37">
        <f>Timing!K77*K297+(Timing!K78+Timing!K79+Timing!K80)*K298</f>
        <v>0</v>
      </c>
      <c r="L299" s="37">
        <f>Timing!L77*L297+(Timing!L78+Timing!L79+Timing!L80)*L298</f>
        <v>0</v>
      </c>
      <c r="M299" s="37">
        <f>Timing!M77*M297+(Timing!M78+Timing!M79+Timing!M80)*M298</f>
        <v>0</v>
      </c>
      <c r="N299" s="37">
        <f>Timing!N77*N297+(Timing!N78+Timing!N79+Timing!N80)*N298</f>
        <v>0</v>
      </c>
      <c r="O299" s="37">
        <f>Timing!O77*O297+(Timing!O78+Timing!O79+Timing!O80)*O298</f>
        <v>0</v>
      </c>
      <c r="P299" s="37">
        <f>Timing!P77*P297+(Timing!P78+Timing!P79+Timing!P80)*P298</f>
        <v>0</v>
      </c>
      <c r="Q299" s="37">
        <f>Timing!Q77*Q297+(Timing!Q78+Timing!Q79+Timing!Q80)*Q298</f>
        <v>0</v>
      </c>
      <c r="R299" s="37">
        <f>Timing!R77*R297+(Timing!R78+Timing!R79+Timing!R80)*R298</f>
        <v>0</v>
      </c>
      <c r="S299" s="37">
        <f>Timing!S77*S297+(Timing!S78+Timing!S79+Timing!S80)*S298</f>
        <v>0</v>
      </c>
      <c r="T299" s="37">
        <f>Timing!T77*T297+(Timing!T78+Timing!T79+Timing!T80)*T298</f>
        <v>0</v>
      </c>
      <c r="U299" s="37">
        <f>Timing!U77*U297+(Timing!U78+Timing!U79+Timing!U80)*U298</f>
        <v>0</v>
      </c>
      <c r="V299" s="37">
        <f>Timing!V77*V297+(Timing!V78+Timing!V79+Timing!V80)*V298</f>
        <v>0</v>
      </c>
      <c r="W299" s="37">
        <f>Timing!W77*W297+(Timing!W78+Timing!W79+Timing!W80)*W298</f>
        <v>0</v>
      </c>
      <c r="X299" s="37">
        <f>Timing!X77*X297+(Timing!X78+Timing!X79+Timing!X80)*X298</f>
        <v>0</v>
      </c>
      <c r="Y299" s="37">
        <f>Timing!Y77*Y297+(Timing!Y78+Timing!Y79+Timing!Y80)*Y298</f>
        <v>0</v>
      </c>
      <c r="Z299" s="37">
        <f>Timing!Z77*Z297+(Timing!Z78+Timing!Z79+Timing!Z80)*Z298</f>
        <v>0</v>
      </c>
      <c r="AA299" s="37">
        <f>Timing!AA77*AA297+(Timing!AA78+Timing!AA79+Timing!AA80)*AA298</f>
        <v>0</v>
      </c>
      <c r="AB299" s="37">
        <f>Timing!AB77*AB297+(Timing!AB78+Timing!AB79+Timing!AB80)*AB298</f>
        <v>0</v>
      </c>
      <c r="AC299" s="37">
        <f>Timing!AC77*AC297+(Timing!AC78+Timing!AC79+Timing!AC80)*AC298</f>
        <v>0</v>
      </c>
      <c r="AD299" s="37">
        <f>Timing!AD77*AD297+(Timing!AD78+Timing!AD79+Timing!AD80)*AD298</f>
        <v>0</v>
      </c>
      <c r="AE299" s="37">
        <f>Timing!AE77*AE297+(Timing!AE78+Timing!AE79+Timing!AE80)*AE298</f>
        <v>0</v>
      </c>
    </row>
    <row r="300">
      <c r="A300" s="6" t="inlineStr">
        <is>
          <t xml:space="preserve">Advance per kWh (previous year's market value, never negative)</t>
        </is>
      </c>
      <c r="B300" s="10" t="inlineStr">
        <is>
          <t xml:space="preserve">€/kWh</t>
        </is>
      </c>
      <c r="F300" s="37">
        <f>Timing!F77*MAX(0,$C$289-F293)+(Timing!F78+Timing!F79+Timing!F80)*MAX(0,$C$290-F293)</f>
        <v>0</v>
      </c>
      <c r="G300" s="37">
        <f>Timing!G77*MAX(0,$C$289-G293)+(Timing!G78+Timing!G79+Timing!G80)*MAX(0,$C$290-G293)</f>
        <v>0</v>
      </c>
      <c r="H300" s="37">
        <f>Timing!H77*MAX(0,$C$289-H293)+(Timing!H78+Timing!H79+Timing!H80)*MAX(0,$C$290-H293)</f>
        <v>0</v>
      </c>
      <c r="I300" s="37">
        <f>Timing!I77*MAX(0,$C$289-I293)+(Timing!I78+Timing!I79+Timing!I80)*MAX(0,$C$290-I293)</f>
        <v>0</v>
      </c>
      <c r="J300" s="37">
        <f>Timing!J77*MAX(0,$C$289-J293)+(Timing!J78+Timing!J79+Timing!J80)*MAX(0,$C$290-J293)</f>
        <v>0</v>
      </c>
      <c r="K300" s="37">
        <f>Timing!K77*MAX(0,$C$289-K293)+(Timing!K78+Timing!K79+Timing!K80)*MAX(0,$C$290-K293)</f>
        <v>0</v>
      </c>
      <c r="L300" s="37">
        <f>Timing!L77*MAX(0,$C$289-L293)+(Timing!L78+Timing!L79+Timing!L80)*MAX(0,$C$290-L293)</f>
        <v>0</v>
      </c>
      <c r="M300" s="37">
        <f>Timing!M77*MAX(0,$C$289-M293)+(Timing!M78+Timing!M79+Timing!M80)*MAX(0,$C$290-M293)</f>
        <v>0</v>
      </c>
      <c r="N300" s="37">
        <f>Timing!N77*MAX(0,$C$289-N293)+(Timing!N78+Timing!N79+Timing!N80)*MAX(0,$C$290-N293)</f>
        <v>0</v>
      </c>
      <c r="O300" s="37">
        <f>Timing!O77*MAX(0,$C$289-O293)+(Timing!O78+Timing!O79+Timing!O80)*MAX(0,$C$290-O293)</f>
        <v>0</v>
      </c>
      <c r="P300" s="37">
        <f>Timing!P77*MAX(0,$C$289-P293)+(Timing!P78+Timing!P79+Timing!P80)*MAX(0,$C$290-P293)</f>
        <v>0</v>
      </c>
      <c r="Q300" s="37">
        <f>Timing!Q77*MAX(0,$C$289-Q293)+(Timing!Q78+Timing!Q79+Timing!Q80)*MAX(0,$C$290-Q293)</f>
        <v>0</v>
      </c>
      <c r="R300" s="37">
        <f>Timing!R77*MAX(0,$C$289-R293)+(Timing!R78+Timing!R79+Timing!R80)*MAX(0,$C$290-R293)</f>
        <v>0</v>
      </c>
      <c r="S300" s="37">
        <f>Timing!S77*MAX(0,$C$289-S293)+(Timing!S78+Timing!S79+Timing!S80)*MAX(0,$C$290-S293)</f>
        <v>0</v>
      </c>
      <c r="T300" s="37">
        <f>Timing!T77*MAX(0,$C$289-T293)+(Timing!T78+Timing!T79+Timing!T80)*MAX(0,$C$290-T293)</f>
        <v>0</v>
      </c>
      <c r="U300" s="37">
        <f>Timing!U77*MAX(0,$C$289-U293)+(Timing!U78+Timing!U79+Timing!U80)*MAX(0,$C$290-U293)</f>
        <v>0</v>
      </c>
      <c r="V300" s="37">
        <f>Timing!V77*MAX(0,$C$289-V293)+(Timing!V78+Timing!V79+Timing!V80)*MAX(0,$C$290-V293)</f>
        <v>0</v>
      </c>
      <c r="W300" s="37">
        <f>Timing!W77*MAX(0,$C$289-W293)+(Timing!W78+Timing!W79+Timing!W80)*MAX(0,$C$290-W293)</f>
        <v>0</v>
      </c>
      <c r="X300" s="37">
        <f>Timing!X77*MAX(0,$C$289-X293)+(Timing!X78+Timing!X79+Timing!X80)*MAX(0,$C$290-X293)</f>
        <v>0</v>
      </c>
      <c r="Y300" s="37">
        <f>Timing!Y77*MAX(0,$C$289-Y293)+(Timing!Y78+Timing!Y79+Timing!Y80)*MAX(0,$C$290-Y293)</f>
        <v>0</v>
      </c>
      <c r="Z300" s="37">
        <f>Timing!Z77*MAX(0,$C$289-Z293)+(Timing!Z78+Timing!Z79+Timing!Z80)*MAX(0,$C$290-Z293)</f>
        <v>0</v>
      </c>
      <c r="AA300" s="37">
        <f>Timing!AA77*MAX(0,$C$289-AA293)+(Timing!AA78+Timing!AA79+Timing!AA80)*MAX(0,$C$290-AA293)</f>
        <v>0</v>
      </c>
      <c r="AB300" s="37">
        <f>Timing!AB77*MAX(0,$C$289-AB293)+(Timing!AB78+Timing!AB79+Timing!AB80)*MAX(0,$C$290-AB293)</f>
        <v>0</v>
      </c>
      <c r="AC300" s="37">
        <f>Timing!AC77*MAX(0,$C$289-AC293)+(Timing!AC78+Timing!AC79+Timing!AC80)*MAX(0,$C$290-AC293)</f>
        <v>0</v>
      </c>
      <c r="AD300" s="37">
        <f>Timing!AD77*MAX(0,$C$289-AD293)+(Timing!AD78+Timing!AD79+Timing!AD80)*MAX(0,$C$290-AD293)</f>
        <v>0</v>
      </c>
      <c r="AE300" s="37">
        <f>Timing!AE77*MAX(0,$C$289-AE293)+(Timing!AE78+Timing!AE79+Timing!AE80)*MAX(0,$C$290-AE293)</f>
        <v>0</v>
      </c>
    </row>
    <row r="301">
      <c r="A301" s="6" t="inlineStr">
        <is>
          <t xml:space="preserve">Share of support days with a positive premium</t>
        </is>
      </c>
      <c r="F301" s="21">
        <f>Timing!F77*IF(F297&gt;0,1,0)+(Timing!F78+Timing!F79+Timing!F80)*IF(F298&gt;0,1,0)</f>
        <v>0</v>
      </c>
      <c r="G301" s="21">
        <f>Timing!G77*IF(G297&gt;0,1,0)+(Timing!G78+Timing!G79+Timing!G80)*IF(G298&gt;0,1,0)</f>
        <v>0</v>
      </c>
      <c r="H301" s="21">
        <f>Timing!H77*IF(H297&gt;0,1,0)+(Timing!H78+Timing!H79+Timing!H80)*IF(H298&gt;0,1,0)</f>
        <v>0</v>
      </c>
      <c r="I301" s="21">
        <f>Timing!I77*IF(I297&gt;0,1,0)+(Timing!I78+Timing!I79+Timing!I80)*IF(I298&gt;0,1,0)</f>
        <v>0</v>
      </c>
      <c r="J301" s="21">
        <f>Timing!J77*IF(J297&gt;0,1,0)+(Timing!J78+Timing!J79+Timing!J80)*IF(J298&gt;0,1,0)</f>
        <v>0</v>
      </c>
      <c r="K301" s="21">
        <f>Timing!K77*IF(K297&gt;0,1,0)+(Timing!K78+Timing!K79+Timing!K80)*IF(K298&gt;0,1,0)</f>
        <v>0</v>
      </c>
      <c r="L301" s="21">
        <f>Timing!L77*IF(L297&gt;0,1,0)+(Timing!L78+Timing!L79+Timing!L80)*IF(L298&gt;0,1,0)</f>
        <v>0</v>
      </c>
      <c r="M301" s="21">
        <f>Timing!M77*IF(M297&gt;0,1,0)+(Timing!M78+Timing!M79+Timing!M80)*IF(M298&gt;0,1,0)</f>
        <v>0</v>
      </c>
      <c r="N301" s="21">
        <f>Timing!N77*IF(N297&gt;0,1,0)+(Timing!N78+Timing!N79+Timing!N80)*IF(N298&gt;0,1,0)</f>
        <v>0</v>
      </c>
      <c r="O301" s="21">
        <f>Timing!O77*IF(O297&gt;0,1,0)+(Timing!O78+Timing!O79+Timing!O80)*IF(O298&gt;0,1,0)</f>
        <v>0</v>
      </c>
      <c r="P301" s="21">
        <f>Timing!P77*IF(P297&gt;0,1,0)+(Timing!P78+Timing!P79+Timing!P80)*IF(P298&gt;0,1,0)</f>
        <v>0</v>
      </c>
      <c r="Q301" s="21">
        <f>Timing!Q77*IF(Q297&gt;0,1,0)+(Timing!Q78+Timing!Q79+Timing!Q80)*IF(Q298&gt;0,1,0)</f>
        <v>0</v>
      </c>
      <c r="R301" s="21">
        <f>Timing!R77*IF(R297&gt;0,1,0)+(Timing!R78+Timing!R79+Timing!R80)*IF(R298&gt;0,1,0)</f>
        <v>0</v>
      </c>
      <c r="S301" s="21">
        <f>Timing!S77*IF(S297&gt;0,1,0)+(Timing!S78+Timing!S79+Timing!S80)*IF(S298&gt;0,1,0)</f>
        <v>0</v>
      </c>
      <c r="T301" s="21">
        <f>Timing!T77*IF(T297&gt;0,1,0)+(Timing!T78+Timing!T79+Timing!T80)*IF(T298&gt;0,1,0)</f>
        <v>0</v>
      </c>
      <c r="U301" s="21">
        <f>Timing!U77*IF(U297&gt;0,1,0)+(Timing!U78+Timing!U79+Timing!U80)*IF(U298&gt;0,1,0)</f>
        <v>0</v>
      </c>
      <c r="V301" s="21">
        <f>Timing!V77*IF(V297&gt;0,1,0)+(Timing!V78+Timing!V79+Timing!V80)*IF(V298&gt;0,1,0)</f>
        <v>0</v>
      </c>
      <c r="W301" s="21">
        <f>Timing!W77*IF(W297&gt;0,1,0)+(Timing!W78+Timing!W79+Timing!W80)*IF(W298&gt;0,1,0)</f>
        <v>0</v>
      </c>
      <c r="X301" s="21">
        <f>Timing!X77*IF(X297&gt;0,1,0)+(Timing!X78+Timing!X79+Timing!X80)*IF(X298&gt;0,1,0)</f>
        <v>0</v>
      </c>
      <c r="Y301" s="21">
        <f>Timing!Y77*IF(Y297&gt;0,1,0)+(Timing!Y78+Timing!Y79+Timing!Y80)*IF(Y298&gt;0,1,0)</f>
        <v>0</v>
      </c>
      <c r="Z301" s="21">
        <f>Timing!Z77*IF(Z297&gt;0,1,0)+(Timing!Z78+Timing!Z79+Timing!Z80)*IF(Z298&gt;0,1,0)</f>
        <v>0</v>
      </c>
      <c r="AA301" s="21">
        <f>Timing!AA77*IF(AA297&gt;0,1,0)+(Timing!AA78+Timing!AA79+Timing!AA80)*IF(AA298&gt;0,1,0)</f>
        <v>0</v>
      </c>
      <c r="AB301" s="21">
        <f>Timing!AB77*IF(AB297&gt;0,1,0)+(Timing!AB78+Timing!AB79+Timing!AB80)*IF(AB298&gt;0,1,0)</f>
        <v>0</v>
      </c>
      <c r="AC301" s="21">
        <f>Timing!AC77*IF(AC297&gt;0,1,0)+(Timing!AC78+Timing!AC79+Timing!AC80)*IF(AC298&gt;0,1,0)</f>
        <v>0</v>
      </c>
      <c r="AD301" s="21">
        <f>Timing!AD77*IF(AD297&gt;0,1,0)+(Timing!AD78+Timing!AD79+Timing!AD80)*IF(AD298&gt;0,1,0)</f>
        <v>0</v>
      </c>
      <c r="AE301" s="21">
        <f>Timing!AE77*IF(AE297&gt;0,1,0)+(Timing!AE78+Timing!AE79+Timing!AE80)*IF(AE298&gt;0,1,0)</f>
        <v>0</v>
      </c>
    </row>
    <row r="302">
      <c r="A302" s="6" t="inlineStr">
        <is>
          <t xml:space="preserve">AW in force (day-weighted)</t>
        </is>
      </c>
      <c r="B302" s="10" t="inlineStr">
        <is>
          <t xml:space="preserve">€/kWh</t>
        </is>
      </c>
      <c r="F302" s="37">
        <f>IF(Timing!F69&gt;0,Timing!F77*$C$289+(Timing!F78+Timing!F79+Timing!F80)*$C$290,$C$290)</f>
        <v>0.063</v>
      </c>
      <c r="G302" s="37">
        <f>IF(Timing!G69&gt;0,Timing!G77*$C$289+(Timing!G78+Timing!G79+Timing!G80)*$C$290,$C$290)</f>
        <v>0.063</v>
      </c>
      <c r="H302" s="37">
        <f>IF(Timing!H69&gt;0,Timing!H77*$C$289+(Timing!H78+Timing!H79+Timing!H80)*$C$290,$C$290)</f>
        <v>0.063</v>
      </c>
      <c r="I302" s="37">
        <f>IF(Timing!I69&gt;0,Timing!I77*$C$289+(Timing!I78+Timing!I79+Timing!I80)*$C$290,$C$290)</f>
        <v>0.063</v>
      </c>
      <c r="J302" s="37">
        <f>IF(Timing!J69&gt;0,Timing!J77*$C$289+(Timing!J78+Timing!J79+Timing!J80)*$C$290,$C$290)</f>
        <v>0.063</v>
      </c>
      <c r="K302" s="37">
        <f>IF(Timing!K69&gt;0,Timing!K77*$C$289+(Timing!K78+Timing!K79+Timing!K80)*$C$290,$C$290)</f>
        <v>0.063</v>
      </c>
      <c r="L302" s="37">
        <f>IF(Timing!L69&gt;0,Timing!L77*$C$289+(Timing!L78+Timing!L79+Timing!L80)*$C$290,$C$290)</f>
        <v>0.063</v>
      </c>
      <c r="M302" s="37">
        <f>IF(Timing!M69&gt;0,Timing!M77*$C$289+(Timing!M78+Timing!M79+Timing!M80)*$C$290,$C$290)</f>
        <v>0.063</v>
      </c>
      <c r="N302" s="37">
        <f>IF(Timing!N69&gt;0,Timing!N77*$C$289+(Timing!N78+Timing!N79+Timing!N80)*$C$290,$C$290)</f>
        <v>0.063</v>
      </c>
      <c r="O302" s="37">
        <f>IF(Timing!O69&gt;0,Timing!O77*$C$289+(Timing!O78+Timing!O79+Timing!O80)*$C$290,$C$290)</f>
        <v>0.063</v>
      </c>
      <c r="P302" s="37">
        <f>IF(Timing!P69&gt;0,Timing!P77*$C$289+(Timing!P78+Timing!P79+Timing!P80)*$C$290,$C$290)</f>
        <v>0.063</v>
      </c>
      <c r="Q302" s="37">
        <f>IF(Timing!Q69&gt;0,Timing!Q77*$C$289+(Timing!Q78+Timing!Q79+Timing!Q80)*$C$290,$C$290)</f>
        <v>0.063</v>
      </c>
      <c r="R302" s="37">
        <f>IF(Timing!R69&gt;0,Timing!R77*$C$289+(Timing!R78+Timing!R79+Timing!R80)*$C$290,$C$290)</f>
        <v>0.063</v>
      </c>
      <c r="S302" s="37">
        <f>IF(Timing!S69&gt;0,Timing!S77*$C$289+(Timing!S78+Timing!S79+Timing!S80)*$C$290,$C$290)</f>
        <v>0.063</v>
      </c>
      <c r="T302" s="37">
        <f>IF(Timing!T69&gt;0,Timing!T77*$C$289+(Timing!T78+Timing!T79+Timing!T80)*$C$290,$C$290)</f>
        <v>0.063</v>
      </c>
      <c r="U302" s="37">
        <f>IF(Timing!U69&gt;0,Timing!U77*$C$289+(Timing!U78+Timing!U79+Timing!U80)*$C$290,$C$290)</f>
        <v>0.063</v>
      </c>
      <c r="V302" s="37">
        <f>IF(Timing!V69&gt;0,Timing!V77*$C$289+(Timing!V78+Timing!V79+Timing!V80)*$C$290,$C$290)</f>
        <v>0.063</v>
      </c>
      <c r="W302" s="37">
        <f>IF(Timing!W69&gt;0,Timing!W77*$C$289+(Timing!W78+Timing!W79+Timing!W80)*$C$290,$C$290)</f>
        <v>0.063</v>
      </c>
      <c r="X302" s="37">
        <f>IF(Timing!X69&gt;0,Timing!X77*$C$289+(Timing!X78+Timing!X79+Timing!X80)*$C$290,$C$290)</f>
        <v>0.063</v>
      </c>
      <c r="Y302" s="37">
        <f>IF(Timing!Y69&gt;0,Timing!Y77*$C$289+(Timing!Y78+Timing!Y79+Timing!Y80)*$C$290,$C$290)</f>
        <v>0.063</v>
      </c>
      <c r="Z302" s="37">
        <f>IF(Timing!Z69&gt;0,Timing!Z77*$C$289+(Timing!Z78+Timing!Z79+Timing!Z80)*$C$290,$C$290)</f>
        <v>0.063</v>
      </c>
      <c r="AA302" s="37">
        <f>IF(Timing!AA69&gt;0,Timing!AA77*$C$289+(Timing!AA78+Timing!AA79+Timing!AA80)*$C$290,$C$290)</f>
        <v>0.063</v>
      </c>
      <c r="AB302" s="37">
        <f>IF(Timing!AB69&gt;0,Timing!AB77*$C$289+(Timing!AB78+Timing!AB79+Timing!AB80)*$C$290,$C$290)</f>
        <v>0.063</v>
      </c>
      <c r="AC302" s="37">
        <f>IF(Timing!AC69&gt;0,Timing!AC77*$C$289+(Timing!AC78+Timing!AC79+Timing!AC80)*$C$290,$C$290)</f>
        <v>0.063</v>
      </c>
      <c r="AD302" s="37">
        <f>IF(Timing!AD69&gt;0,Timing!AD77*$C$289+(Timing!AD78+Timing!AD79+Timing!AD80)*$C$290,$C$290)</f>
        <v>0.063</v>
      </c>
      <c r="AE302" s="37">
        <f>IF(Timing!AE69&gt;0,Timing!AE77*$C$289+(Timing!AE78+Timing!AE79+Timing!AE80)*$C$290,$C$290)</f>
        <v>0.063</v>
      </c>
    </row>
    <row r="303">
      <c r="A303" s="6" t="inlineStr">
        <is>
          <t xml:space="preserve">Revenue: market (floor case: up to the AW on output sold)</t>
        </is>
      </c>
      <c r="B303" s="10" t="inlineStr">
        <is>
          <t xml:space="preserve">€</t>
        </is>
      </c>
      <c r="F303" s="23">
        <f>IF($C$283=1,F295*Timing!F69*(Timing!F77*MIN(F292,$C$289)+(Timing!F78+Timing!F79+Timing!F80)*MIN(F292,$C$290)),F294*F292*Timing!F69)</f>
        <v>1932045.5230050024</v>
      </c>
      <c r="G303" s="23">
        <f>IF($C$283=1,G295*Timing!G69*(Timing!G77*MIN(G292,$C$289)+(Timing!G78+Timing!G79+Timing!G80)*MIN(G292,$C$290)),G294*G292*Timing!G69)</f>
        <v>3835404.370092344</v>
      </c>
      <c r="H303" s="23">
        <f>IF($C$283=1,H295*Timing!H69*(Timing!H77*MIN(H292,$C$289)+(Timing!H78+Timing!H79+Timing!H80)*MIN(H292,$C$290)),H294*H292*Timing!H69)</f>
        <v>3827733.5613521594</v>
      </c>
      <c r="I303" s="23">
        <f>IF($C$283=1,I295*Timing!I69*(Timing!I77*MIN(I292,$C$289)+(Timing!I78+Timing!I79+Timing!I80)*MIN(I292,$C$290)),I294*I292*Timing!I69)</f>
        <v>3820078.0942294556</v>
      </c>
      <c r="J303" s="23">
        <f>IF($C$283=1,J295*Timing!J69*(Timing!J77*MIN(J292,$C$289)+(Timing!J78+Timing!J79+Timing!J80)*MIN(J292,$C$290)),J294*J292*Timing!J69)</f>
        <v>3812437.9380409955</v>
      </c>
      <c r="K303" s="23">
        <f>IF($C$283=1,K295*Timing!K69*(Timing!K77*MIN(K292,$C$289)+(Timing!K78+Timing!K79+Timing!K80)*MIN(K292,$C$290)),K294*K292*Timing!K69)</f>
        <v>3804813.0621649143</v>
      </c>
      <c r="L303" s="23">
        <f>IF($C$283=1,L295*Timing!L69*(Timing!L77*MIN(L292,$C$289)+(Timing!L78+Timing!L79+Timing!L80)*MIN(L292,$C$290)),L294*L292*Timing!L69)</f>
        <v>3797203.4360405845</v>
      </c>
      <c r="M303" s="23">
        <f>IF($C$283=1,M295*Timing!M69*(Timing!M77*MIN(M292,$C$289)+(Timing!M78+Timing!M79+Timing!M80)*MIN(M292,$C$290)),M294*M292*Timing!M69)</f>
        <v>3789609.0291685034</v>
      </c>
      <c r="N303" s="23">
        <f>IF($C$283=1,N295*Timing!N69*(Timing!N77*MIN(N292,$C$289)+(Timing!N78+Timing!N79+Timing!N80)*MIN(N292,$C$290)),N294*N292*Timing!N69)</f>
        <v>3782029.8111101654</v>
      </c>
      <c r="O303" s="23">
        <f>IF($C$283=1,O295*Timing!O69*(Timing!O77*MIN(O292,$C$289)+(Timing!O78+Timing!O79+Timing!O80)*MIN(O292,$C$290)),O294*O292*Timing!O69)</f>
        <v>3774465.751487946</v>
      </c>
      <c r="P303" s="23">
        <f>IF($C$283=1,P295*Timing!P69*(Timing!P77*MIN(P292,$C$289)+(Timing!P78+Timing!P79+Timing!P80)*MIN(P292,$C$290)),P294*P292*Timing!P69)</f>
        <v>3766916.819984969</v>
      </c>
      <c r="Q303" s="23">
        <f>IF($C$283=1,Q295*Timing!Q69*(Timing!Q77*MIN(Q292,$C$289)+(Timing!Q78+Timing!Q79+Timing!Q80)*MIN(Q292,$C$290)),Q294*Q292*Timing!Q69)</f>
        <v>3759382.986345</v>
      </c>
      <c r="R303" s="23">
        <f>IF($C$283=1,R295*Timing!R69*(Timing!R77*MIN(R292,$C$289)+(Timing!R78+Timing!R79+Timing!R80)*MIN(R292,$C$290)),R294*R292*Timing!R69)</f>
        <v>3751864.22037231</v>
      </c>
      <c r="S303" s="23">
        <f>IF($C$283=1,S295*Timing!S69*(Timing!S77*MIN(S292,$C$289)+(Timing!S78+Timing!S79+Timing!S80)*MIN(S292,$C$290)),S294*S292*Timing!S69)</f>
        <v>3744360.491931566</v>
      </c>
      <c r="T303" s="23">
        <f>IF($C$283=1,T295*Timing!T69*(Timing!T77*MIN(T292,$C$289)+(Timing!T78+Timing!T79+Timing!T80)*MIN(T292,$C$290)),T294*T292*Timing!T69)</f>
        <v>3736871.770947702</v>
      </c>
      <c r="U303" s="23">
        <f>IF($C$283=1,U295*Timing!U69*(Timing!U77*MIN(U292,$C$289)+(Timing!U78+Timing!U79+Timing!U80)*MIN(U292,$C$290)),U294*U292*Timing!U69)</f>
        <v>3729398.027405807</v>
      </c>
      <c r="V303" s="23">
        <f>IF($C$283=1,V295*Timing!V69*(Timing!V77*MIN(V292,$C$289)+(Timing!V78+Timing!V79+Timing!V80)*MIN(V292,$C$290)),V294*V292*Timing!V69)</f>
        <v>3721939.2313509947</v>
      </c>
      <c r="W303" s="23">
        <f>IF($C$283=1,W295*Timing!W69*(Timing!W77*MIN(W292,$C$289)+(Timing!W78+Timing!W79+Timing!W80)*MIN(W292,$C$290)),W294*W292*Timing!W69)</f>
        <v>3714495.3528882926</v>
      </c>
      <c r="X303" s="23">
        <f>IF($C$283=1,X295*Timing!X69*(Timing!X77*MIN(X292,$C$289)+(Timing!X78+Timing!X79+Timing!X80)*MIN(X292,$C$290)),X294*X292*Timing!X69)</f>
        <v>3707066.3621825166</v>
      </c>
      <c r="Y303" s="23">
        <f>IF($C$283=1,Y295*Timing!Y69*(Timing!Y77*MIN(Y292,$C$289)+(Timing!Y78+Timing!Y79+Timing!Y80)*MIN(Y292,$C$290)),Y294*Y292*Timing!Y69)</f>
        <v>3699652.2294581514</v>
      </c>
      <c r="Z303" s="23">
        <f>IF($C$283=1,Z295*Timing!Z69*(Timing!Z77*MIN(Z292,$C$289)+(Timing!Z78+Timing!Z79+Timing!Z80)*MIN(Z292,$C$290)),Z294*Z292*Timing!Z69)</f>
        <v>3692252.924999235</v>
      </c>
      <c r="AA303" s="23">
        <f>IF($C$283=1,AA295*Timing!AA69*(Timing!AA77*MIN(AA292,$C$289)+(Timing!AA78+Timing!AA79+Timing!AA80)*MIN(AA292,$C$290)),AA294*AA292*Timing!AA69)</f>
        <v>2816652.8464181838</v>
      </c>
      <c r="AB303" s="23">
        <f>IF($C$283=1,AB295*Timing!AB69*(Timing!AB77*MIN(AB292,$C$289)+(Timing!AB78+Timing!AB79+Timing!AB80)*MIN(AB292,$C$290)),AB294*AB292*Timing!AB69)</f>
        <v>0</v>
      </c>
      <c r="AC303" s="23">
        <f>IF($C$283=1,AC295*Timing!AC69*(Timing!AC77*MIN(AC292,$C$289)+(Timing!AC78+Timing!AC79+Timing!AC80)*MIN(AC292,$C$290)),AC294*AC292*Timing!AC69)</f>
        <v>0</v>
      </c>
      <c r="AD303" s="23">
        <f>IF($C$283=1,AD295*Timing!AD69*(Timing!AD77*MIN(AD292,$C$289)+(Timing!AD78+Timing!AD79+Timing!AD80)*MIN(AD292,$C$290)),AD294*AD292*Timing!AD69)</f>
        <v>0</v>
      </c>
      <c r="AE303" s="23">
        <f>IF($C$283=1,AE295*Timing!AE69*(Timing!AE77*MIN(AE292,$C$289)+(Timing!AE78+Timing!AE79+Timing!AE80)*MIN(AE292,$C$290)),AE294*AE292*Timing!AE69)</f>
        <v>0</v>
      </c>
    </row>
    <row r="304">
      <c r="A304" s="6" t="inlineStr">
        <is>
          <t xml:space="preserve">Revenue: market premium for the year</t>
        </is>
      </c>
      <c r="B304" s="10" t="inlineStr">
        <is>
          <t xml:space="preserve">€</t>
        </is>
      </c>
      <c r="F304" s="23">
        <f>F296*F299</f>
        <v>0</v>
      </c>
      <c r="G304" s="23">
        <f>G296*G299</f>
        <v>0</v>
      </c>
      <c r="H304" s="23">
        <f>H296*H299</f>
        <v>0</v>
      </c>
      <c r="I304" s="23">
        <f>I296*I299</f>
        <v>0</v>
      </c>
      <c r="J304" s="23">
        <f>J296*J299</f>
        <v>0</v>
      </c>
      <c r="K304" s="23">
        <f>K296*K299</f>
        <v>0</v>
      </c>
      <c r="L304" s="23">
        <f>L296*L299</f>
        <v>0</v>
      </c>
      <c r="M304" s="23">
        <f>M296*M299</f>
        <v>0</v>
      </c>
      <c r="N304" s="23">
        <f>N296*N299</f>
        <v>0</v>
      </c>
      <c r="O304" s="23">
        <f>O296*O299</f>
        <v>0</v>
      </c>
      <c r="P304" s="23">
        <f>P296*P299</f>
        <v>0</v>
      </c>
      <c r="Q304" s="23">
        <f>Q296*Q299</f>
        <v>0</v>
      </c>
      <c r="R304" s="23">
        <f>R296*R299</f>
        <v>0</v>
      </c>
      <c r="S304" s="23">
        <f>S296*S299</f>
        <v>0</v>
      </c>
      <c r="T304" s="23">
        <f>T296*T299</f>
        <v>0</v>
      </c>
      <c r="U304" s="23">
        <f>U296*U299</f>
        <v>0</v>
      </c>
      <c r="V304" s="23">
        <f>V296*V299</f>
        <v>0</v>
      </c>
      <c r="W304" s="23">
        <f>W296*W299</f>
        <v>0</v>
      </c>
      <c r="X304" s="23">
        <f>X296*X299</f>
        <v>0</v>
      </c>
      <c r="Y304" s="23">
        <f>Y296*Y299</f>
        <v>0</v>
      </c>
      <c r="Z304" s="23">
        <f>Z296*Z299</f>
        <v>0</v>
      </c>
      <c r="AA304" s="23">
        <f>AA296*AA299</f>
        <v>0</v>
      </c>
      <c r="AB304" s="23">
        <f>AB296*AB299</f>
        <v>0</v>
      </c>
      <c r="AC304" s="23">
        <f>AC296*AC299</f>
        <v>0</v>
      </c>
      <c r="AD304" s="23">
        <f>AD296*AD299</f>
        <v>0</v>
      </c>
      <c r="AE304" s="23">
        <f>AE296*AE299</f>
        <v>0</v>
      </c>
    </row>
    <row r="305">
      <c r="A305" s="6" t="inlineStr">
        <is>
          <t xml:space="preserve">§ 36h: first five years paid again at the reviewed AW</t>
        </is>
      </c>
      <c r="B305" s="10" t="inlineStr">
        <is>
          <t xml:space="preserve">€</t>
        </is>
      </c>
      <c r="F305" s="23">
        <f>F296*Timing!F77*(F298-F297)</f>
        <v>0</v>
      </c>
      <c r="G305" s="23">
        <f>G296*Timing!G77*(G298-G297)</f>
        <v>0</v>
      </c>
      <c r="H305" s="23">
        <f>H296*Timing!H77*(H298-H297)</f>
        <v>0</v>
      </c>
      <c r="I305" s="23">
        <f>I296*Timing!I77*(I298-I297)</f>
        <v>0</v>
      </c>
      <c r="J305" s="23">
        <f>J296*Timing!J77*(J298-J297)</f>
        <v>0</v>
      </c>
      <c r="K305" s="23">
        <f>K296*Timing!K77*(K298-K297)</f>
        <v>0</v>
      </c>
      <c r="L305" s="23">
        <f>L296*Timing!L77*(L298-L297)</f>
        <v>0</v>
      </c>
      <c r="M305" s="23">
        <f>M296*Timing!M77*(M298-M297)</f>
        <v>0</v>
      </c>
      <c r="N305" s="23">
        <f>N296*Timing!N77*(N298-N297)</f>
        <v>0</v>
      </c>
      <c r="O305" s="23">
        <f>O296*Timing!O77*(O298-O297)</f>
        <v>0</v>
      </c>
      <c r="P305" s="23">
        <f>P296*Timing!P77*(P298-P297)</f>
        <v>0</v>
      </c>
      <c r="Q305" s="23">
        <f>Q296*Timing!Q77*(Q298-Q297)</f>
        <v>0</v>
      </c>
      <c r="R305" s="23">
        <f>R296*Timing!R77*(R298-R297)</f>
        <v>0</v>
      </c>
      <c r="S305" s="23">
        <f>S296*Timing!S77*(S298-S297)</f>
        <v>0</v>
      </c>
      <c r="T305" s="23">
        <f>T296*Timing!T77*(T298-T297)</f>
        <v>0</v>
      </c>
      <c r="U305" s="23">
        <f>U296*Timing!U77*(U298-U297)</f>
        <v>0</v>
      </c>
      <c r="V305" s="23">
        <f>V296*Timing!V77*(V298-V297)</f>
        <v>0</v>
      </c>
      <c r="W305" s="23">
        <f>W296*Timing!W77*(W298-W297)</f>
        <v>0</v>
      </c>
      <c r="X305" s="23">
        <f>X296*Timing!X77*(X298-X297)</f>
        <v>0</v>
      </c>
      <c r="Y305" s="23">
        <f>Y296*Timing!Y77*(Y298-Y297)</f>
        <v>0</v>
      </c>
      <c r="Z305" s="23">
        <f>Z296*Timing!Z77*(Z298-Z297)</f>
        <v>0</v>
      </c>
      <c r="AA305" s="23">
        <f>AA296*Timing!AA77*(AA298-AA297)</f>
        <v>0</v>
      </c>
      <c r="AB305" s="23">
        <f>AB296*Timing!AB77*(AB298-AB297)</f>
        <v>0</v>
      </c>
      <c r="AC305" s="23">
        <f>AC296*Timing!AC77*(AC298-AC297)</f>
        <v>0</v>
      </c>
      <c r="AD305" s="23">
        <f>AD296*Timing!AD77*(AD298-AD297)</f>
        <v>0</v>
      </c>
      <c r="AE305" s="23">
        <f>AE296*Timing!AE77*(AE298-AE297)</f>
        <v>0</v>
      </c>
    </row>
    <row r="306">
      <c r="A306" s="6" t="inlineStr">
        <is>
          <t xml:space="preserve">§ 36h settlement (only if the site quality moved by more than 2 points)</t>
        </is>
      </c>
      <c r="B306" s="10" t="inlineStr">
        <is>
          <t xml:space="preserve">€</t>
        </is>
      </c>
      <c r="C306" s="23">
        <f>IF(ABS($C$286-$C$285)&gt;Inputs!$C$143,SUM($F$305:$AE$305),0)</f>
        <v>0</v>
      </c>
    </row>
    <row r="307">
      <c r="A307" s="6" t="inlineStr">
        <is>
          <t xml:space="preserve">Revenue: § 36h settlement, in the year of the first review</t>
        </is>
      </c>
      <c r="B307" s="10" t="inlineStr">
        <is>
          <t xml:space="preserve">€</t>
        </is>
      </c>
      <c r="F307" s="23">
        <f>IF(Timing!F59=YEAR(Timing!$C$12),$C$306,0)</f>
        <v>0</v>
      </c>
      <c r="G307" s="23">
        <f>IF(Timing!G59=YEAR(Timing!$C$12),$C$306,0)</f>
        <v>0</v>
      </c>
      <c r="H307" s="23">
        <f>IF(Timing!H59=YEAR(Timing!$C$12),$C$306,0)</f>
        <v>0</v>
      </c>
      <c r="I307" s="23">
        <f>IF(Timing!I59=YEAR(Timing!$C$12),$C$306,0)</f>
        <v>0</v>
      </c>
      <c r="J307" s="23">
        <f>IF(Timing!J59=YEAR(Timing!$C$12),$C$306,0)</f>
        <v>0</v>
      </c>
      <c r="K307" s="23">
        <f>IF(Timing!K59=YEAR(Timing!$C$12),$C$306,0)</f>
        <v>0</v>
      </c>
      <c r="L307" s="23">
        <f>IF(Timing!L59=YEAR(Timing!$C$12),$C$306,0)</f>
        <v>0</v>
      </c>
      <c r="M307" s="23">
        <f>IF(Timing!M59=YEAR(Timing!$C$12),$C$306,0)</f>
        <v>0</v>
      </c>
      <c r="N307" s="23">
        <f>IF(Timing!N59=YEAR(Timing!$C$12),$C$306,0)</f>
        <v>0</v>
      </c>
      <c r="O307" s="23">
        <f>IF(Timing!O59=YEAR(Timing!$C$12),$C$306,0)</f>
        <v>0</v>
      </c>
      <c r="P307" s="23">
        <f>IF(Timing!P59=YEAR(Timing!$C$12),$C$306,0)</f>
        <v>0</v>
      </c>
      <c r="Q307" s="23">
        <f>IF(Timing!Q59=YEAR(Timing!$C$12),$C$306,0)</f>
        <v>0</v>
      </c>
      <c r="R307" s="23">
        <f>IF(Timing!R59=YEAR(Timing!$C$12),$C$306,0)</f>
        <v>0</v>
      </c>
      <c r="S307" s="23">
        <f>IF(Timing!S59=YEAR(Timing!$C$12),$C$306,0)</f>
        <v>0</v>
      </c>
      <c r="T307" s="23">
        <f>IF(Timing!T59=YEAR(Timing!$C$12),$C$306,0)</f>
        <v>0</v>
      </c>
      <c r="U307" s="23">
        <f>IF(Timing!U59=YEAR(Timing!$C$12),$C$306,0)</f>
        <v>0</v>
      </c>
      <c r="V307" s="23">
        <f>IF(Timing!V59=YEAR(Timing!$C$12),$C$306,0)</f>
        <v>0</v>
      </c>
      <c r="W307" s="23">
        <f>IF(Timing!W59=YEAR(Timing!$C$12),$C$306,0)</f>
        <v>0</v>
      </c>
      <c r="X307" s="23">
        <f>IF(Timing!X59=YEAR(Timing!$C$12),$C$306,0)</f>
        <v>0</v>
      </c>
      <c r="Y307" s="23">
        <f>IF(Timing!Y59=YEAR(Timing!$C$12),$C$306,0)</f>
        <v>0</v>
      </c>
      <c r="Z307" s="23">
        <f>IF(Timing!Z59=YEAR(Timing!$C$12),$C$306,0)</f>
        <v>0</v>
      </c>
      <c r="AA307" s="23">
        <f>IF(Timing!AA59=YEAR(Timing!$C$12),$C$306,0)</f>
        <v>0</v>
      </c>
      <c r="AB307" s="23">
        <f>IF(Timing!AB59=YEAR(Timing!$C$12),$C$306,0)</f>
        <v>0</v>
      </c>
      <c r="AC307" s="23">
        <f>IF(Timing!AC59=YEAR(Timing!$C$12),$C$306,0)</f>
        <v>0</v>
      </c>
      <c r="AD307" s="23">
        <f>IF(Timing!AD59=YEAR(Timing!$C$12),$C$306,0)</f>
        <v>0</v>
      </c>
      <c r="AE307" s="23">
        <f>IF(Timing!AE59=YEAR(Timing!$C$12),$C$306,0)</f>
        <v>0</v>
      </c>
    </row>
    <row r="308">
      <c r="A308" s="6" t="inlineStr">
        <is>
          <t xml:space="preserve">Revenue: market premium</t>
        </is>
      </c>
      <c r="B308" s="10" t="inlineStr">
        <is>
          <t xml:space="preserve">€</t>
        </is>
      </c>
      <c r="F308" s="23">
        <f>F304+F307</f>
        <v>0</v>
      </c>
      <c r="G308" s="23">
        <f>G304+G307</f>
        <v>0</v>
      </c>
      <c r="H308" s="23">
        <f>H304+H307</f>
        <v>0</v>
      </c>
      <c r="I308" s="23">
        <f>I304+I307</f>
        <v>0</v>
      </c>
      <c r="J308" s="23">
        <f>J304+J307</f>
        <v>0</v>
      </c>
      <c r="K308" s="23">
        <f>K304+K307</f>
        <v>0</v>
      </c>
      <c r="L308" s="23">
        <f>L304+L307</f>
        <v>0</v>
      </c>
      <c r="M308" s="23">
        <f>M304+M307</f>
        <v>0</v>
      </c>
      <c r="N308" s="23">
        <f>N304+N307</f>
        <v>0</v>
      </c>
      <c r="O308" s="23">
        <f>O304+O307</f>
        <v>0</v>
      </c>
      <c r="P308" s="23">
        <f>P304+P307</f>
        <v>0</v>
      </c>
      <c r="Q308" s="23">
        <f>Q304+Q307</f>
        <v>0</v>
      </c>
      <c r="R308" s="23">
        <f>R304+R307</f>
        <v>0</v>
      </c>
      <c r="S308" s="23">
        <f>S304+S307</f>
        <v>0</v>
      </c>
      <c r="T308" s="23">
        <f>T304+T307</f>
        <v>0</v>
      </c>
      <c r="U308" s="23">
        <f>U304+U307</f>
        <v>0</v>
      </c>
      <c r="V308" s="23">
        <f>V304+V307</f>
        <v>0</v>
      </c>
      <c r="W308" s="23">
        <f>W304+W307</f>
        <v>0</v>
      </c>
      <c r="X308" s="23">
        <f>X304+X307</f>
        <v>0</v>
      </c>
      <c r="Y308" s="23">
        <f>Y304+Y307</f>
        <v>0</v>
      </c>
      <c r="Z308" s="23">
        <f>Z304+Z307</f>
        <v>0</v>
      </c>
      <c r="AA308" s="23">
        <f>AA304+AA307</f>
        <v>0</v>
      </c>
      <c r="AB308" s="23">
        <f>AB304+AB307</f>
        <v>0</v>
      </c>
      <c r="AC308" s="23">
        <f>AC304+AC307</f>
        <v>0</v>
      </c>
      <c r="AD308" s="23">
        <f>AD304+AD307</f>
        <v>0</v>
      </c>
      <c r="AE308" s="23">
        <f>AE304+AE307</f>
        <v>0</v>
      </c>
    </row>
    <row r="309">
      <c r="A309" s="6" t="inlineStr">
        <is>
          <t xml:space="preserve">Price after support (market value or PPA)</t>
        </is>
      </c>
      <c r="B309" s="10" t="inlineStr">
        <is>
          <t xml:space="preserve">€/kWh</t>
        </is>
      </c>
      <c r="F309" s="37">
        <f>IF(Inputs!$C$33="ppa",Inputs!$C$34*Timing!F76*1/1000,F292)</f>
        <v>0.079104</v>
      </c>
      <c r="G309" s="37">
        <f>IF(Inputs!$C$33="ppa",Inputs!$C$34*Timing!G76*1/1000,G292)</f>
        <v>0.06619199999999999</v>
      </c>
      <c r="H309" s="37">
        <f>IF(Inputs!$C$33="ppa",Inputs!$C$34*Timing!H76*1/1000,H292)</f>
        <v>0.06532752751200001</v>
      </c>
      <c r="I309" s="37">
        <f>IF(Inputs!$C$33="ppa",Inputs!$C$34*Timing!I76*1/1000,I292)</f>
        <v>0.06663407806223999</v>
      </c>
      <c r="J309" s="37">
        <f>IF(Inputs!$C$33="ppa",Inputs!$C$34*Timing!J76*1/1000,J292)</f>
        <v>0.0679667596234848</v>
      </c>
      <c r="K309" s="37">
        <f>IF(Inputs!$C$33="ppa",Inputs!$C$34*Timing!K76*1/1000,K292)</f>
        <v>0.0693260948159545</v>
      </c>
      <c r="L309" s="37">
        <f>IF(Inputs!$C$33="ppa",Inputs!$C$34*Timing!L76*1/1000,L292)</f>
        <v>0.0707126167122736</v>
      </c>
      <c r="M309" s="37">
        <f>IF(Inputs!$C$33="ppa",Inputs!$C$34*Timing!M76*1/1000,M292)</f>
        <v>0.07212686904651905</v>
      </c>
      <c r="N309" s="37">
        <f>IF(Inputs!$C$33="ppa",Inputs!$C$34*Timing!N76*1/1000,N292)</f>
        <v>0.07356940642744944</v>
      </c>
      <c r="O309" s="37">
        <f>IF(Inputs!$C$33="ppa",Inputs!$C$34*Timing!O76*1/1000,O292)</f>
        <v>0.07504079455599844</v>
      </c>
      <c r="P309" s="37">
        <f>IF(Inputs!$C$33="ppa",Inputs!$C$34*Timing!P76*1/1000,P292)</f>
        <v>0.0765416104471184</v>
      </c>
      <c r="Q309" s="37">
        <f>IF(Inputs!$C$33="ppa",Inputs!$C$34*Timing!Q76*1/1000,Q292)</f>
        <v>0.07807244265606075</v>
      </c>
      <c r="R309" s="37">
        <f>IF(Inputs!$C$33="ppa",Inputs!$C$34*Timing!R76*1/1000,R292)</f>
        <v>0.07963389150918197</v>
      </c>
      <c r="S309" s="37">
        <f>IF(Inputs!$C$33="ppa",Inputs!$C$34*Timing!S76*1/1000,S292)</f>
        <v>0.08122656933936562</v>
      </c>
      <c r="T309" s="37">
        <f>IF(Inputs!$C$33="ppa",Inputs!$C$34*Timing!T76*1/1000,T292)</f>
        <v>0.08285110072615294</v>
      </c>
      <c r="U309" s="37">
        <f>IF(Inputs!$C$33="ppa",Inputs!$C$34*Timing!U76*1/1000,U292)</f>
        <v>0.08450812274067597</v>
      </c>
      <c r="V309" s="37">
        <f>IF(Inputs!$C$33="ppa",Inputs!$C$34*Timing!V76*1/1000,V292)</f>
        <v>0.0861982851954895</v>
      </c>
      <c r="W309" s="37">
        <f>IF(Inputs!$C$33="ppa",Inputs!$C$34*Timing!W76*1/1000,W292)</f>
        <v>0.08792225089939928</v>
      </c>
      <c r="X309" s="37">
        <f>IF(Inputs!$C$33="ppa",Inputs!$C$34*Timing!X76*1/1000,X292)</f>
        <v>0.08968069591738728</v>
      </c>
      <c r="Y309" s="37">
        <f>IF(Inputs!$C$33="ppa",Inputs!$C$34*Timing!Y76*1/1000,Y292)</f>
        <v>0.09147430983573503</v>
      </c>
      <c r="Z309" s="37">
        <f>IF(Inputs!$C$33="ppa",Inputs!$C$34*Timing!Z76*1/1000,Z292)</f>
        <v>0.09330379603244973</v>
      </c>
      <c r="AA309" s="37">
        <f>IF(Inputs!$C$33="ppa",Inputs!$C$34*Timing!AA76*1/1000,AA292)</f>
        <v>0.09516987195309871</v>
      </c>
      <c r="AB309" s="37">
        <f>IF(Inputs!$C$33="ppa",Inputs!$C$34*Timing!AB76*1/1000,AB292)</f>
        <v>0.0970732693921607</v>
      </c>
      <c r="AC309" s="37">
        <f>IF(Inputs!$C$33="ppa",Inputs!$C$34*Timing!AC76*1/1000,AC292)</f>
        <v>0.09901473478000392</v>
      </c>
      <c r="AD309" s="37">
        <f>IF(Inputs!$C$33="ppa",Inputs!$C$34*Timing!AD76*1/1000,AD292)</f>
        <v>0.100995029475604</v>
      </c>
      <c r="AE309" s="37">
        <f>IF(Inputs!$C$33="ppa",Inputs!$C$34*Timing!AE76*1/1000,AE292)</f>
        <v>0.1030149300651161</v>
      </c>
    </row>
    <row r="310">
      <c r="A310" s="6" t="inlineStr">
        <is>
          <t xml:space="preserve">Revenue: after support</t>
        </is>
      </c>
      <c r="B310" s="10" t="inlineStr">
        <is>
          <t xml:space="preserve">€</t>
        </is>
      </c>
      <c r="F310" s="23">
        <f>IF(Inputs!$C$33="ppa",F295,F294)*F309*(1-Timing!F69)</f>
        <v>0</v>
      </c>
      <c r="G310" s="23">
        <f>IF(Inputs!$C$33="ppa",G295,G294)*G309*(1-Timing!G69)</f>
        <v>0</v>
      </c>
      <c r="H310" s="23">
        <f>IF(Inputs!$C$33="ppa",H295,H294)*H309*(1-Timing!H69)</f>
        <v>0</v>
      </c>
      <c r="I310" s="23">
        <f>IF(Inputs!$C$33="ppa",I295,I294)*I309*(1-Timing!I69)</f>
        <v>0</v>
      </c>
      <c r="J310" s="23">
        <f>IF(Inputs!$C$33="ppa",J295,J294)*J309*(1-Timing!J69)</f>
        <v>0</v>
      </c>
      <c r="K310" s="23">
        <f>IF(Inputs!$C$33="ppa",K295,K294)*K309*(1-Timing!K69)</f>
        <v>0</v>
      </c>
      <c r="L310" s="23">
        <f>IF(Inputs!$C$33="ppa",L295,L294)*L309*(1-Timing!L69)</f>
        <v>0</v>
      </c>
      <c r="M310" s="23">
        <f>IF(Inputs!$C$33="ppa",M295,M294)*M309*(1-Timing!M69)</f>
        <v>0</v>
      </c>
      <c r="N310" s="23">
        <f>IF(Inputs!$C$33="ppa",N295,N294)*N309*(1-Timing!N69)</f>
        <v>0</v>
      </c>
      <c r="O310" s="23">
        <f>IF(Inputs!$C$33="ppa",O295,O294)*O309*(1-Timing!O69)</f>
        <v>0</v>
      </c>
      <c r="P310" s="23">
        <f>IF(Inputs!$C$33="ppa",P295,P294)*P309*(1-Timing!P69)</f>
        <v>0</v>
      </c>
      <c r="Q310" s="23">
        <f>IF(Inputs!$C$33="ppa",Q295,Q294)*Q309*(1-Timing!Q69)</f>
        <v>0</v>
      </c>
      <c r="R310" s="23">
        <f>IF(Inputs!$C$33="ppa",R295,R294)*R309*(1-Timing!R69)</f>
        <v>0</v>
      </c>
      <c r="S310" s="23">
        <f>IF(Inputs!$C$33="ppa",S295,S294)*S309*(1-Timing!S69)</f>
        <v>0</v>
      </c>
      <c r="T310" s="23">
        <f>IF(Inputs!$C$33="ppa",T295,T294)*T309*(1-Timing!T69)</f>
        <v>0</v>
      </c>
      <c r="U310" s="23">
        <f>IF(Inputs!$C$33="ppa",U295,U294)*U309*(1-Timing!U69)</f>
        <v>0</v>
      </c>
      <c r="V310" s="23">
        <f>IF(Inputs!$C$33="ppa",V295,V294)*V309*(1-Timing!V69)</f>
        <v>0</v>
      </c>
      <c r="W310" s="23">
        <f>IF(Inputs!$C$33="ppa",W295,W294)*W309*(1-Timing!W69)</f>
        <v>0</v>
      </c>
      <c r="X310" s="23">
        <f>IF(Inputs!$C$33="ppa",X295,X294)*X309*(1-Timing!X69)</f>
        <v>0</v>
      </c>
      <c r="Y310" s="23">
        <f>IF(Inputs!$C$33="ppa",Y295,Y294)*Y309*(1-Timing!Y69)</f>
        <v>0</v>
      </c>
      <c r="Z310" s="23">
        <f>IF(Inputs!$C$33="ppa",Z295,Z294)*Z309*(1-Timing!Z69)</f>
        <v>0</v>
      </c>
      <c r="AA310" s="23">
        <f>IF(Inputs!$C$33="ppa",AA295,AA294)*AA309*(1-Timing!AA69)</f>
        <v>1380584.2085965013</v>
      </c>
      <c r="AB310" s="23">
        <f>IF(Inputs!$C$33="ppa",AB295,AB294)*AB309*(1-Timing!AB69)</f>
        <v>5964692.068125075</v>
      </c>
      <c r="AC310" s="23">
        <f>IF(Inputs!$C$33="ppa",AC295,AC294)*AC309*(1-Timing!AC69)</f>
        <v>6071817.937668602</v>
      </c>
      <c r="AD310" s="23">
        <f>IF(Inputs!$C$33="ppa",AD295,AD294)*AD309*(1-Timing!AD69)</f>
        <v>6180867.78782913</v>
      </c>
      <c r="AE310" s="23">
        <f>IF(Inputs!$C$33="ppa",AE295,AE294)*AE309*(1-Timing!AE69)</f>
        <v>3120081.061279551</v>
      </c>
    </row>
    <row r="311">
      <c r="A311" s="41" t="inlineStr">
        <is>
          <t xml:space="preserve">Revenue</t>
        </is>
      </c>
      <c r="B311" s="10" t="inlineStr">
        <is>
          <t xml:space="preserve">€</t>
        </is>
      </c>
      <c r="F311" s="42">
        <f>F303+F308+F310</f>
        <v>1932045.5230050024</v>
      </c>
      <c r="G311" s="42">
        <f>G303+G308+G310</f>
        <v>3835404.370092344</v>
      </c>
      <c r="H311" s="42">
        <f>H303+H308+H310</f>
        <v>3827733.5613521594</v>
      </c>
      <c r="I311" s="42">
        <f>I303+I308+I310</f>
        <v>3820078.0942294556</v>
      </c>
      <c r="J311" s="42">
        <f>J303+J308+J310</f>
        <v>3812437.9380409955</v>
      </c>
      <c r="K311" s="42">
        <f>K303+K308+K310</f>
        <v>3804813.0621649143</v>
      </c>
      <c r="L311" s="42">
        <f>L303+L308+L310</f>
        <v>3797203.4360405845</v>
      </c>
      <c r="M311" s="42">
        <f>M303+M308+M310</f>
        <v>3789609.0291685034</v>
      </c>
      <c r="N311" s="42">
        <f>N303+N308+N310</f>
        <v>3782029.8111101654</v>
      </c>
      <c r="O311" s="42">
        <f>O303+O308+O310</f>
        <v>3774465.751487946</v>
      </c>
      <c r="P311" s="42">
        <f>P303+P308+P310</f>
        <v>3766916.819984969</v>
      </c>
      <c r="Q311" s="42">
        <f>Q303+Q308+Q310</f>
        <v>3759382.986345</v>
      </c>
      <c r="R311" s="42">
        <f>R303+R308+R310</f>
        <v>3751864.22037231</v>
      </c>
      <c r="S311" s="42">
        <f>S303+S308+S310</f>
        <v>3744360.491931566</v>
      </c>
      <c r="T311" s="42">
        <f>T303+T308+T310</f>
        <v>3736871.770947702</v>
      </c>
      <c r="U311" s="42">
        <f>U303+U308+U310</f>
        <v>3729398.027405807</v>
      </c>
      <c r="V311" s="42">
        <f>V303+V308+V310</f>
        <v>3721939.2313509947</v>
      </c>
      <c r="W311" s="42">
        <f>W303+W308+W310</f>
        <v>3714495.3528882926</v>
      </c>
      <c r="X311" s="42">
        <f>X303+X308+X310</f>
        <v>3707066.3621825166</v>
      </c>
      <c r="Y311" s="42">
        <f>Y303+Y308+Y310</f>
        <v>3699652.2294581514</v>
      </c>
      <c r="Z311" s="42">
        <f>Z303+Z308+Z310</f>
        <v>3692252.924999235</v>
      </c>
      <c r="AA311" s="42">
        <f>AA303+AA308+AA310</f>
        <v>4197237.055014685</v>
      </c>
      <c r="AB311" s="42">
        <f>AB303+AB308+AB310</f>
        <v>5964692.068125075</v>
      </c>
      <c r="AC311" s="42">
        <f>AC303+AC308+AC310</f>
        <v>6071817.937668602</v>
      </c>
      <c r="AD311" s="42">
        <f>AD303+AD308+AD310</f>
        <v>6180867.78782913</v>
      </c>
      <c r="AE311" s="42">
        <f>AE303+AE308+AE310</f>
        <v>3120081.061279551</v>
      </c>
    </row>
    <row r="312">
      <c r="A312" s="6" t="inlineStr">
        <is>
          <t xml:space="preserve">Premium advances for the year (§ 26)</t>
        </is>
      </c>
      <c r="B312" s="10" t="inlineStr">
        <is>
          <t xml:space="preserve">€</t>
        </is>
      </c>
      <c r="F312" s="23">
        <f>F296*F300</f>
        <v>0</v>
      </c>
      <c r="G312" s="23">
        <f>G296*G300</f>
        <v>0</v>
      </c>
      <c r="H312" s="23">
        <f>H296*H300</f>
        <v>0</v>
      </c>
      <c r="I312" s="23">
        <f>I296*I300</f>
        <v>0</v>
      </c>
      <c r="J312" s="23">
        <f>J296*J300</f>
        <v>0</v>
      </c>
      <c r="K312" s="23">
        <f>K296*K300</f>
        <v>0</v>
      </c>
      <c r="L312" s="23">
        <f>L296*L300</f>
        <v>0</v>
      </c>
      <c r="M312" s="23">
        <f>M296*M300</f>
        <v>0</v>
      </c>
      <c r="N312" s="23">
        <f>N296*N300</f>
        <v>0</v>
      </c>
      <c r="O312" s="23">
        <f>O296*O300</f>
        <v>0</v>
      </c>
      <c r="P312" s="23">
        <f>P296*P300</f>
        <v>0</v>
      </c>
      <c r="Q312" s="23">
        <f>Q296*Q300</f>
        <v>0</v>
      </c>
      <c r="R312" s="23">
        <f>R296*R300</f>
        <v>0</v>
      </c>
      <c r="S312" s="23">
        <f>S296*S300</f>
        <v>0</v>
      </c>
      <c r="T312" s="23">
        <f>T296*T300</f>
        <v>0</v>
      </c>
      <c r="U312" s="23">
        <f>U296*U300</f>
        <v>0</v>
      </c>
      <c r="V312" s="23">
        <f>V296*V300</f>
        <v>0</v>
      </c>
      <c r="W312" s="23">
        <f>W296*W300</f>
        <v>0</v>
      </c>
      <c r="X312" s="23">
        <f>X296*X300</f>
        <v>0</v>
      </c>
      <c r="Y312" s="23">
        <f>Y296*Y300</f>
        <v>0</v>
      </c>
      <c r="Z312" s="23">
        <f>Z296*Z300</f>
        <v>0</v>
      </c>
      <c r="AA312" s="23">
        <f>AA296*AA300</f>
        <v>0</v>
      </c>
      <c r="AB312" s="23">
        <f>AB296*AB300</f>
        <v>0</v>
      </c>
      <c r="AC312" s="23">
        <f>AC296*AC300</f>
        <v>0</v>
      </c>
      <c r="AD312" s="23">
        <f>AD296*AD300</f>
        <v>0</v>
      </c>
      <c r="AE312" s="23">
        <f>AE296*AE300</f>
        <v>0</v>
      </c>
    </row>
    <row r="313">
      <c r="A313" s="6" t="inlineStr">
        <is>
          <t xml:space="preserve">Fixed-cost basis (capacity × index × part year)</t>
        </is>
      </c>
      <c r="B313" s="10" t="inlineStr">
        <is>
          <t xml:space="preserve">kW</t>
        </is>
      </c>
      <c r="F313" s="26">
        <f>Timing!$C$28*Timing!F75*Timing!F66*1</f>
        <v>17053.25529806557</v>
      </c>
      <c r="G313" s="26">
        <f>Timing!$C$28*Timing!G75*Timing!G66*1</f>
        <v>34599.57210801</v>
      </c>
      <c r="H313" s="26">
        <f>Timing!$C$28*Timing!H75*Timing!H66*1</f>
        <v>35291.5635501702</v>
      </c>
      <c r="I313" s="26">
        <f>Timing!$C$28*Timing!I75*Timing!I66*1</f>
        <v>35997.3948211736</v>
      </c>
      <c r="J313" s="26">
        <f>Timing!$C$28*Timing!J75*Timing!J66*1</f>
        <v>36717.34271759707</v>
      </c>
      <c r="K313" s="26">
        <f>Timing!$C$28*Timing!K75*Timing!K66*1</f>
        <v>37451.68957194901</v>
      </c>
      <c r="L313" s="26">
        <f>Timing!$C$28*Timing!L75*Timing!L66*1</f>
        <v>38200.723363387995</v>
      </c>
      <c r="M313" s="26">
        <f>Timing!$C$28*Timing!M75*Timing!M66*1</f>
        <v>38964.73783065575</v>
      </c>
      <c r="N313" s="26">
        <f>Timing!$C$28*Timing!N75*Timing!N66*1</f>
        <v>39744.03258726886</v>
      </c>
      <c r="O313" s="26">
        <f>Timing!$C$28*Timing!O75*Timing!O66*1</f>
        <v>40538.91323901424</v>
      </c>
      <c r="P313" s="26">
        <f>Timing!$C$28*Timing!P75*Timing!P66*1</f>
        <v>41349.69150379453</v>
      </c>
      <c r="Q313" s="26">
        <f>Timing!$C$28*Timing!Q75*Timing!Q66*1</f>
        <v>42176.68533387042</v>
      </c>
      <c r="R313" s="26">
        <f>Timing!$C$28*Timing!R75*Timing!R66*1</f>
        <v>43020.219040547825</v>
      </c>
      <c r="S313" s="26">
        <f>Timing!$C$28*Timing!S75*Timing!S66*1</f>
        <v>43880.62342135878</v>
      </c>
      <c r="T313" s="26">
        <f>Timing!$C$28*Timing!T75*Timing!T66*1</f>
        <v>44758.23588978595</v>
      </c>
      <c r="U313" s="26">
        <f>Timing!$C$28*Timing!U75*Timing!U66*1</f>
        <v>45653.40060758168</v>
      </c>
      <c r="V313" s="26">
        <f>Timing!$C$28*Timing!V75*Timing!V66*1</f>
        <v>46566.468619733314</v>
      </c>
      <c r="W313" s="26">
        <f>Timing!$C$28*Timing!W75*Timing!W66*1</f>
        <v>47497.79799212798</v>
      </c>
      <c r="X313" s="26">
        <f>Timing!$C$28*Timing!X75*Timing!X66*1</f>
        <v>48447.75395197054</v>
      </c>
      <c r="Y313" s="26">
        <f>Timing!$C$28*Timing!Y75*Timing!Y66*1</f>
        <v>49416.709031009945</v>
      </c>
      <c r="Z313" s="26">
        <f>Timing!$C$28*Timing!Z75*Timing!Z66*1</f>
        <v>50405.043211630145</v>
      </c>
      <c r="AA313" s="26">
        <f>Timing!$C$28*Timing!AA75*Timing!AA66*1</f>
        <v>51413.14407586275</v>
      </c>
      <c r="AB313" s="26">
        <f>Timing!$C$28*Timing!AB75*Timing!AB66*1</f>
        <v>52441.40695738001</v>
      </c>
      <c r="AC313" s="26">
        <f>Timing!$C$28*Timing!AC75*Timing!AC66*1</f>
        <v>53490.23509652761</v>
      </c>
      <c r="AD313" s="26">
        <f>Timing!$C$28*Timing!AD75*Timing!AD66*1</f>
        <v>54560.039798458165</v>
      </c>
      <c r="AE313" s="26">
        <f>Timing!$C$28*Timing!AE75*Timing!AE66*1</f>
        <v>27596.916568743418</v>
      </c>
    </row>
    <row r="314">
      <c r="A314" s="6" t="inlineStr">
        <is>
          <t xml:space="preserve">Maintenance</t>
        </is>
      </c>
      <c r="B314" s="10" t="inlineStr">
        <is>
          <t xml:space="preserve">€</t>
        </is>
      </c>
      <c r="F314" s="23">
        <f>CHOOSE(Timing!F71+1,Inputs!$B$61,Inputs!$C$61,Inputs!$D$61)*F313</f>
        <v>238745.574172918</v>
      </c>
      <c r="G314" s="23">
        <f>CHOOSE(Timing!G71+1,Inputs!$B$61,Inputs!$C$61,Inputs!$D$61)*G313</f>
        <v>484394.00951213995</v>
      </c>
      <c r="H314" s="23">
        <f>CHOOSE(Timing!H71+1,Inputs!$B$61,Inputs!$C$61,Inputs!$D$61)*H313</f>
        <v>494081.8897023828</v>
      </c>
      <c r="I314" s="23">
        <f>CHOOSE(Timing!I71+1,Inputs!$B$61,Inputs!$C$61,Inputs!$D$61)*I313</f>
        <v>503963.5274964304</v>
      </c>
      <c r="J314" s="23">
        <f>CHOOSE(Timing!J71+1,Inputs!$B$61,Inputs!$C$61,Inputs!$D$61)*J313</f>
        <v>514042.798046359</v>
      </c>
      <c r="K314" s="23">
        <f>CHOOSE(Timing!K71+1,Inputs!$B$61,Inputs!$C$61,Inputs!$D$61)*K313</f>
        <v>524323.6540072862</v>
      </c>
      <c r="L314" s="23">
        <f>CHOOSE(Timing!L71+1,Inputs!$B$61,Inputs!$C$61,Inputs!$D$61)*L313</f>
        <v>534810.127087432</v>
      </c>
      <c r="M314" s="23">
        <f>CHOOSE(Timing!M71+1,Inputs!$B$61,Inputs!$C$61,Inputs!$D$61)*M313</f>
        <v>545506.3296291805</v>
      </c>
      <c r="N314" s="23">
        <f>CHOOSE(Timing!N71+1,Inputs!$B$61,Inputs!$C$61,Inputs!$D$61)*N313</f>
        <v>556416.4562217641</v>
      </c>
      <c r="O314" s="23">
        <f>CHOOSE(Timing!O71+1,Inputs!$B$61,Inputs!$C$61,Inputs!$D$61)*O313</f>
        <v>567544.7853461994</v>
      </c>
      <c r="P314" s="23">
        <f>CHOOSE(Timing!P71+1,Inputs!$B$61,Inputs!$C$61,Inputs!$D$61)*P313</f>
        <v>661595.0640607125</v>
      </c>
      <c r="Q314" s="23">
        <f>CHOOSE(Timing!Q71+1,Inputs!$B$61,Inputs!$C$61,Inputs!$D$61)*Q313</f>
        <v>674826.9653419267</v>
      </c>
      <c r="R314" s="23">
        <f>CHOOSE(Timing!R71+1,Inputs!$B$61,Inputs!$C$61,Inputs!$D$61)*R313</f>
        <v>688323.5046487652</v>
      </c>
      <c r="S314" s="23">
        <f>CHOOSE(Timing!S71+1,Inputs!$B$61,Inputs!$C$61,Inputs!$D$61)*S313</f>
        <v>702089.9747417405</v>
      </c>
      <c r="T314" s="23">
        <f>CHOOSE(Timing!T71+1,Inputs!$B$61,Inputs!$C$61,Inputs!$D$61)*T313</f>
        <v>716131.7742365752</v>
      </c>
      <c r="U314" s="23">
        <f>CHOOSE(Timing!U71+1,Inputs!$B$61,Inputs!$C$61,Inputs!$D$61)*U313</f>
        <v>730454.4097213069</v>
      </c>
      <c r="V314" s="23">
        <f>CHOOSE(Timing!V71+1,Inputs!$B$61,Inputs!$C$61,Inputs!$D$61)*V313</f>
        <v>745063.497915733</v>
      </c>
      <c r="W314" s="23">
        <f>CHOOSE(Timing!W71+1,Inputs!$B$61,Inputs!$C$61,Inputs!$D$61)*W313</f>
        <v>759964.7678740476</v>
      </c>
      <c r="X314" s="23">
        <f>CHOOSE(Timing!X71+1,Inputs!$B$61,Inputs!$C$61,Inputs!$D$61)*X313</f>
        <v>775164.0632315286</v>
      </c>
      <c r="Y314" s="23">
        <f>CHOOSE(Timing!Y71+1,Inputs!$B$61,Inputs!$C$61,Inputs!$D$61)*Y313</f>
        <v>790667.3444961591</v>
      </c>
      <c r="Z314" s="23">
        <f>CHOOSE(Timing!Z71+1,Inputs!$B$61,Inputs!$C$61,Inputs!$D$61)*Z313</f>
        <v>887128.7605246906</v>
      </c>
      <c r="AA314" s="23">
        <f>CHOOSE(Timing!AA71+1,Inputs!$B$61,Inputs!$C$61,Inputs!$D$61)*AA313</f>
        <v>904871.3357351845</v>
      </c>
      <c r="AB314" s="23">
        <f>CHOOSE(Timing!AB71+1,Inputs!$B$61,Inputs!$C$61,Inputs!$D$61)*AB313</f>
        <v>922968.7624498882</v>
      </c>
      <c r="AC314" s="23">
        <f>CHOOSE(Timing!AC71+1,Inputs!$B$61,Inputs!$C$61,Inputs!$D$61)*AC313</f>
        <v>941428.1376988861</v>
      </c>
      <c r="AD314" s="23">
        <f>CHOOSE(Timing!AD71+1,Inputs!$B$61,Inputs!$C$61,Inputs!$D$61)*AD313</f>
        <v>960256.7004528638</v>
      </c>
      <c r="AE314" s="23">
        <f>CHOOSE(Timing!AE71+1,Inputs!$B$61,Inputs!$C$61,Inputs!$D$61)*AE313</f>
        <v>485705.7316098842</v>
      </c>
    </row>
    <row r="315">
      <c r="A315" s="6" t="inlineStr">
        <is>
          <t xml:space="preserve">Management</t>
        </is>
      </c>
      <c r="B315" s="10" t="inlineStr">
        <is>
          <t xml:space="preserve">€</t>
        </is>
      </c>
      <c r="F315" s="23">
        <f>CHOOSE(Timing!F71+1,Inputs!$B$62,Inputs!$C$62,Inputs!$D$62)*F313</f>
        <v>68213.02119226228</v>
      </c>
      <c r="G315" s="23">
        <f>CHOOSE(Timing!G71+1,Inputs!$B$62,Inputs!$C$62,Inputs!$D$62)*G313</f>
        <v>138398.28843204</v>
      </c>
      <c r="H315" s="23">
        <f>CHOOSE(Timing!H71+1,Inputs!$B$62,Inputs!$C$62,Inputs!$D$62)*H313</f>
        <v>141166.2542006808</v>
      </c>
      <c r="I315" s="23">
        <f>CHOOSE(Timing!I71+1,Inputs!$B$62,Inputs!$C$62,Inputs!$D$62)*I313</f>
        <v>143989.5792846944</v>
      </c>
      <c r="J315" s="23">
        <f>CHOOSE(Timing!J71+1,Inputs!$B$62,Inputs!$C$62,Inputs!$D$62)*J313</f>
        <v>146869.3708703883</v>
      </c>
      <c r="K315" s="23">
        <f>CHOOSE(Timing!K71+1,Inputs!$B$62,Inputs!$C$62,Inputs!$D$62)*K313</f>
        <v>149806.75828779605</v>
      </c>
      <c r="L315" s="23">
        <f>CHOOSE(Timing!L71+1,Inputs!$B$62,Inputs!$C$62,Inputs!$D$62)*L313</f>
        <v>152802.89345355198</v>
      </c>
      <c r="M315" s="23">
        <f>CHOOSE(Timing!M71+1,Inputs!$B$62,Inputs!$C$62,Inputs!$D$62)*M313</f>
        <v>155858.951322623</v>
      </c>
      <c r="N315" s="23">
        <f>CHOOSE(Timing!N71+1,Inputs!$B$62,Inputs!$C$62,Inputs!$D$62)*N313</f>
        <v>158976.13034907545</v>
      </c>
      <c r="O315" s="23">
        <f>CHOOSE(Timing!O71+1,Inputs!$B$62,Inputs!$C$62,Inputs!$D$62)*O313</f>
        <v>162155.65295605696</v>
      </c>
      <c r="P315" s="23">
        <f>CHOOSE(Timing!P71+1,Inputs!$B$62,Inputs!$C$62,Inputs!$D$62)*P313</f>
        <v>206748.45751897263</v>
      </c>
      <c r="Q315" s="23">
        <f>CHOOSE(Timing!Q71+1,Inputs!$B$62,Inputs!$C$62,Inputs!$D$62)*Q313</f>
        <v>210883.42666935208</v>
      </c>
      <c r="R315" s="23">
        <f>CHOOSE(Timing!R71+1,Inputs!$B$62,Inputs!$C$62,Inputs!$D$62)*R313</f>
        <v>215101.09520273912</v>
      </c>
      <c r="S315" s="23">
        <f>CHOOSE(Timing!S71+1,Inputs!$B$62,Inputs!$C$62,Inputs!$D$62)*S313</f>
        <v>219403.1171067939</v>
      </c>
      <c r="T315" s="23">
        <f>CHOOSE(Timing!T71+1,Inputs!$B$62,Inputs!$C$62,Inputs!$D$62)*T313</f>
        <v>223791.17944892976</v>
      </c>
      <c r="U315" s="23">
        <f>CHOOSE(Timing!U71+1,Inputs!$B$62,Inputs!$C$62,Inputs!$D$62)*U313</f>
        <v>228267.0030379084</v>
      </c>
      <c r="V315" s="23">
        <f>CHOOSE(Timing!V71+1,Inputs!$B$62,Inputs!$C$62,Inputs!$D$62)*V313</f>
        <v>232832.34309866658</v>
      </c>
      <c r="W315" s="23">
        <f>CHOOSE(Timing!W71+1,Inputs!$B$62,Inputs!$C$62,Inputs!$D$62)*W313</f>
        <v>237488.98996063988</v>
      </c>
      <c r="X315" s="23">
        <f>CHOOSE(Timing!X71+1,Inputs!$B$62,Inputs!$C$62,Inputs!$D$62)*X313</f>
        <v>242238.7697598527</v>
      </c>
      <c r="Y315" s="23">
        <f>CHOOSE(Timing!Y71+1,Inputs!$B$62,Inputs!$C$62,Inputs!$D$62)*Y313</f>
        <v>247083.5451550497</v>
      </c>
      <c r="Z315" s="23">
        <f>CHOOSE(Timing!Z71+1,Inputs!$B$62,Inputs!$C$62,Inputs!$D$62)*Z313</f>
        <v>252025.21605815072</v>
      </c>
      <c r="AA315" s="23">
        <f>CHOOSE(Timing!AA71+1,Inputs!$B$62,Inputs!$C$62,Inputs!$D$62)*AA313</f>
        <v>257065.72037931375</v>
      </c>
      <c r="AB315" s="23">
        <f>CHOOSE(Timing!AB71+1,Inputs!$B$62,Inputs!$C$62,Inputs!$D$62)*AB313</f>
        <v>262207.03478690004</v>
      </c>
      <c r="AC315" s="23">
        <f>CHOOSE(Timing!AC71+1,Inputs!$B$62,Inputs!$C$62,Inputs!$D$62)*AC313</f>
        <v>267451.17548263806</v>
      </c>
      <c r="AD315" s="23">
        <f>CHOOSE(Timing!AD71+1,Inputs!$B$62,Inputs!$C$62,Inputs!$D$62)*AD313</f>
        <v>272800.1989922908</v>
      </c>
      <c r="AE315" s="23">
        <f>CHOOSE(Timing!AE71+1,Inputs!$B$62,Inputs!$C$62,Inputs!$D$62)*AE313</f>
        <v>137984.5828437171</v>
      </c>
    </row>
    <row r="316">
      <c r="A316" s="6" t="inlineStr">
        <is>
          <t xml:space="preserve">Insurance</t>
        </is>
      </c>
      <c r="B316" s="10" t="inlineStr">
        <is>
          <t xml:space="preserve">€</t>
        </is>
      </c>
      <c r="F316" s="23">
        <f>CHOOSE(Timing!F71+1,Inputs!$B$63,Inputs!$C$63,Inputs!$D$63)*F313</f>
        <v>17053.25529806557</v>
      </c>
      <c r="G316" s="23">
        <f>CHOOSE(Timing!G71+1,Inputs!$B$63,Inputs!$C$63,Inputs!$D$63)*G313</f>
        <v>34599.57210801</v>
      </c>
      <c r="H316" s="23">
        <f>CHOOSE(Timing!H71+1,Inputs!$B$63,Inputs!$C$63,Inputs!$D$63)*H313</f>
        <v>35291.5635501702</v>
      </c>
      <c r="I316" s="23">
        <f>CHOOSE(Timing!I71+1,Inputs!$B$63,Inputs!$C$63,Inputs!$D$63)*I313</f>
        <v>35997.3948211736</v>
      </c>
      <c r="J316" s="23">
        <f>CHOOSE(Timing!J71+1,Inputs!$B$63,Inputs!$C$63,Inputs!$D$63)*J313</f>
        <v>36717.34271759707</v>
      </c>
      <c r="K316" s="23">
        <f>CHOOSE(Timing!K71+1,Inputs!$B$63,Inputs!$C$63,Inputs!$D$63)*K313</f>
        <v>37451.68957194901</v>
      </c>
      <c r="L316" s="23">
        <f>CHOOSE(Timing!L71+1,Inputs!$B$63,Inputs!$C$63,Inputs!$D$63)*L313</f>
        <v>38200.723363387995</v>
      </c>
      <c r="M316" s="23">
        <f>CHOOSE(Timing!M71+1,Inputs!$B$63,Inputs!$C$63,Inputs!$D$63)*M313</f>
        <v>38964.73783065575</v>
      </c>
      <c r="N316" s="23">
        <f>CHOOSE(Timing!N71+1,Inputs!$B$63,Inputs!$C$63,Inputs!$D$63)*N313</f>
        <v>39744.03258726886</v>
      </c>
      <c r="O316" s="23">
        <f>CHOOSE(Timing!O71+1,Inputs!$B$63,Inputs!$C$63,Inputs!$D$63)*O313</f>
        <v>40538.91323901424</v>
      </c>
      <c r="P316" s="23">
        <f>CHOOSE(Timing!P71+1,Inputs!$B$63,Inputs!$C$63,Inputs!$D$63)*P313</f>
        <v>41349.69150379453</v>
      </c>
      <c r="Q316" s="23">
        <f>CHOOSE(Timing!Q71+1,Inputs!$B$63,Inputs!$C$63,Inputs!$D$63)*Q313</f>
        <v>42176.68533387042</v>
      </c>
      <c r="R316" s="23">
        <f>CHOOSE(Timing!R71+1,Inputs!$B$63,Inputs!$C$63,Inputs!$D$63)*R313</f>
        <v>43020.219040547825</v>
      </c>
      <c r="S316" s="23">
        <f>CHOOSE(Timing!S71+1,Inputs!$B$63,Inputs!$C$63,Inputs!$D$63)*S313</f>
        <v>43880.62342135878</v>
      </c>
      <c r="T316" s="23">
        <f>CHOOSE(Timing!T71+1,Inputs!$B$63,Inputs!$C$63,Inputs!$D$63)*T313</f>
        <v>44758.23588978595</v>
      </c>
      <c r="U316" s="23">
        <f>CHOOSE(Timing!U71+1,Inputs!$B$63,Inputs!$C$63,Inputs!$D$63)*U313</f>
        <v>45653.40060758168</v>
      </c>
      <c r="V316" s="23">
        <f>CHOOSE(Timing!V71+1,Inputs!$B$63,Inputs!$C$63,Inputs!$D$63)*V313</f>
        <v>46566.468619733314</v>
      </c>
      <c r="W316" s="23">
        <f>CHOOSE(Timing!W71+1,Inputs!$B$63,Inputs!$C$63,Inputs!$D$63)*W313</f>
        <v>47497.79799212798</v>
      </c>
      <c r="X316" s="23">
        <f>CHOOSE(Timing!X71+1,Inputs!$B$63,Inputs!$C$63,Inputs!$D$63)*X313</f>
        <v>48447.75395197054</v>
      </c>
      <c r="Y316" s="23">
        <f>CHOOSE(Timing!Y71+1,Inputs!$B$63,Inputs!$C$63,Inputs!$D$63)*Y313</f>
        <v>49416.709031009945</v>
      </c>
      <c r="Z316" s="23">
        <f>CHOOSE(Timing!Z71+1,Inputs!$B$63,Inputs!$C$63,Inputs!$D$63)*Z313</f>
        <v>50405.043211630145</v>
      </c>
      <c r="AA316" s="23">
        <f>CHOOSE(Timing!AA71+1,Inputs!$B$63,Inputs!$C$63,Inputs!$D$63)*AA313</f>
        <v>51413.14407586275</v>
      </c>
      <c r="AB316" s="23">
        <f>CHOOSE(Timing!AB71+1,Inputs!$B$63,Inputs!$C$63,Inputs!$D$63)*AB313</f>
        <v>52441.40695738001</v>
      </c>
      <c r="AC316" s="23">
        <f>CHOOSE(Timing!AC71+1,Inputs!$B$63,Inputs!$C$63,Inputs!$D$63)*AC313</f>
        <v>53490.23509652761</v>
      </c>
      <c r="AD316" s="23">
        <f>CHOOSE(Timing!AD71+1,Inputs!$B$63,Inputs!$C$63,Inputs!$D$63)*AD313</f>
        <v>54560.039798458165</v>
      </c>
      <c r="AE316" s="23">
        <f>CHOOSE(Timing!AE71+1,Inputs!$B$63,Inputs!$C$63,Inputs!$D$63)*AE313</f>
        <v>27596.916568743418</v>
      </c>
    </row>
    <row r="317">
      <c r="A317" s="6" t="inlineStr">
        <is>
          <t xml:space="preserve">Other</t>
        </is>
      </c>
      <c r="B317" s="10" t="inlineStr">
        <is>
          <t xml:space="preserve">€</t>
        </is>
      </c>
      <c r="F317" s="23">
        <f>CHOOSE(Timing!F71+1,Inputs!$B$64,Inputs!$C$64,Inputs!$D$64)*F313</f>
        <v>102319.53178839342</v>
      </c>
      <c r="G317" s="23">
        <f>CHOOSE(Timing!G71+1,Inputs!$B$64,Inputs!$C$64,Inputs!$D$64)*G313</f>
        <v>207597.43264805997</v>
      </c>
      <c r="H317" s="23">
        <f>CHOOSE(Timing!H71+1,Inputs!$B$64,Inputs!$C$64,Inputs!$D$64)*H313</f>
        <v>211749.3813010212</v>
      </c>
      <c r="I317" s="23">
        <f>CHOOSE(Timing!I71+1,Inputs!$B$64,Inputs!$C$64,Inputs!$D$64)*I313</f>
        <v>215984.3689270416</v>
      </c>
      <c r="J317" s="23">
        <f>CHOOSE(Timing!J71+1,Inputs!$B$64,Inputs!$C$64,Inputs!$D$64)*J313</f>
        <v>220304.05630558243</v>
      </c>
      <c r="K317" s="23">
        <f>CHOOSE(Timing!K71+1,Inputs!$B$64,Inputs!$C$64,Inputs!$D$64)*K313</f>
        <v>224710.13743169408</v>
      </c>
      <c r="L317" s="23">
        <f>CHOOSE(Timing!L71+1,Inputs!$B$64,Inputs!$C$64,Inputs!$D$64)*L313</f>
        <v>229204.34018032797</v>
      </c>
      <c r="M317" s="23">
        <f>CHOOSE(Timing!M71+1,Inputs!$B$64,Inputs!$C$64,Inputs!$D$64)*M313</f>
        <v>233788.4269839345</v>
      </c>
      <c r="N317" s="23">
        <f>CHOOSE(Timing!N71+1,Inputs!$B$64,Inputs!$C$64,Inputs!$D$64)*N313</f>
        <v>238464.1955236132</v>
      </c>
      <c r="O317" s="23">
        <f>CHOOSE(Timing!O71+1,Inputs!$B$64,Inputs!$C$64,Inputs!$D$64)*O313</f>
        <v>243233.47943408543</v>
      </c>
      <c r="P317" s="23">
        <f>CHOOSE(Timing!P71+1,Inputs!$B$64,Inputs!$C$64,Inputs!$D$64)*P313</f>
        <v>248098.14902276717</v>
      </c>
      <c r="Q317" s="23">
        <f>CHOOSE(Timing!Q71+1,Inputs!$B$64,Inputs!$C$64,Inputs!$D$64)*Q313</f>
        <v>253060.11200322252</v>
      </c>
      <c r="R317" s="23">
        <f>CHOOSE(Timing!R71+1,Inputs!$B$64,Inputs!$C$64,Inputs!$D$64)*R313</f>
        <v>258121.31424328696</v>
      </c>
      <c r="S317" s="23">
        <f>CHOOSE(Timing!S71+1,Inputs!$B$64,Inputs!$C$64,Inputs!$D$64)*S313</f>
        <v>263283.7405281527</v>
      </c>
      <c r="T317" s="23">
        <f>CHOOSE(Timing!T71+1,Inputs!$B$64,Inputs!$C$64,Inputs!$D$64)*T313</f>
        <v>268549.4153387157</v>
      </c>
      <c r="U317" s="23">
        <f>CHOOSE(Timing!U71+1,Inputs!$B$64,Inputs!$C$64,Inputs!$D$64)*U313</f>
        <v>273920.40364549006</v>
      </c>
      <c r="V317" s="23">
        <f>CHOOSE(Timing!V71+1,Inputs!$B$64,Inputs!$C$64,Inputs!$D$64)*V313</f>
        <v>279398.81171839987</v>
      </c>
      <c r="W317" s="23">
        <f>CHOOSE(Timing!W71+1,Inputs!$B$64,Inputs!$C$64,Inputs!$D$64)*W313</f>
        <v>284986.78795276786</v>
      </c>
      <c r="X317" s="23">
        <f>CHOOSE(Timing!X71+1,Inputs!$B$64,Inputs!$C$64,Inputs!$D$64)*X313</f>
        <v>290686.5237118232</v>
      </c>
      <c r="Y317" s="23">
        <f>CHOOSE(Timing!Y71+1,Inputs!$B$64,Inputs!$C$64,Inputs!$D$64)*Y313</f>
        <v>296500.2541860597</v>
      </c>
      <c r="Z317" s="23">
        <f>CHOOSE(Timing!Z71+1,Inputs!$B$64,Inputs!$C$64,Inputs!$D$64)*Z313</f>
        <v>302430.2592697809</v>
      </c>
      <c r="AA317" s="23">
        <f>CHOOSE(Timing!AA71+1,Inputs!$B$64,Inputs!$C$64,Inputs!$D$64)*AA313</f>
        <v>308478.8644551765</v>
      </c>
      <c r="AB317" s="23">
        <f>CHOOSE(Timing!AB71+1,Inputs!$B$64,Inputs!$C$64,Inputs!$D$64)*AB313</f>
        <v>314648.44174428005</v>
      </c>
      <c r="AC317" s="23">
        <f>CHOOSE(Timing!AC71+1,Inputs!$B$64,Inputs!$C$64,Inputs!$D$64)*AC313</f>
        <v>320941.4105791657</v>
      </c>
      <c r="AD317" s="23">
        <f>CHOOSE(Timing!AD71+1,Inputs!$B$64,Inputs!$C$64,Inputs!$D$64)*AD313</f>
        <v>327360.238790749</v>
      </c>
      <c r="AE317" s="23">
        <f>CHOOSE(Timing!AE71+1,Inputs!$B$64,Inputs!$C$64,Inputs!$D$64)*AE313</f>
        <v>165581.49941246051</v>
      </c>
    </row>
    <row r="318">
      <c r="A318" s="6" t="inlineStr">
        <is>
          <t xml:space="preserve">Land lease on revenue</t>
        </is>
      </c>
      <c r="B318" s="10" t="inlineStr">
        <is>
          <t xml:space="preserve">€</t>
        </is>
      </c>
      <c r="F318" s="23">
        <f>Inputs!$C$65*F311</f>
        <v>193204.55230050025</v>
      </c>
      <c r="G318" s="23">
        <f>Inputs!$C$65*G311</f>
        <v>383540.43700923445</v>
      </c>
      <c r="H318" s="23">
        <f>Inputs!$C$65*H311</f>
        <v>382773.35613521596</v>
      </c>
      <c r="I318" s="23">
        <f>Inputs!$C$65*I311</f>
        <v>382007.8094229456</v>
      </c>
      <c r="J318" s="23">
        <f>Inputs!$C$65*J311</f>
        <v>381243.79380409955</v>
      </c>
      <c r="K318" s="23">
        <f>Inputs!$C$65*K311</f>
        <v>380481.30621649144</v>
      </c>
      <c r="L318" s="23">
        <f>Inputs!$C$65*L311</f>
        <v>379720.3436040585</v>
      </c>
      <c r="M318" s="23">
        <f>Inputs!$C$65*M311</f>
        <v>378960.90291685035</v>
      </c>
      <c r="N318" s="23">
        <f>Inputs!$C$65*N311</f>
        <v>378202.9811110166</v>
      </c>
      <c r="O318" s="23">
        <f>Inputs!$C$65*O311</f>
        <v>377446.5751487946</v>
      </c>
      <c r="P318" s="23">
        <f>Inputs!$C$65*P311</f>
        <v>376691.68199849693</v>
      </c>
      <c r="Q318" s="23">
        <f>Inputs!$C$65*Q311</f>
        <v>375938.2986345</v>
      </c>
      <c r="R318" s="23">
        <f>Inputs!$C$65*R311</f>
        <v>375186.42203723104</v>
      </c>
      <c r="S318" s="23">
        <f>Inputs!$C$65*S311</f>
        <v>374436.04919315665</v>
      </c>
      <c r="T318" s="23">
        <f>Inputs!$C$65*T311</f>
        <v>373687.17709477025</v>
      </c>
      <c r="U318" s="23">
        <f>Inputs!$C$65*U311</f>
        <v>372939.8027405807</v>
      </c>
      <c r="V318" s="23">
        <f>Inputs!$C$65*V311</f>
        <v>372193.92313509947</v>
      </c>
      <c r="W318" s="23">
        <f>Inputs!$C$65*W311</f>
        <v>371449.5352888293</v>
      </c>
      <c r="X318" s="23">
        <f>Inputs!$C$65*X311</f>
        <v>370706.63621825166</v>
      </c>
      <c r="Y318" s="23">
        <f>Inputs!$C$65*Y311</f>
        <v>369965.2229458152</v>
      </c>
      <c r="Z318" s="23">
        <f>Inputs!$C$65*Z311</f>
        <v>369225.29249992355</v>
      </c>
      <c r="AA318" s="23">
        <f>Inputs!$C$65*AA311</f>
        <v>419723.7055014685</v>
      </c>
      <c r="AB318" s="23">
        <f>Inputs!$C$65*AB311</f>
        <v>596469.2068125075</v>
      </c>
      <c r="AC318" s="23">
        <f>Inputs!$C$65*AC311</f>
        <v>607181.7937668603</v>
      </c>
      <c r="AD318" s="23">
        <f>Inputs!$C$65*AD311</f>
        <v>618086.778782913</v>
      </c>
      <c r="AE318" s="23">
        <f>Inputs!$C$65*AE311</f>
        <v>312008.10612795514</v>
      </c>
    </row>
    <row r="319">
      <c r="A319" s="6" t="inlineStr">
        <is>
          <t xml:space="preserve">Land lease minimum</t>
        </is>
      </c>
      <c r="B319" s="10" t="inlineStr">
        <is>
          <t xml:space="preserve">€</t>
        </is>
      </c>
      <c r="F319" s="23">
        <f>Inputs!$C$66*Inputs!$C$6*Timing!F76*Timing!F66</f>
        <v>184140.53879781417</v>
      </c>
      <c r="G319" s="23">
        <f>Inputs!$C$66*Inputs!$C$6*Timing!G76*Timing!G66</f>
        <v>373605.14099999995</v>
      </c>
      <c r="H319" s="23">
        <f>Inputs!$C$66*Inputs!$C$6*Timing!H76*Timing!H66</f>
        <v>381077.24382000003</v>
      </c>
      <c r="I319" s="23">
        <f>Inputs!$C$66*Inputs!$C$6*Timing!I76*Timing!I66</f>
        <v>388698.78869639995</v>
      </c>
      <c r="J319" s="23">
        <f>Inputs!$C$66*Inputs!$C$6*Timing!J76*Timing!J66</f>
        <v>396472.764470328</v>
      </c>
      <c r="K319" s="23">
        <f>Inputs!$C$66*Inputs!$C$6*Timing!K76*Timing!K66</f>
        <v>404402.2197597346</v>
      </c>
      <c r="L319" s="23">
        <f>Inputs!$C$66*Inputs!$C$6*Timing!L76*Timing!L66</f>
        <v>412490.26415492926</v>
      </c>
      <c r="M319" s="23">
        <f>Inputs!$C$66*Inputs!$C$6*Timing!M76*Timing!M66</f>
        <v>420740.0694380278</v>
      </c>
      <c r="N319" s="23">
        <f>Inputs!$C$66*Inputs!$C$6*Timing!N76*Timing!N66</f>
        <v>429154.87082678836</v>
      </c>
      <c r="O319" s="23">
        <f>Inputs!$C$66*Inputs!$C$6*Timing!O76*Timing!O66</f>
        <v>437737.9682433241</v>
      </c>
      <c r="P319" s="23">
        <f>Inputs!$C$66*Inputs!$C$6*Timing!P76*Timing!P66</f>
        <v>446492.72760819056</v>
      </c>
      <c r="Q319" s="23">
        <f>Inputs!$C$66*Inputs!$C$6*Timing!Q76*Timing!Q66</f>
        <v>455422.58216035436</v>
      </c>
      <c r="R319" s="23">
        <f>Inputs!$C$66*Inputs!$C$6*Timing!R76*Timing!R66</f>
        <v>464531.0338035615</v>
      </c>
      <c r="S319" s="23">
        <f>Inputs!$C$66*Inputs!$C$6*Timing!S76*Timing!S66</f>
        <v>473821.6544796327</v>
      </c>
      <c r="T319" s="23">
        <f>Inputs!$C$66*Inputs!$C$6*Timing!T76*Timing!T66</f>
        <v>483298.08756922535</v>
      </c>
      <c r="U319" s="23">
        <f>Inputs!$C$66*Inputs!$C$6*Timing!U76*Timing!U66</f>
        <v>492964.04932060983</v>
      </c>
      <c r="V319" s="23">
        <f>Inputs!$C$66*Inputs!$C$6*Timing!V76*Timing!V66</f>
        <v>502823.3303070221</v>
      </c>
      <c r="W319" s="23">
        <f>Inputs!$C$66*Inputs!$C$6*Timing!W76*Timing!W66</f>
        <v>512879.7969131625</v>
      </c>
      <c r="X319" s="23">
        <f>Inputs!$C$66*Inputs!$C$6*Timing!X76*Timing!X66</f>
        <v>523137.39285142574</v>
      </c>
      <c r="Y319" s="23">
        <f>Inputs!$C$66*Inputs!$C$6*Timing!Y76*Timing!Y66</f>
        <v>533600.1407084543</v>
      </c>
      <c r="Z319" s="23">
        <f>Inputs!$C$66*Inputs!$C$6*Timing!Z76*Timing!Z66</f>
        <v>544272.1435226233</v>
      </c>
      <c r="AA319" s="23">
        <f>Inputs!$C$66*Inputs!$C$6*Timing!AA76*Timing!AA66</f>
        <v>555157.5863930759</v>
      </c>
      <c r="AB319" s="23">
        <f>Inputs!$C$66*Inputs!$C$6*Timing!AB76*Timing!AB66</f>
        <v>566260.7381209374</v>
      </c>
      <c r="AC319" s="23">
        <f>Inputs!$C$66*Inputs!$C$6*Timing!AC76*Timing!AC66</f>
        <v>577585.9528833561</v>
      </c>
      <c r="AD319" s="23">
        <f>Inputs!$C$66*Inputs!$C$6*Timing!AD76*Timing!AD66</f>
        <v>589137.6719410233</v>
      </c>
      <c r="AE319" s="23">
        <f>Inputs!$C$66*Inputs!$C$6*Timing!AE76*Timing!AE66</f>
        <v>297990.6766952102</v>
      </c>
    </row>
    <row r="320">
      <c r="A320" s="6" t="inlineStr">
        <is>
          <t xml:space="preserve">Land lease</t>
        </is>
      </c>
      <c r="B320" s="10" t="inlineStr">
        <is>
          <t xml:space="preserve">€</t>
        </is>
      </c>
      <c r="F320" s="23">
        <f>MAX(F318,F319)</f>
        <v>193204.55230050025</v>
      </c>
      <c r="G320" s="23">
        <f>MAX(G318,G319)</f>
        <v>383540.43700923445</v>
      </c>
      <c r="H320" s="23">
        <f>MAX(H318,H319)</f>
        <v>382773.35613521596</v>
      </c>
      <c r="I320" s="23">
        <f>MAX(I318,I319)</f>
        <v>388698.78869639995</v>
      </c>
      <c r="J320" s="23">
        <f>MAX(J318,J319)</f>
        <v>396472.764470328</v>
      </c>
      <c r="K320" s="23">
        <f>MAX(K318,K319)</f>
        <v>404402.2197597346</v>
      </c>
      <c r="L320" s="23">
        <f>MAX(L318,L319)</f>
        <v>412490.26415492926</v>
      </c>
      <c r="M320" s="23">
        <f>MAX(M318,M319)</f>
        <v>420740.0694380278</v>
      </c>
      <c r="N320" s="23">
        <f>MAX(N318,N319)</f>
        <v>429154.87082678836</v>
      </c>
      <c r="O320" s="23">
        <f>MAX(O318,O319)</f>
        <v>437737.9682433241</v>
      </c>
      <c r="P320" s="23">
        <f>MAX(P318,P319)</f>
        <v>446492.72760819056</v>
      </c>
      <c r="Q320" s="23">
        <f>MAX(Q318,Q319)</f>
        <v>455422.58216035436</v>
      </c>
      <c r="R320" s="23">
        <f>MAX(R318,R319)</f>
        <v>464531.0338035615</v>
      </c>
      <c r="S320" s="23">
        <f>MAX(S318,S319)</f>
        <v>473821.6544796327</v>
      </c>
      <c r="T320" s="23">
        <f>MAX(T318,T319)</f>
        <v>483298.08756922535</v>
      </c>
      <c r="U320" s="23">
        <f>MAX(U318,U319)</f>
        <v>492964.04932060983</v>
      </c>
      <c r="V320" s="23">
        <f>MAX(V318,V319)</f>
        <v>502823.3303070221</v>
      </c>
      <c r="W320" s="23">
        <f>MAX(W318,W319)</f>
        <v>512879.7969131625</v>
      </c>
      <c r="X320" s="23">
        <f>MAX(X318,X319)</f>
        <v>523137.39285142574</v>
      </c>
      <c r="Y320" s="23">
        <f>MAX(Y318,Y319)</f>
        <v>533600.1407084543</v>
      </c>
      <c r="Z320" s="23">
        <f>MAX(Z318,Z319)</f>
        <v>544272.1435226233</v>
      </c>
      <c r="AA320" s="23">
        <f>MAX(AA318,AA319)</f>
        <v>555157.5863930759</v>
      </c>
      <c r="AB320" s="23">
        <f>MAX(AB318,AB319)</f>
        <v>596469.2068125075</v>
      </c>
      <c r="AC320" s="23">
        <f>MAX(AC318,AC319)</f>
        <v>607181.7937668603</v>
      </c>
      <c r="AD320" s="23">
        <f>MAX(AD318,AD319)</f>
        <v>618086.778782913</v>
      </c>
      <c r="AE320" s="23">
        <f>MAX(AE318,AE319)</f>
        <v>312008.10612795514</v>
      </c>
    </row>
    <row r="321">
      <c r="A321" s="6" t="inlineStr">
        <is>
          <t xml:space="preserve">Direct marketing</t>
        </is>
      </c>
      <c r="B321" s="10" t="inlineStr">
        <is>
          <t xml:space="preserve">€</t>
        </is>
      </c>
      <c r="F321" s="23">
        <f>Inputs!$C$32*Timing!F76/100*F295</f>
        <v>64187.64306084234</v>
      </c>
      <c r="G321" s="23">
        <f>Inputs!$C$32*Timing!G76/100*G295</f>
        <v>129970.6839437974</v>
      </c>
      <c r="H321" s="23">
        <f>Inputs!$C$32*Timing!H76/100*H295</f>
        <v>132304.95742742802</v>
      </c>
      <c r="I321" s="23">
        <f>Inputs!$C$32*Timing!I76/100*I295</f>
        <v>134681.1544628246</v>
      </c>
      <c r="J321" s="23">
        <f>Inputs!$C$32*Timing!J76/100*J295</f>
        <v>137100.02799697692</v>
      </c>
      <c r="K321" s="23">
        <f>Inputs!$C$32*Timing!K76/100*K295</f>
        <v>139562.34449980265</v>
      </c>
      <c r="L321" s="23">
        <f>Inputs!$C$32*Timing!L76/100*L295</f>
        <v>142068.88420701915</v>
      </c>
      <c r="M321" s="23">
        <f>Inputs!$C$32*Timing!M76/100*M295</f>
        <v>144620.44136737718</v>
      </c>
      <c r="N321" s="23">
        <f>Inputs!$C$32*Timing!N76/100*N295</f>
        <v>147217.82449433522</v>
      </c>
      <c r="O321" s="23">
        <f>Inputs!$C$32*Timing!O76/100*O295</f>
        <v>149861.85662225354</v>
      </c>
      <c r="P321" s="23">
        <f>Inputs!$C$32*Timing!P76/100*P295</f>
        <v>152553.37556718918</v>
      </c>
      <c r="Q321" s="23">
        <f>Inputs!$C$32*Timing!Q76/100*Q295</f>
        <v>155293.23419237588</v>
      </c>
      <c r="R321" s="23">
        <f>Inputs!$C$32*Timing!R76/100*R295</f>
        <v>158082.30067847096</v>
      </c>
      <c r="S321" s="23">
        <f>Inputs!$C$32*Timing!S76/100*S295</f>
        <v>160921.45879865633</v>
      </c>
      <c r="T321" s="23">
        <f>Inputs!$C$32*Timing!T76/100*T295</f>
        <v>163811.6081986802</v>
      </c>
      <c r="U321" s="23">
        <f>Inputs!$C$32*Timing!U76/100*U295</f>
        <v>166753.66468192847</v>
      </c>
      <c r="V321" s="23">
        <f>Inputs!$C$32*Timing!V76/100*V295</f>
        <v>169748.56049961588</v>
      </c>
      <c r="W321" s="23">
        <f>Inputs!$C$32*Timing!W76/100*W295</f>
        <v>172797.244646189</v>
      </c>
      <c r="X321" s="23">
        <f>Inputs!$C$32*Timing!X76/100*X295</f>
        <v>175900.68316003456</v>
      </c>
      <c r="Y321" s="23">
        <f>Inputs!$C$32*Timing!Y76/100*Y295</f>
        <v>179059.85942958877</v>
      </c>
      <c r="Z321" s="23">
        <f>Inputs!$C$32*Timing!Z76/100*Z295</f>
        <v>182275.77450494422</v>
      </c>
      <c r="AA321" s="23">
        <f>Inputs!$C$32*Timing!AA76/100*AA295</f>
        <v>185549.447415053</v>
      </c>
      <c r="AB321" s="23">
        <f>Inputs!$C$32*Timing!AB76/100*AB295</f>
        <v>188881.91549062735</v>
      </c>
      <c r="AC321" s="23">
        <f>Inputs!$C$32*Timing!AC76/100*AC295</f>
        <v>192274.23469283906</v>
      </c>
      <c r="AD321" s="23">
        <f>Inputs!$C$32*Timing!AD76/100*AD295</f>
        <v>195727.47994792243</v>
      </c>
      <c r="AE321" s="23">
        <f>Inputs!$C$32*Timing!AE76/100*AE295</f>
        <v>98802.56694051911</v>
      </c>
    </row>
    <row r="322">
      <c r="A322" s="6" t="inlineStr">
        <is>
          <t xml:space="preserve">Municipal payment (§ 6)</t>
        </is>
      </c>
      <c r="B322" s="10" t="inlineStr">
        <is>
          <t xml:space="preserve">€</t>
        </is>
      </c>
      <c r="F322" s="23">
        <f>Inputs!$C$38/100*F294*(Timing!F69+IF(Inputs!$C$39,1-Timing!F69,0))</f>
        <v>64562.924745363496</v>
      </c>
      <c r="G322" s="23">
        <f>Inputs!$C$38/100*G294*(Timing!G69+IF(Inputs!$C$39,1-Timing!G69,0))</f>
        <v>128167.23041244259</v>
      </c>
      <c r="H322" s="23">
        <f>Inputs!$C$38/100*H294*(Timing!H69+IF(Inputs!$C$39,1-Timing!H69,0))</f>
        <v>127910.89595161768</v>
      </c>
      <c r="I322" s="23">
        <f>Inputs!$C$38/100*I294*(Timing!I69+IF(Inputs!$C$39,1-Timing!I69,0))</f>
        <v>127655.07415971448</v>
      </c>
      <c r="J322" s="23">
        <f>Inputs!$C$38/100*J294*(Timing!J69+IF(Inputs!$C$39,1-Timing!J69,0))</f>
        <v>127399.76401139502</v>
      </c>
      <c r="K322" s="23">
        <f>Inputs!$C$38/100*K294*(Timing!K69+IF(Inputs!$C$39,1-Timing!K69,0))</f>
        <v>127144.96448337224</v>
      </c>
      <c r="L322" s="23">
        <f>Inputs!$C$38/100*L294*(Timing!L69+IF(Inputs!$C$39,1-Timing!L69,0))</f>
        <v>126890.6745544055</v>
      </c>
      <c r="M322" s="23">
        <f>Inputs!$C$38/100*M294*(Timing!M69+IF(Inputs!$C$39,1-Timing!M69,0))</f>
        <v>126636.89320529668</v>
      </c>
      <c r="N322" s="23">
        <f>Inputs!$C$38/100*N294*(Timing!N69+IF(Inputs!$C$39,1-Timing!N69,0))</f>
        <v>126383.61941888608</v>
      </c>
      <c r="O322" s="23">
        <f>Inputs!$C$38/100*O294*(Timing!O69+IF(Inputs!$C$39,1-Timing!O69,0))</f>
        <v>126130.85218004833</v>
      </c>
      <c r="P322" s="23">
        <f>Inputs!$C$38/100*P294*(Timing!P69+IF(Inputs!$C$39,1-Timing!P69,0))</f>
        <v>125878.59047568821</v>
      </c>
      <c r="Q322" s="23">
        <f>Inputs!$C$38/100*Q294*(Timing!Q69+IF(Inputs!$C$39,1-Timing!Q69,0))</f>
        <v>125626.83329473685</v>
      </c>
      <c r="R322" s="23">
        <f>Inputs!$C$38/100*R294*(Timing!R69+IF(Inputs!$C$39,1-Timing!R69,0))</f>
        <v>125375.57962814736</v>
      </c>
      <c r="S322" s="23">
        <f>Inputs!$C$38/100*S294*(Timing!S69+IF(Inputs!$C$39,1-Timing!S69,0))</f>
        <v>125124.82846889111</v>
      </c>
      <c r="T322" s="23">
        <f>Inputs!$C$38/100*T294*(Timing!T69+IF(Inputs!$C$39,1-Timing!T69,0))</f>
        <v>124874.5788119533</v>
      </c>
      <c r="U322" s="23">
        <f>Inputs!$C$38/100*U294*(Timing!U69+IF(Inputs!$C$39,1-Timing!U69,0))</f>
        <v>124624.8296543294</v>
      </c>
      <c r="V322" s="23">
        <f>Inputs!$C$38/100*V294*(Timing!V69+IF(Inputs!$C$39,1-Timing!V69,0))</f>
        <v>124375.57999502071</v>
      </c>
      <c r="W322" s="23">
        <f>Inputs!$C$38/100*W294*(Timing!W69+IF(Inputs!$C$39,1-Timing!W69,0))</f>
        <v>124126.82883503068</v>
      </c>
      <c r="X322" s="23">
        <f>Inputs!$C$38/100*X294*(Timing!X69+IF(Inputs!$C$39,1-Timing!X69,0))</f>
        <v>123878.57517736063</v>
      </c>
      <c r="Y322" s="23">
        <f>Inputs!$C$38/100*Y294*(Timing!Y69+IF(Inputs!$C$39,1-Timing!Y69,0))</f>
        <v>123630.8180270059</v>
      </c>
      <c r="Z322" s="23">
        <f>Inputs!$C$38/100*Z294*(Timing!Z69+IF(Inputs!$C$39,1-Timing!Z69,0))</f>
        <v>123383.55639095188</v>
      </c>
      <c r="AA322" s="23">
        <f>Inputs!$C$38/100*AA294*(Timing!AA69+IF(Inputs!$C$39,1-Timing!AA69,0))</f>
        <v>123136.78927816999</v>
      </c>
      <c r="AB322" s="23">
        <f>Inputs!$C$38/100*AB294*(Timing!AB69+IF(Inputs!$C$39,1-Timing!AB69,0))</f>
        <v>122890.51569961365</v>
      </c>
      <c r="AC322" s="23">
        <f>Inputs!$C$38/100*AC294*(Timing!AC69+IF(Inputs!$C$39,1-Timing!AC69,0))</f>
        <v>122644.73466821444</v>
      </c>
      <c r="AD322" s="23">
        <f>Inputs!$C$38/100*AD294*(Timing!AD69+IF(Inputs!$C$39,1-Timing!AD69,0))</f>
        <v>122399.44519887799</v>
      </c>
      <c r="AE322" s="23">
        <f>Inputs!$C$38/100*AE294*(Timing!AE69+IF(Inputs!$C$39,1-Timing!AE69,0))</f>
        <v>60575.31775845185</v>
      </c>
    </row>
    <row r="323">
      <c r="A323" s="6" t="inlineStr">
        <is>
          <t xml:space="preserve">Guarantee fee</t>
        </is>
      </c>
      <c r="B323" s="10" t="inlineStr">
        <is>
          <t xml:space="preserve">€</t>
        </is>
      </c>
      <c r="F323" s="23">
        <f>Timing!$C$33*Inputs!$C$68*Timing!F66</f>
        <v>4995.901639344263</v>
      </c>
      <c r="G323" s="23">
        <f>Timing!$C$33*Inputs!$C$68*Timing!G66</f>
        <v>9937.5</v>
      </c>
      <c r="H323" s="23">
        <f>Timing!$C$33*Inputs!$C$68*Timing!H66</f>
        <v>9937.5</v>
      </c>
      <c r="I323" s="23">
        <f>Timing!$C$33*Inputs!$C$68*Timing!I66</f>
        <v>9937.5</v>
      </c>
      <c r="J323" s="23">
        <f>Timing!$C$33*Inputs!$C$68*Timing!J66</f>
        <v>9937.5</v>
      </c>
      <c r="K323" s="23">
        <f>Timing!$C$33*Inputs!$C$68*Timing!K66</f>
        <v>9937.5</v>
      </c>
      <c r="L323" s="23">
        <f>Timing!$C$33*Inputs!$C$68*Timing!L66</f>
        <v>9937.5</v>
      </c>
      <c r="M323" s="23">
        <f>Timing!$C$33*Inputs!$C$68*Timing!M66</f>
        <v>9937.5</v>
      </c>
      <c r="N323" s="23">
        <f>Timing!$C$33*Inputs!$C$68*Timing!N66</f>
        <v>9937.5</v>
      </c>
      <c r="O323" s="23">
        <f>Timing!$C$33*Inputs!$C$68*Timing!O66</f>
        <v>9937.5</v>
      </c>
      <c r="P323" s="23">
        <f>Timing!$C$33*Inputs!$C$68*Timing!P66</f>
        <v>9937.5</v>
      </c>
      <c r="Q323" s="23">
        <f>Timing!$C$33*Inputs!$C$68*Timing!Q66</f>
        <v>9937.5</v>
      </c>
      <c r="R323" s="23">
        <f>Timing!$C$33*Inputs!$C$68*Timing!R66</f>
        <v>9937.5</v>
      </c>
      <c r="S323" s="23">
        <f>Timing!$C$33*Inputs!$C$68*Timing!S66</f>
        <v>9937.5</v>
      </c>
      <c r="T323" s="23">
        <f>Timing!$C$33*Inputs!$C$68*Timing!T66</f>
        <v>9937.5</v>
      </c>
      <c r="U323" s="23">
        <f>Timing!$C$33*Inputs!$C$68*Timing!U66</f>
        <v>9937.5</v>
      </c>
      <c r="V323" s="23">
        <f>Timing!$C$33*Inputs!$C$68*Timing!V66</f>
        <v>9937.5</v>
      </c>
      <c r="W323" s="23">
        <f>Timing!$C$33*Inputs!$C$68*Timing!W66</f>
        <v>9937.5</v>
      </c>
      <c r="X323" s="23">
        <f>Timing!$C$33*Inputs!$C$68*Timing!X66</f>
        <v>9937.5</v>
      </c>
      <c r="Y323" s="23">
        <f>Timing!$C$33*Inputs!$C$68*Timing!Y66</f>
        <v>9937.5</v>
      </c>
      <c r="Z323" s="23">
        <f>Timing!$C$33*Inputs!$C$68*Timing!Z66</f>
        <v>9937.5</v>
      </c>
      <c r="AA323" s="23">
        <f>Timing!$C$33*Inputs!$C$68*Timing!AA66</f>
        <v>9937.5</v>
      </c>
      <c r="AB323" s="23">
        <f>Timing!$C$33*Inputs!$C$68*Timing!AB66</f>
        <v>9937.5</v>
      </c>
      <c r="AC323" s="23">
        <f>Timing!$C$33*Inputs!$C$68*Timing!AC66</f>
        <v>9937.5</v>
      </c>
      <c r="AD323" s="23">
        <f>Timing!$C$33*Inputs!$C$68*Timing!AD66</f>
        <v>9937.5</v>
      </c>
      <c r="AE323" s="23">
        <f>Timing!$C$33*Inputs!$C$68*Timing!AE66</f>
        <v>4927.91095890411</v>
      </c>
    </row>
    <row r="324">
      <c r="A324" s="6" t="inlineStr">
        <is>
          <t xml:space="preserve">Generator grid fee</t>
        </is>
      </c>
      <c r="B324" s="10" t="inlineStr">
        <is>
          <t xml:space="preserve">€</t>
        </is>
      </c>
      <c r="F324" s="23">
        <f>Inputs!$C$71*Timing!$C$28*Timing!F76*Timing!F66*1</f>
        <v>0</v>
      </c>
      <c r="G324" s="23">
        <f>Inputs!$C$71*Timing!$C$28*Timing!G76*Timing!G66*1</f>
        <v>0</v>
      </c>
      <c r="H324" s="23">
        <f>Inputs!$C$71*Timing!$C$28*Timing!H76*Timing!H66*1</f>
        <v>0</v>
      </c>
      <c r="I324" s="23">
        <f>Inputs!$C$71*Timing!$C$28*Timing!I76*Timing!I66*1</f>
        <v>0</v>
      </c>
      <c r="J324" s="23">
        <f>Inputs!$C$71*Timing!$C$28*Timing!J76*Timing!J66*1</f>
        <v>0</v>
      </c>
      <c r="K324" s="23">
        <f>Inputs!$C$71*Timing!$C$28*Timing!K76*Timing!K66*1</f>
        <v>0</v>
      </c>
      <c r="L324" s="23">
        <f>Inputs!$C$71*Timing!$C$28*Timing!L76*Timing!L66*1</f>
        <v>0</v>
      </c>
      <c r="M324" s="23">
        <f>Inputs!$C$71*Timing!$C$28*Timing!M76*Timing!M66*1</f>
        <v>0</v>
      </c>
      <c r="N324" s="23">
        <f>Inputs!$C$71*Timing!$C$28*Timing!N76*Timing!N66*1</f>
        <v>0</v>
      </c>
      <c r="O324" s="23">
        <f>Inputs!$C$71*Timing!$C$28*Timing!O76*Timing!O66*1</f>
        <v>0</v>
      </c>
      <c r="P324" s="23">
        <f>Inputs!$C$71*Timing!$C$28*Timing!P76*Timing!P66*1</f>
        <v>0</v>
      </c>
      <c r="Q324" s="23">
        <f>Inputs!$C$71*Timing!$C$28*Timing!Q76*Timing!Q66*1</f>
        <v>0</v>
      </c>
      <c r="R324" s="23">
        <f>Inputs!$C$71*Timing!$C$28*Timing!R76*Timing!R66*1</f>
        <v>0</v>
      </c>
      <c r="S324" s="23">
        <f>Inputs!$C$71*Timing!$C$28*Timing!S76*Timing!S66*1</f>
        <v>0</v>
      </c>
      <c r="T324" s="23">
        <f>Inputs!$C$71*Timing!$C$28*Timing!T76*Timing!T66*1</f>
        <v>0</v>
      </c>
      <c r="U324" s="23">
        <f>Inputs!$C$71*Timing!$C$28*Timing!U76*Timing!U66*1</f>
        <v>0</v>
      </c>
      <c r="V324" s="23">
        <f>Inputs!$C$71*Timing!$C$28*Timing!V76*Timing!V66*1</f>
        <v>0</v>
      </c>
      <c r="W324" s="23">
        <f>Inputs!$C$71*Timing!$C$28*Timing!W76*Timing!W66*1</f>
        <v>0</v>
      </c>
      <c r="X324" s="23">
        <f>Inputs!$C$71*Timing!$C$28*Timing!X76*Timing!X66*1</f>
        <v>0</v>
      </c>
      <c r="Y324" s="23">
        <f>Inputs!$C$71*Timing!$C$28*Timing!Y76*Timing!Y66*1</f>
        <v>0</v>
      </c>
      <c r="Z324" s="23">
        <f>Inputs!$C$71*Timing!$C$28*Timing!Z76*Timing!Z66*1</f>
        <v>0</v>
      </c>
      <c r="AA324" s="23">
        <f>Inputs!$C$71*Timing!$C$28*Timing!AA76*Timing!AA66*1</f>
        <v>0</v>
      </c>
      <c r="AB324" s="23">
        <f>Inputs!$C$71*Timing!$C$28*Timing!AB76*Timing!AB66*1</f>
        <v>0</v>
      </c>
      <c r="AC324" s="23">
        <f>Inputs!$C$71*Timing!$C$28*Timing!AC76*Timing!AC66*1</f>
        <v>0</v>
      </c>
      <c r="AD324" s="23">
        <f>Inputs!$C$71*Timing!$C$28*Timing!AD76*Timing!AD66*1</f>
        <v>0</v>
      </c>
      <c r="AE324" s="23">
        <f>Inputs!$C$71*Timing!$C$28*Timing!AE76*Timing!AE66*1</f>
        <v>0</v>
      </c>
    </row>
    <row r="325">
      <c r="A325" s="41" t="inlineStr">
        <is>
          <t xml:space="preserve">Operating costs</t>
        </is>
      </c>
      <c r="B325" s="10" t="inlineStr">
        <is>
          <t xml:space="preserve">€</t>
        </is>
      </c>
      <c r="F325" s="42">
        <f>F314+F315+F316+F317+F320+F321+F322+F323+F324</f>
        <v>753282.4041976896</v>
      </c>
      <c r="G325" s="42">
        <f>G314+G315+G316+G317+G320+G321+G322+G323+G324</f>
        <v>1516605.1540657245</v>
      </c>
      <c r="H325" s="42">
        <f>H314+H315+H316+H317+H320+H321+H322+H323+H324</f>
        <v>1535215.7982685168</v>
      </c>
      <c r="I325" s="42">
        <f>I314+I315+I316+I317+I320+I321+I322+I323+I324</f>
        <v>1560907.387848279</v>
      </c>
      <c r="J325" s="42">
        <f>J314+J315+J316+J317+J320+J321+J322+J323+J324</f>
        <v>1588843.6244186263</v>
      </c>
      <c r="K325" s="42">
        <f>K314+K315+K316+K317+K320+K321+K322+K323+K324</f>
        <v>1617339.2680416347</v>
      </c>
      <c r="L325" s="42">
        <f>L314+L315+L316+L317+L320+L321+L322+L323+L324</f>
        <v>1646405.4070010537</v>
      </c>
      <c r="M325" s="42">
        <f>M314+M315+M316+M317+M320+M321+M322+M323+M324</f>
        <v>1676053.3497770955</v>
      </c>
      <c r="N325" s="42">
        <f>N314+N315+N316+N317+N320+N321+N322+N323+N324</f>
        <v>1706294.6294217315</v>
      </c>
      <c r="O325" s="42">
        <f>O314+O315+O316+O317+O320+O321+O322+O323+O324</f>
        <v>1737141.0080209821</v>
      </c>
      <c r="P325" s="42">
        <f>P314+P315+P316+P317+P320+P321+P322+P323+P324</f>
        <v>1892653.555757315</v>
      </c>
      <c r="Q325" s="42">
        <f>Q314+Q315+Q316+Q317+Q320+Q321+Q322+Q323+Q324</f>
        <v>1927227.3389958388</v>
      </c>
      <c r="R325" s="42">
        <f>R314+R315+R316+R317+R320+R321+R322+R323+R324</f>
        <v>1962492.547245519</v>
      </c>
      <c r="S325" s="42">
        <f>S314+S315+S316+S317+S320+S321+S322+S323+S324</f>
        <v>1998462.8975452257</v>
      </c>
      <c r="T325" s="42">
        <f>T314+T315+T316+T317+T320+T321+T322+T323+T324</f>
        <v>2035152.3794938654</v>
      </c>
      <c r="U325" s="42">
        <f>U314+U315+U316+U317+U320+U321+U322+U323+U324</f>
        <v>2072575.2606691548</v>
      </c>
      <c r="V325" s="42">
        <f>V314+V315+V316+V317+V320+V321+V322+V323+V324</f>
        <v>2110746.092154192</v>
      </c>
      <c r="W325" s="42">
        <f>W314+W315+W316+W317+W320+W321+W322+W323+W324</f>
        <v>2149679.7141739656</v>
      </c>
      <c r="X325" s="42">
        <f>X314+X315+X316+X317+X320+X321+X322+X323+X324</f>
        <v>2189391.261843996</v>
      </c>
      <c r="Y325" s="42">
        <f>Y314+Y315+Y316+Y317+Y320+Y321+Y322+Y323+Y324</f>
        <v>2229896.1710333275</v>
      </c>
      <c r="Z325" s="42">
        <f>Z314+Z315+Z316+Z317+Z320+Z321+Z322+Z323+Z324</f>
        <v>2351858.2534827716</v>
      </c>
      <c r="AA325" s="42">
        <f>AA314+AA315+AA316+AA317+AA320+AA321+AA322+AA323+AA324</f>
        <v>2395610.3877318366</v>
      </c>
      <c r="AB325" s="42">
        <f>AB314+AB315+AB316+AB317+AB320+AB321+AB322+AB323+AB324</f>
        <v>2470444.7839411967</v>
      </c>
      <c r="AC325" s="42">
        <f>AC314+AC315+AC316+AC317+AC320+AC321+AC322+AC323+AC324</f>
        <v>2515349.221985131</v>
      </c>
      <c r="AD325" s="42">
        <f>AD314+AD315+AD316+AD317+AD320+AD321+AD322+AD323+AD324</f>
        <v>2561128.3819640754</v>
      </c>
      <c r="AE325" s="42">
        <f>AE314+AE315+AE316+AE317+AE320+AE321+AE322+AE323+AE324</f>
        <v>1293182.6322206352</v>
      </c>
    </row>
    <row r="326">
      <c r="A326" s="6" t="inlineStr">
        <is>
          <t xml:space="preserve">§ 6 refund (up to 0.2 ct/kWh, years with a premium)</t>
        </is>
      </c>
      <c r="B326" s="10" t="inlineStr">
        <is>
          <t xml:space="preserve">€</t>
        </is>
      </c>
      <c r="F326" s="23">
        <f>Timing!$C$32*F296*F301</f>
        <v>0</v>
      </c>
      <c r="G326" s="23">
        <f>Timing!$C$32*G296*G301</f>
        <v>0</v>
      </c>
      <c r="H326" s="23">
        <f>Timing!$C$32*H296*H301</f>
        <v>0</v>
      </c>
      <c r="I326" s="23">
        <f>Timing!$C$32*I296*I301</f>
        <v>0</v>
      </c>
      <c r="J326" s="23">
        <f>Timing!$C$32*J296*J301</f>
        <v>0</v>
      </c>
      <c r="K326" s="23">
        <f>Timing!$C$32*K296*K301</f>
        <v>0</v>
      </c>
      <c r="L326" s="23">
        <f>Timing!$C$32*L296*L301</f>
        <v>0</v>
      </c>
      <c r="M326" s="23">
        <f>Timing!$C$32*M296*M301</f>
        <v>0</v>
      </c>
      <c r="N326" s="23">
        <f>Timing!$C$32*N296*N301</f>
        <v>0</v>
      </c>
      <c r="O326" s="23">
        <f>Timing!$C$32*O296*O301</f>
        <v>0</v>
      </c>
      <c r="P326" s="23">
        <f>Timing!$C$32*P296*P301</f>
        <v>0</v>
      </c>
      <c r="Q326" s="23">
        <f>Timing!$C$32*Q296*Q301</f>
        <v>0</v>
      </c>
      <c r="R326" s="23">
        <f>Timing!$C$32*R296*R301</f>
        <v>0</v>
      </c>
      <c r="S326" s="23">
        <f>Timing!$C$32*S296*S301</f>
        <v>0</v>
      </c>
      <c r="T326" s="23">
        <f>Timing!$C$32*T296*T301</f>
        <v>0</v>
      </c>
      <c r="U326" s="23">
        <f>Timing!$C$32*U296*U301</f>
        <v>0</v>
      </c>
      <c r="V326" s="23">
        <f>Timing!$C$32*V296*V301</f>
        <v>0</v>
      </c>
      <c r="W326" s="23">
        <f>Timing!$C$32*W296*W301</f>
        <v>0</v>
      </c>
      <c r="X326" s="23">
        <f>Timing!$C$32*X296*X301</f>
        <v>0</v>
      </c>
      <c r="Y326" s="23">
        <f>Timing!$C$32*Y296*Y301</f>
        <v>0</v>
      </c>
      <c r="Z326" s="23">
        <f>Timing!$C$32*Z296*Z301</f>
        <v>0</v>
      </c>
      <c r="AA326" s="23">
        <f>Timing!$C$32*AA296*AA301</f>
        <v>0</v>
      </c>
      <c r="AB326" s="23">
        <f>Timing!$C$32*AB296*AB301</f>
        <v>0</v>
      </c>
      <c r="AC326" s="23">
        <f>Timing!$C$32*AC296*AC301</f>
        <v>0</v>
      </c>
      <c r="AD326" s="23">
        <f>Timing!$C$32*AD296*AD301</f>
        <v>0</v>
      </c>
      <c r="AE326" s="23">
        <f>Timing!$C$32*AE296*AE301</f>
        <v>0</v>
      </c>
    </row>
    <row r="327">
      <c r="A327" s="41" t="inlineStr">
        <is>
          <t xml:space="preserve">EBITDA</t>
        </is>
      </c>
      <c r="B327" s="10" t="inlineStr">
        <is>
          <t xml:space="preserve">€</t>
        </is>
      </c>
      <c r="F327" s="42">
        <f>F311+F326-F325</f>
        <v>1178763.1188073128</v>
      </c>
      <c r="G327" s="42">
        <f>G311+G326-G325</f>
        <v>2318799.2160266195</v>
      </c>
      <c r="H327" s="42">
        <f>H311+H326-H325</f>
        <v>2292517.7630836423</v>
      </c>
      <c r="I327" s="42">
        <f>I311+I326-I325</f>
        <v>2259170.7063811766</v>
      </c>
      <c r="J327" s="42">
        <f>J311+J326-J325</f>
        <v>2223594.3136223694</v>
      </c>
      <c r="K327" s="42">
        <f>K311+K326-K325</f>
        <v>2187473.79412328</v>
      </c>
      <c r="L327" s="42">
        <f>L311+L326-L325</f>
        <v>2150798.029039531</v>
      </c>
      <c r="M327" s="42">
        <f>M311+M326-M325</f>
        <v>2113555.679391408</v>
      </c>
      <c r="N327" s="42">
        <f>N311+N326-N325</f>
        <v>2075735.181688434</v>
      </c>
      <c r="O327" s="42">
        <f>O311+O326-O325</f>
        <v>2037324.743466964</v>
      </c>
      <c r="P327" s="42">
        <f>P311+P326-P325</f>
        <v>1874263.2642276543</v>
      </c>
      <c r="Q327" s="42">
        <f>Q311+Q326-Q325</f>
        <v>1832155.6473491613</v>
      </c>
      <c r="R327" s="42">
        <f>R311+R326-R325</f>
        <v>1789371.673126791</v>
      </c>
      <c r="S327" s="42">
        <f>S311+S326-S325</f>
        <v>1745897.5943863404</v>
      </c>
      <c r="T327" s="42">
        <f>T311+T326-T325</f>
        <v>1701719.3914538368</v>
      </c>
      <c r="U327" s="42">
        <f>U311+U326-U325</f>
        <v>1656822.766736652</v>
      </c>
      <c r="V327" s="42">
        <f>V311+V326-V325</f>
        <v>1611193.1391968029</v>
      </c>
      <c r="W327" s="42">
        <f>W311+W326-W325</f>
        <v>1564815.638714327</v>
      </c>
      <c r="X327" s="42">
        <f>X311+X326-X325</f>
        <v>1517675.1003385205</v>
      </c>
      <c r="Y327" s="42">
        <f>Y311+Y326-Y325</f>
        <v>1469756.058424824</v>
      </c>
      <c r="Z327" s="42">
        <f>Z311+Z326-Z325</f>
        <v>1340394.6715164636</v>
      </c>
      <c r="AA327" s="42">
        <f>AA311+AA326-AA325</f>
        <v>1801626.6672828482</v>
      </c>
      <c r="AB327" s="42">
        <f>AB311+AB326-AB325</f>
        <v>3494247.284183878</v>
      </c>
      <c r="AC327" s="42">
        <f>AC311+AC326-AC325</f>
        <v>3556468.715683471</v>
      </c>
      <c r="AD327" s="42">
        <f>AD311+AD326-AD325</f>
        <v>3619739.4058650546</v>
      </c>
      <c r="AE327" s="42">
        <f>AE311+AE326-AE325</f>
        <v>1826898.429058916</v>
      </c>
    </row>
    <row r="328">
      <c r="A328" s="6" t="inlineStr">
        <is>
          <t xml:space="preserve">Market and PPA sales billed</t>
        </is>
      </c>
      <c r="B328" s="10" t="inlineStr">
        <is>
          <t xml:space="preserve">€</t>
        </is>
      </c>
      <c r="F328" s="23">
        <f>F303+F310</f>
        <v>1932045.5230050024</v>
      </c>
      <c r="G328" s="23">
        <f>G303+G310</f>
        <v>3835404.370092344</v>
      </c>
      <c r="H328" s="23">
        <f>H303+H310</f>
        <v>3827733.5613521594</v>
      </c>
      <c r="I328" s="23">
        <f>I303+I310</f>
        <v>3820078.0942294556</v>
      </c>
      <c r="J328" s="23">
        <f>J303+J310</f>
        <v>3812437.9380409955</v>
      </c>
      <c r="K328" s="23">
        <f>K303+K310</f>
        <v>3804813.0621649143</v>
      </c>
      <c r="L328" s="23">
        <f>L303+L310</f>
        <v>3797203.4360405845</v>
      </c>
      <c r="M328" s="23">
        <f>M303+M310</f>
        <v>3789609.0291685034</v>
      </c>
      <c r="N328" s="23">
        <f>N303+N310</f>
        <v>3782029.8111101654</v>
      </c>
      <c r="O328" s="23">
        <f>O303+O310</f>
        <v>3774465.751487946</v>
      </c>
      <c r="P328" s="23">
        <f>P303+P310</f>
        <v>3766916.819984969</v>
      </c>
      <c r="Q328" s="23">
        <f>Q303+Q310</f>
        <v>3759382.986345</v>
      </c>
      <c r="R328" s="23">
        <f>R303+R310</f>
        <v>3751864.22037231</v>
      </c>
      <c r="S328" s="23">
        <f>S303+S310</f>
        <v>3744360.491931566</v>
      </c>
      <c r="T328" s="23">
        <f>T303+T310</f>
        <v>3736871.770947702</v>
      </c>
      <c r="U328" s="23">
        <f>U303+U310</f>
        <v>3729398.027405807</v>
      </c>
      <c r="V328" s="23">
        <f>V303+V310</f>
        <v>3721939.2313509947</v>
      </c>
      <c r="W328" s="23">
        <f>W303+W310</f>
        <v>3714495.3528882926</v>
      </c>
      <c r="X328" s="23">
        <f>X303+X310</f>
        <v>3707066.3621825166</v>
      </c>
      <c r="Y328" s="23">
        <f>Y303+Y310</f>
        <v>3699652.2294581514</v>
      </c>
      <c r="Z328" s="23">
        <f>Z303+Z310</f>
        <v>3692252.924999235</v>
      </c>
      <c r="AA328" s="23">
        <f>AA303+AA310</f>
        <v>4197237.055014685</v>
      </c>
      <c r="AB328" s="23">
        <f>AB303+AB310</f>
        <v>5964692.068125075</v>
      </c>
      <c r="AC328" s="23">
        <f>AC303+AC310</f>
        <v>6071817.937668602</v>
      </c>
      <c r="AD328" s="23">
        <f>AD303+AD310</f>
        <v>6180867.78782913</v>
      </c>
      <c r="AE328" s="23">
        <f>AE303+AE310</f>
        <v>3120081.061279551</v>
      </c>
    </row>
    <row r="329">
      <c r="A329" s="6" t="inlineStr">
        <is>
          <t xml:space="preserve">Premium and § 6 refund still due after the advances</t>
        </is>
      </c>
      <c r="B329" s="10" t="inlineStr">
        <is>
          <t xml:space="preserve">€</t>
        </is>
      </c>
      <c r="F329" s="23">
        <f>F308-F312+F326</f>
        <v>0</v>
      </c>
      <c r="G329" s="23">
        <f>G308-G312+G326</f>
        <v>0</v>
      </c>
      <c r="H329" s="23">
        <f>H308-H312+H326</f>
        <v>0</v>
      </c>
      <c r="I329" s="23">
        <f>I308-I312+I326</f>
        <v>0</v>
      </c>
      <c r="J329" s="23">
        <f>J308-J312+J326</f>
        <v>0</v>
      </c>
      <c r="K329" s="23">
        <f>K308-K312+K326</f>
        <v>0</v>
      </c>
      <c r="L329" s="23">
        <f>L308-L312+L326</f>
        <v>0</v>
      </c>
      <c r="M329" s="23">
        <f>M308-M312+M326</f>
        <v>0</v>
      </c>
      <c r="N329" s="23">
        <f>N308-N312+N326</f>
        <v>0</v>
      </c>
      <c r="O329" s="23">
        <f>O308-O312+O326</f>
        <v>0</v>
      </c>
      <c r="P329" s="23">
        <f>P308-P312+P326</f>
        <v>0</v>
      </c>
      <c r="Q329" s="23">
        <f>Q308-Q312+Q326</f>
        <v>0</v>
      </c>
      <c r="R329" s="23">
        <f>R308-R312+R326</f>
        <v>0</v>
      </c>
      <c r="S329" s="23">
        <f>S308-S312+S326</f>
        <v>0</v>
      </c>
      <c r="T329" s="23">
        <f>T308-T312+T326</f>
        <v>0</v>
      </c>
      <c r="U329" s="23">
        <f>U308-U312+U326</f>
        <v>0</v>
      </c>
      <c r="V329" s="23">
        <f>V308-V312+V326</f>
        <v>0</v>
      </c>
      <c r="W329" s="23">
        <f>W308-W312+W326</f>
        <v>0</v>
      </c>
      <c r="X329" s="23">
        <f>X308-X312+X326</f>
        <v>0</v>
      </c>
      <c r="Y329" s="23">
        <f>Y308-Y312+Y326</f>
        <v>0</v>
      </c>
      <c r="Z329" s="23">
        <f>Z308-Z312+Z326</f>
        <v>0</v>
      </c>
      <c r="AA329" s="23">
        <f>AA308-AA312+AA326</f>
        <v>0</v>
      </c>
      <c r="AB329" s="23">
        <f>AB308-AB312+AB326</f>
        <v>0</v>
      </c>
      <c r="AC329" s="23">
        <f>AC308-AC312+AC326</f>
        <v>0</v>
      </c>
      <c r="AD329" s="23">
        <f>AD308-AD312+AD326</f>
        <v>0</v>
      </c>
      <c r="AE329" s="23">
        <f>AE308-AE312+AE326</f>
        <v>0</v>
      </c>
    </row>
    <row r="330">
      <c r="A330" s="6" t="inlineStr">
        <is>
          <t xml:space="preserve">Receivables: market sales</t>
        </is>
      </c>
      <c r="B330" s="10" t="inlineStr">
        <is>
          <t xml:space="preserve">€</t>
        </is>
      </c>
      <c r="F330" s="23">
        <f>IF(Timing!F72=1,0,IF(Timing!F64&gt;0,MIN(F328,F328/Timing!F64*Inputs!$C$36),0))</f>
        <v>315007.4222290765</v>
      </c>
      <c r="G330" s="23">
        <f>IF(Timing!G72=1,0,IF(Timing!G64&gt;0,MIN(G328,G328/Timing!G64*Inputs!$C$36),0))</f>
        <v>315238.71535005566</v>
      </c>
      <c r="H330" s="23">
        <f>IF(Timing!H72=1,0,IF(Timing!H64&gt;0,MIN(H328,H328/Timing!H64*Inputs!$C$36),0))</f>
        <v>314608.23791935557</v>
      </c>
      <c r="I330" s="23">
        <f>IF(Timing!I72=1,0,IF(Timing!I64&gt;0,MIN(I328,I328/Timing!I64*Inputs!$C$36),0))</f>
        <v>313979.02144351695</v>
      </c>
      <c r="J330" s="23">
        <f>IF(Timing!J72=1,0,IF(Timing!J64&gt;0,MIN(J328,J328/Timing!J64*Inputs!$C$36),0))</f>
        <v>312494.91295418</v>
      </c>
      <c r="K330" s="23">
        <f>IF(Timing!K72=1,0,IF(Timing!K64&gt;0,MIN(K328,K328/Timing!K64*Inputs!$C$36),0))</f>
        <v>312724.36127382854</v>
      </c>
      <c r="L330" s="23">
        <f>IF(Timing!L72=1,0,IF(Timing!L64&gt;0,MIN(L328,L328/Timing!L64*Inputs!$C$36),0))</f>
        <v>312098.9125512809</v>
      </c>
      <c r="M330" s="23">
        <f>IF(Timing!M72=1,0,IF(Timing!M64&gt;0,MIN(M328,M328/Timing!M64*Inputs!$C$36),0))</f>
        <v>311474.7147261783</v>
      </c>
      <c r="N330" s="23">
        <f>IF(Timing!N72=1,0,IF(Timing!N64&gt;0,MIN(N328,N328/Timing!N64*Inputs!$C$36),0))</f>
        <v>310002.4435336201</v>
      </c>
      <c r="O330" s="23">
        <f>IF(Timing!O72=1,0,IF(Timing!O64&gt;0,MIN(O328,O328/Timing!O64*Inputs!$C$36),0))</f>
        <v>310230.06176613254</v>
      </c>
      <c r="P330" s="23">
        <f>IF(Timing!P72=1,0,IF(Timing!P64&gt;0,MIN(P328,P328/Timing!P64*Inputs!$C$36),0))</f>
        <v>309609.6016426002</v>
      </c>
      <c r="Q330" s="23">
        <f>IF(Timing!Q72=1,0,IF(Timing!Q64&gt;0,MIN(Q328,Q328/Timing!Q64*Inputs!$C$36),0))</f>
        <v>308990.382439315</v>
      </c>
      <c r="R330" s="23">
        <f>IF(Timing!R72=1,0,IF(Timing!R64&gt;0,MIN(R328,R328/Timing!R64*Inputs!$C$36),0))</f>
        <v>307529.85412887787</v>
      </c>
      <c r="S330" s="23">
        <f>IF(Timing!S72=1,0,IF(Timing!S64&gt;0,MIN(S328,S328/Timing!S64*Inputs!$C$36),0))</f>
        <v>307755.6568710876</v>
      </c>
      <c r="T330" s="23">
        <f>IF(Timing!T72=1,0,IF(Timing!T64&gt;0,MIN(T328,T328/Timing!T64*Inputs!$C$36),0))</f>
        <v>307140.1455573454</v>
      </c>
      <c r="U330" s="23">
        <f>IF(Timing!U72=1,0,IF(Timing!U64&gt;0,MIN(U328,U328/Timing!U64*Inputs!$C$36),0))</f>
        <v>306525.8652662307</v>
      </c>
      <c r="V330" s="23">
        <f>IF(Timing!V72=1,0,IF(Timing!V64&gt;0,MIN(V328,V328/Timing!V64*Inputs!$C$36),0))</f>
        <v>305076.98617631104</v>
      </c>
      <c r="W330" s="23">
        <f>IF(Timing!W72=1,0,IF(Timing!W64&gt;0,MIN(W328,W328/Timing!W64*Inputs!$C$36),0))</f>
        <v>305300.9879086268</v>
      </c>
      <c r="X330" s="23">
        <f>IF(Timing!X72=1,0,IF(Timing!X64&gt;0,MIN(X328,X328/Timing!X64*Inputs!$C$36),0))</f>
        <v>304690.3859328096</v>
      </c>
      <c r="Y330" s="23">
        <f>IF(Timing!Y72=1,0,IF(Timing!Y64&gt;0,MIN(Y328,Y328/Timing!Y64*Inputs!$C$36),0))</f>
        <v>304081.00516094395</v>
      </c>
      <c r="Z330" s="23">
        <f>IF(Timing!Z72=1,0,IF(Timing!Z64&gt;0,MIN(Z328,Z328/Timing!Z64*Inputs!$C$36),0))</f>
        <v>302643.6823769865</v>
      </c>
      <c r="AA330" s="23">
        <f>IF(Timing!AA72=1,0,IF(Timing!AA64&gt;0,MIN(AA328,AA328/Timing!AA64*Inputs!$C$36),0))</f>
        <v>344978.38808339875</v>
      </c>
      <c r="AB330" s="23">
        <f>IF(Timing!AB72=1,0,IF(Timing!AB64&gt;0,MIN(AB328,AB328/Timing!AB64*Inputs!$C$36),0))</f>
        <v>490248.6631335678</v>
      </c>
      <c r="AC330" s="23">
        <f>IF(Timing!AC72=1,0,IF(Timing!AC64&gt;0,MIN(AC328,AC328/Timing!AC64*Inputs!$C$36),0))</f>
        <v>499053.52912344673</v>
      </c>
      <c r="AD330" s="23">
        <f>IF(Timing!AD72=1,0,IF(Timing!AD64&gt;0,MIN(AD328,AD328/Timing!AD64*Inputs!$C$36),0))</f>
        <v>506628.50719910895</v>
      </c>
      <c r="AE330" s="23">
        <f>IF(Timing!AE72=1,0,IF(Timing!AE64&gt;0,MIN(AE328,AE328/Timing!AE64*Inputs!$C$36),0))</f>
        <v>0</v>
      </c>
    </row>
    <row r="331">
      <c r="A331" s="6" t="inlineStr">
        <is>
          <t xml:space="preserve">Receivables: December advance (paid on 15 January)</t>
        </is>
      </c>
      <c r="B331" s="10" t="inlineStr">
        <is>
          <t xml:space="preserve">€</t>
        </is>
      </c>
      <c r="F331" s="23">
        <f>IF(OR(Timing!F72=1,Timing!$C$31=0,Timing!$C$11&lt;=DATE(Timing!F59,12,1)),0,F312/Timing!F67)</f>
        <v>0</v>
      </c>
      <c r="G331" s="23">
        <f>IF(OR(Timing!G72=1,Timing!$C$31=0,Timing!$C$11&lt;=DATE(Timing!G59,12,1)),0,G312/Timing!G67)</f>
        <v>0</v>
      </c>
      <c r="H331" s="23">
        <f>IF(OR(Timing!H72=1,Timing!$C$31=0,Timing!$C$11&lt;=DATE(Timing!H59,12,1)),0,H312/Timing!H67)</f>
        <v>0</v>
      </c>
      <c r="I331" s="23">
        <f>IF(OR(Timing!I72=1,Timing!$C$31=0,Timing!$C$11&lt;=DATE(Timing!I59,12,1)),0,I312/Timing!I67)</f>
        <v>0</v>
      </c>
      <c r="J331" s="23">
        <f>IF(OR(Timing!J72=1,Timing!$C$31=0,Timing!$C$11&lt;=DATE(Timing!J59,12,1)),0,J312/Timing!J67)</f>
        <v>0</v>
      </c>
      <c r="K331" s="23">
        <f>IF(OR(Timing!K72=1,Timing!$C$31=0,Timing!$C$11&lt;=DATE(Timing!K59,12,1)),0,K312/Timing!K67)</f>
        <v>0</v>
      </c>
      <c r="L331" s="23">
        <f>IF(OR(Timing!L72=1,Timing!$C$31=0,Timing!$C$11&lt;=DATE(Timing!L59,12,1)),0,L312/Timing!L67)</f>
        <v>0</v>
      </c>
      <c r="M331" s="23">
        <f>IF(OR(Timing!M72=1,Timing!$C$31=0,Timing!$C$11&lt;=DATE(Timing!M59,12,1)),0,M312/Timing!M67)</f>
        <v>0</v>
      </c>
      <c r="N331" s="23">
        <f>IF(OR(Timing!N72=1,Timing!$C$31=0,Timing!$C$11&lt;=DATE(Timing!N59,12,1)),0,N312/Timing!N67)</f>
        <v>0</v>
      </c>
      <c r="O331" s="23">
        <f>IF(OR(Timing!O72=1,Timing!$C$31=0,Timing!$C$11&lt;=DATE(Timing!O59,12,1)),0,O312/Timing!O67)</f>
        <v>0</v>
      </c>
      <c r="P331" s="23">
        <f>IF(OR(Timing!P72=1,Timing!$C$31=0,Timing!$C$11&lt;=DATE(Timing!P59,12,1)),0,P312/Timing!P67)</f>
        <v>0</v>
      </c>
      <c r="Q331" s="23">
        <f>IF(OR(Timing!Q72=1,Timing!$C$31=0,Timing!$C$11&lt;=DATE(Timing!Q59,12,1)),0,Q312/Timing!Q67)</f>
        <v>0</v>
      </c>
      <c r="R331" s="23">
        <f>IF(OR(Timing!R72=1,Timing!$C$31=0,Timing!$C$11&lt;=DATE(Timing!R59,12,1)),0,R312/Timing!R67)</f>
        <v>0</v>
      </c>
      <c r="S331" s="23">
        <f>IF(OR(Timing!S72=1,Timing!$C$31=0,Timing!$C$11&lt;=DATE(Timing!S59,12,1)),0,S312/Timing!S67)</f>
        <v>0</v>
      </c>
      <c r="T331" s="23">
        <f>IF(OR(Timing!T72=1,Timing!$C$31=0,Timing!$C$11&lt;=DATE(Timing!T59,12,1)),0,T312/Timing!T67)</f>
        <v>0</v>
      </c>
      <c r="U331" s="23">
        <f>IF(OR(Timing!U72=1,Timing!$C$31=0,Timing!$C$11&lt;=DATE(Timing!U59,12,1)),0,U312/Timing!U67)</f>
        <v>0</v>
      </c>
      <c r="V331" s="23">
        <f>IF(OR(Timing!V72=1,Timing!$C$31=0,Timing!$C$11&lt;=DATE(Timing!V59,12,1)),0,V312/Timing!V67)</f>
        <v>0</v>
      </c>
      <c r="W331" s="23">
        <f>IF(OR(Timing!W72=1,Timing!$C$31=0,Timing!$C$11&lt;=DATE(Timing!W59,12,1)),0,W312/Timing!W67)</f>
        <v>0</v>
      </c>
      <c r="X331" s="23">
        <f>IF(OR(Timing!X72=1,Timing!$C$31=0,Timing!$C$11&lt;=DATE(Timing!X59,12,1)),0,X312/Timing!X67)</f>
        <v>0</v>
      </c>
      <c r="Y331" s="23">
        <f>IF(OR(Timing!Y72=1,Timing!$C$31=0,Timing!$C$11&lt;=DATE(Timing!Y59,12,1)),0,Y312/Timing!Y67)</f>
        <v>0</v>
      </c>
      <c r="Z331" s="23">
        <f>IF(OR(Timing!Z72=1,Timing!$C$31=0,Timing!$C$11&lt;=DATE(Timing!Z59,12,1)),0,Z312/Timing!Z67)</f>
        <v>0</v>
      </c>
      <c r="AA331" s="23">
        <f>IF(OR(Timing!AA72=1,Timing!$C$31=0,Timing!$C$11&lt;=DATE(Timing!AA59,12,1)),0,AA312/Timing!AA67)</f>
        <v>0</v>
      </c>
      <c r="AB331" s="23">
        <f>IF(OR(Timing!AB72=1,Timing!$C$31=0,Timing!$C$11&lt;=DATE(Timing!AB59,12,1)),0,AB312/Timing!AB67)</f>
        <v>0</v>
      </c>
      <c r="AC331" s="23">
        <f>IF(OR(Timing!AC72=1,Timing!$C$31=0,Timing!$C$11&lt;=DATE(Timing!AC59,12,1)),0,AC312/Timing!AC67)</f>
        <v>0</v>
      </c>
      <c r="AD331" s="23">
        <f>IF(OR(Timing!AD72=1,Timing!$C$31=0,Timing!$C$11&lt;=DATE(Timing!AD59,12,1)),0,AD312/Timing!AD67)</f>
        <v>0</v>
      </c>
      <c r="AE331" s="23">
        <f>IF(OR(Timing!AE72=1,Timing!$C$31=0,Timing!$C$11&lt;=DATE(Timing!AE59,12,1)),0,AE312/Timing!AE67)</f>
        <v>0</v>
      </c>
    </row>
    <row r="332">
      <c r="A332" s="6" t="inlineStr">
        <is>
          <t xml:space="preserve">Receivables: premium and § 6 refund awaiting the final settlement</t>
        </is>
      </c>
      <c r="B332" s="10" t="inlineStr">
        <is>
          <t xml:space="preserve">€</t>
        </is>
      </c>
      <c r="F332" s="23">
        <f>IF(OR(Timing!F72=1,Timing!$C$31=0),0,SUMIFS($F$329:$AE$329,Timing!$F$59:$AE$59,"&gt;"&amp;(Timing!F59-Timing!$C$31),Timing!$F$59:$AE$59,"&lt;="&amp;Timing!F59))</f>
        <v>0</v>
      </c>
      <c r="G332" s="23">
        <f>IF(OR(Timing!G72=1,Timing!$C$31=0),0,SUMIFS($F$329:$AE$329,Timing!$F$59:$AE$59,"&gt;"&amp;(Timing!G59-Timing!$C$31),Timing!$F$59:$AE$59,"&lt;="&amp;Timing!G59))</f>
        <v>0</v>
      </c>
      <c r="H332" s="23">
        <f>IF(OR(Timing!H72=1,Timing!$C$31=0),0,SUMIFS($F$329:$AE$329,Timing!$F$59:$AE$59,"&gt;"&amp;(Timing!H59-Timing!$C$31),Timing!$F$59:$AE$59,"&lt;="&amp;Timing!H59))</f>
        <v>0</v>
      </c>
      <c r="I332" s="23">
        <f>IF(OR(Timing!I72=1,Timing!$C$31=0),0,SUMIFS($F$329:$AE$329,Timing!$F$59:$AE$59,"&gt;"&amp;(Timing!I59-Timing!$C$31),Timing!$F$59:$AE$59,"&lt;="&amp;Timing!I59))</f>
        <v>0</v>
      </c>
      <c r="J332" s="23">
        <f>IF(OR(Timing!J72=1,Timing!$C$31=0),0,SUMIFS($F$329:$AE$329,Timing!$F$59:$AE$59,"&gt;"&amp;(Timing!J59-Timing!$C$31),Timing!$F$59:$AE$59,"&lt;="&amp;Timing!J59))</f>
        <v>0</v>
      </c>
      <c r="K332" s="23">
        <f>IF(OR(Timing!K72=1,Timing!$C$31=0),0,SUMIFS($F$329:$AE$329,Timing!$F$59:$AE$59,"&gt;"&amp;(Timing!K59-Timing!$C$31),Timing!$F$59:$AE$59,"&lt;="&amp;Timing!K59))</f>
        <v>0</v>
      </c>
      <c r="L332" s="23">
        <f>IF(OR(Timing!L72=1,Timing!$C$31=0),0,SUMIFS($F$329:$AE$329,Timing!$F$59:$AE$59,"&gt;"&amp;(Timing!L59-Timing!$C$31),Timing!$F$59:$AE$59,"&lt;="&amp;Timing!L59))</f>
        <v>0</v>
      </c>
      <c r="M332" s="23">
        <f>IF(OR(Timing!M72=1,Timing!$C$31=0),0,SUMIFS($F$329:$AE$329,Timing!$F$59:$AE$59,"&gt;"&amp;(Timing!M59-Timing!$C$31),Timing!$F$59:$AE$59,"&lt;="&amp;Timing!M59))</f>
        <v>0</v>
      </c>
      <c r="N332" s="23">
        <f>IF(OR(Timing!N72=1,Timing!$C$31=0),0,SUMIFS($F$329:$AE$329,Timing!$F$59:$AE$59,"&gt;"&amp;(Timing!N59-Timing!$C$31),Timing!$F$59:$AE$59,"&lt;="&amp;Timing!N59))</f>
        <v>0</v>
      </c>
      <c r="O332" s="23">
        <f>IF(OR(Timing!O72=1,Timing!$C$31=0),0,SUMIFS($F$329:$AE$329,Timing!$F$59:$AE$59,"&gt;"&amp;(Timing!O59-Timing!$C$31),Timing!$F$59:$AE$59,"&lt;="&amp;Timing!O59))</f>
        <v>0</v>
      </c>
      <c r="P332" s="23">
        <f>IF(OR(Timing!P72=1,Timing!$C$31=0),0,SUMIFS($F$329:$AE$329,Timing!$F$59:$AE$59,"&gt;"&amp;(Timing!P59-Timing!$C$31),Timing!$F$59:$AE$59,"&lt;="&amp;Timing!P59))</f>
        <v>0</v>
      </c>
      <c r="Q332" s="23">
        <f>IF(OR(Timing!Q72=1,Timing!$C$31=0),0,SUMIFS($F$329:$AE$329,Timing!$F$59:$AE$59,"&gt;"&amp;(Timing!Q59-Timing!$C$31),Timing!$F$59:$AE$59,"&lt;="&amp;Timing!Q59))</f>
        <v>0</v>
      </c>
      <c r="R332" s="23">
        <f>IF(OR(Timing!R72=1,Timing!$C$31=0),0,SUMIFS($F$329:$AE$329,Timing!$F$59:$AE$59,"&gt;"&amp;(Timing!R59-Timing!$C$31),Timing!$F$59:$AE$59,"&lt;="&amp;Timing!R59))</f>
        <v>0</v>
      </c>
      <c r="S332" s="23">
        <f>IF(OR(Timing!S72=1,Timing!$C$31=0),0,SUMIFS($F$329:$AE$329,Timing!$F$59:$AE$59,"&gt;"&amp;(Timing!S59-Timing!$C$31),Timing!$F$59:$AE$59,"&lt;="&amp;Timing!S59))</f>
        <v>0</v>
      </c>
      <c r="T332" s="23">
        <f>IF(OR(Timing!T72=1,Timing!$C$31=0),0,SUMIFS($F$329:$AE$329,Timing!$F$59:$AE$59,"&gt;"&amp;(Timing!T59-Timing!$C$31),Timing!$F$59:$AE$59,"&lt;="&amp;Timing!T59))</f>
        <v>0</v>
      </c>
      <c r="U332" s="23">
        <f>IF(OR(Timing!U72=1,Timing!$C$31=0),0,SUMIFS($F$329:$AE$329,Timing!$F$59:$AE$59,"&gt;"&amp;(Timing!U59-Timing!$C$31),Timing!$F$59:$AE$59,"&lt;="&amp;Timing!U59))</f>
        <v>0</v>
      </c>
      <c r="V332" s="23">
        <f>IF(OR(Timing!V72=1,Timing!$C$31=0),0,SUMIFS($F$329:$AE$329,Timing!$F$59:$AE$59,"&gt;"&amp;(Timing!V59-Timing!$C$31),Timing!$F$59:$AE$59,"&lt;="&amp;Timing!V59))</f>
        <v>0</v>
      </c>
      <c r="W332" s="23">
        <f>IF(OR(Timing!W72=1,Timing!$C$31=0),0,SUMIFS($F$329:$AE$329,Timing!$F$59:$AE$59,"&gt;"&amp;(Timing!W59-Timing!$C$31),Timing!$F$59:$AE$59,"&lt;="&amp;Timing!W59))</f>
        <v>0</v>
      </c>
      <c r="X332" s="23">
        <f>IF(OR(Timing!X72=1,Timing!$C$31=0),0,SUMIFS($F$329:$AE$329,Timing!$F$59:$AE$59,"&gt;"&amp;(Timing!X59-Timing!$C$31),Timing!$F$59:$AE$59,"&lt;="&amp;Timing!X59))</f>
        <v>0</v>
      </c>
      <c r="Y332" s="23">
        <f>IF(OR(Timing!Y72=1,Timing!$C$31=0),0,SUMIFS($F$329:$AE$329,Timing!$F$59:$AE$59,"&gt;"&amp;(Timing!Y59-Timing!$C$31),Timing!$F$59:$AE$59,"&lt;="&amp;Timing!Y59))</f>
        <v>0</v>
      </c>
      <c r="Z332" s="23">
        <f>IF(OR(Timing!Z72=1,Timing!$C$31=0),0,SUMIFS($F$329:$AE$329,Timing!$F$59:$AE$59,"&gt;"&amp;(Timing!Z59-Timing!$C$31),Timing!$F$59:$AE$59,"&lt;="&amp;Timing!Z59))</f>
        <v>0</v>
      </c>
      <c r="AA332" s="23">
        <f>IF(OR(Timing!AA72=1,Timing!$C$31=0),0,SUMIFS($F$329:$AE$329,Timing!$F$59:$AE$59,"&gt;"&amp;(Timing!AA59-Timing!$C$31),Timing!$F$59:$AE$59,"&lt;="&amp;Timing!AA59))</f>
        <v>0</v>
      </c>
      <c r="AB332" s="23">
        <f>IF(OR(Timing!AB72=1,Timing!$C$31=0),0,SUMIFS($F$329:$AE$329,Timing!$F$59:$AE$59,"&gt;"&amp;(Timing!AB59-Timing!$C$31),Timing!$F$59:$AE$59,"&lt;="&amp;Timing!AB59))</f>
        <v>0</v>
      </c>
      <c r="AC332" s="23">
        <f>IF(OR(Timing!AC72=1,Timing!$C$31=0),0,SUMIFS($F$329:$AE$329,Timing!$F$59:$AE$59,"&gt;"&amp;(Timing!AC59-Timing!$C$31),Timing!$F$59:$AE$59,"&lt;="&amp;Timing!AC59))</f>
        <v>0</v>
      </c>
      <c r="AD332" s="23">
        <f>IF(OR(Timing!AD72=1,Timing!$C$31=0),0,SUMIFS($F$329:$AE$329,Timing!$F$59:$AE$59,"&gt;"&amp;(Timing!AD59-Timing!$C$31),Timing!$F$59:$AE$59,"&lt;="&amp;Timing!AD59))</f>
        <v>0</v>
      </c>
      <c r="AE332" s="23">
        <f>IF(OR(Timing!AE72=1,Timing!$C$31=0),0,SUMIFS($F$329:$AE$329,Timing!$F$59:$AE$59,"&gt;"&amp;(Timing!AE59-Timing!$C$31),Timing!$F$59:$AE$59,"&lt;="&amp;Timing!AE59))</f>
        <v>0</v>
      </c>
    </row>
    <row r="333">
      <c r="A333" s="6" t="inlineStr">
        <is>
          <t xml:space="preserve">Receivables: premium</t>
        </is>
      </c>
      <c r="B333" s="10" t="inlineStr">
        <is>
          <t xml:space="preserve">€</t>
        </is>
      </c>
      <c r="F333" s="23">
        <f>F331+F332</f>
        <v>0</v>
      </c>
      <c r="G333" s="23">
        <f>G331+G332</f>
        <v>0</v>
      </c>
      <c r="H333" s="23">
        <f>H331+H332</f>
        <v>0</v>
      </c>
      <c r="I333" s="23">
        <f>I331+I332</f>
        <v>0</v>
      </c>
      <c r="J333" s="23">
        <f>J331+J332</f>
        <v>0</v>
      </c>
      <c r="K333" s="23">
        <f>K331+K332</f>
        <v>0</v>
      </c>
      <c r="L333" s="23">
        <f>L331+L332</f>
        <v>0</v>
      </c>
      <c r="M333" s="23">
        <f>M331+M332</f>
        <v>0</v>
      </c>
      <c r="N333" s="23">
        <f>N331+N332</f>
        <v>0</v>
      </c>
      <c r="O333" s="23">
        <f>O331+O332</f>
        <v>0</v>
      </c>
      <c r="P333" s="23">
        <f>P331+P332</f>
        <v>0</v>
      </c>
      <c r="Q333" s="23">
        <f>Q331+Q332</f>
        <v>0</v>
      </c>
      <c r="R333" s="23">
        <f>R331+R332</f>
        <v>0</v>
      </c>
      <c r="S333" s="23">
        <f>S331+S332</f>
        <v>0</v>
      </c>
      <c r="T333" s="23">
        <f>T331+T332</f>
        <v>0</v>
      </c>
      <c r="U333" s="23">
        <f>U331+U332</f>
        <v>0</v>
      </c>
      <c r="V333" s="23">
        <f>V331+V332</f>
        <v>0</v>
      </c>
      <c r="W333" s="23">
        <f>W331+W332</f>
        <v>0</v>
      </c>
      <c r="X333" s="23">
        <f>X331+X332</f>
        <v>0</v>
      </c>
      <c r="Y333" s="23">
        <f>Y331+Y332</f>
        <v>0</v>
      </c>
      <c r="Z333" s="23">
        <f>Z331+Z332</f>
        <v>0</v>
      </c>
      <c r="AA333" s="23">
        <f>AA331+AA332</f>
        <v>0</v>
      </c>
      <c r="AB333" s="23">
        <f>AB331+AB332</f>
        <v>0</v>
      </c>
      <c r="AC333" s="23">
        <f>AC331+AC332</f>
        <v>0</v>
      </c>
      <c r="AD333" s="23">
        <f>AD331+AD332</f>
        <v>0</v>
      </c>
      <c r="AE333" s="23">
        <f>AE331+AE332</f>
        <v>0</v>
      </c>
    </row>
    <row r="334">
      <c r="A334" s="41" t="inlineStr">
        <is>
          <t xml:space="preserve">Receivables at year end</t>
        </is>
      </c>
      <c r="B334" s="10" t="inlineStr">
        <is>
          <t xml:space="preserve">€</t>
        </is>
      </c>
      <c r="E334" s="23">
        <f>$C$60</f>
        <v>498049.00082810305</v>
      </c>
      <c r="F334" s="42">
        <f>F330+F333</f>
        <v>315007.4222290765</v>
      </c>
      <c r="G334" s="42">
        <f>G330+G333</f>
        <v>315238.71535005566</v>
      </c>
      <c r="H334" s="42">
        <f>H330+H333</f>
        <v>314608.23791935557</v>
      </c>
      <c r="I334" s="42">
        <f>I330+I333</f>
        <v>313979.02144351695</v>
      </c>
      <c r="J334" s="42">
        <f>J330+J333</f>
        <v>312494.91295418</v>
      </c>
      <c r="K334" s="42">
        <f>K330+K333</f>
        <v>312724.36127382854</v>
      </c>
      <c r="L334" s="42">
        <f>L330+L333</f>
        <v>312098.9125512809</v>
      </c>
      <c r="M334" s="42">
        <f>M330+M333</f>
        <v>311474.7147261783</v>
      </c>
      <c r="N334" s="42">
        <f>N330+N333</f>
        <v>310002.4435336201</v>
      </c>
      <c r="O334" s="42">
        <f>O330+O333</f>
        <v>310230.06176613254</v>
      </c>
      <c r="P334" s="42">
        <f>P330+P333</f>
        <v>309609.6016426002</v>
      </c>
      <c r="Q334" s="42">
        <f>Q330+Q333</f>
        <v>308990.382439315</v>
      </c>
      <c r="R334" s="42">
        <f>R330+R333</f>
        <v>307529.85412887787</v>
      </c>
      <c r="S334" s="42">
        <f>S330+S333</f>
        <v>307755.6568710876</v>
      </c>
      <c r="T334" s="42">
        <f>T330+T333</f>
        <v>307140.1455573454</v>
      </c>
      <c r="U334" s="42">
        <f>U330+U333</f>
        <v>306525.8652662307</v>
      </c>
      <c r="V334" s="42">
        <f>V330+V333</f>
        <v>305076.98617631104</v>
      </c>
      <c r="W334" s="42">
        <f>W330+W333</f>
        <v>305300.9879086268</v>
      </c>
      <c r="X334" s="42">
        <f>X330+X333</f>
        <v>304690.3859328096</v>
      </c>
      <c r="Y334" s="42">
        <f>Y330+Y333</f>
        <v>304081.00516094395</v>
      </c>
      <c r="Z334" s="42">
        <f>Z330+Z333</f>
        <v>302643.6823769865</v>
      </c>
      <c r="AA334" s="42">
        <f>AA330+AA333</f>
        <v>344978.38808339875</v>
      </c>
      <c r="AB334" s="42">
        <f>AB330+AB333</f>
        <v>490248.6631335678</v>
      </c>
      <c r="AC334" s="42">
        <f>AC330+AC333</f>
        <v>499053.52912344673</v>
      </c>
      <c r="AD334" s="42">
        <f>AD330+AD333</f>
        <v>506628.50719910895</v>
      </c>
      <c r="AE334" s="42">
        <f>AE330+AE333</f>
        <v>0</v>
      </c>
    </row>
    <row r="335">
      <c r="A335" s="6" t="inlineStr">
        <is>
          <t xml:space="preserve">Change in working capital</t>
        </is>
      </c>
      <c r="B335" s="10" t="inlineStr">
        <is>
          <t xml:space="preserve">€</t>
        </is>
      </c>
      <c r="F335" s="23">
        <f>F334-E334</f>
        <v>-183041.57859902654</v>
      </c>
      <c r="G335" s="23">
        <f>G334-F334</f>
        <v>231.2931209791568</v>
      </c>
      <c r="H335" s="23">
        <f>H334-G334</f>
        <v>-630.4774307000916</v>
      </c>
      <c r="I335" s="23">
        <f>I334-H334</f>
        <v>-629.2164758386207</v>
      </c>
      <c r="J335" s="23">
        <f>J334-I334</f>
        <v>-1484.1084893369698</v>
      </c>
      <c r="K335" s="23">
        <f>K334-J334</f>
        <v>229.44831964856712</v>
      </c>
      <c r="L335" s="23">
        <f>L334-K334</f>
        <v>-625.4487225476187</v>
      </c>
      <c r="M335" s="23">
        <f>M334-L334</f>
        <v>-624.1978251026012</v>
      </c>
      <c r="N335" s="23">
        <f>N334-M334</f>
        <v>-1472.2711925582262</v>
      </c>
      <c r="O335" s="23">
        <f>O334-N334</f>
        <v>227.61823251243914</v>
      </c>
      <c r="P335" s="23">
        <f>P334-O334</f>
        <v>-620.4601235323353</v>
      </c>
      <c r="Q335" s="23">
        <f>Q334-P334</f>
        <v>-619.2192032851744</v>
      </c>
      <c r="R335" s="23">
        <f>R334-Q334</f>
        <v>-1460.5283104371629</v>
      </c>
      <c r="S335" s="23">
        <f>S334-R334</f>
        <v>225.80274220975116</v>
      </c>
      <c r="T335" s="23">
        <f>T334-S334</f>
        <v>-615.5113137422013</v>
      </c>
      <c r="U335" s="23">
        <f>U334-T334</f>
        <v>-614.280291114701</v>
      </c>
      <c r="V335" s="23">
        <f>V334-U334</f>
        <v>-1448.8790899196756</v>
      </c>
      <c r="W335" s="23">
        <f>W334-V334</f>
        <v>224.00173231575172</v>
      </c>
      <c r="X335" s="23">
        <f>X334-W334</f>
        <v>-610.6019758171751</v>
      </c>
      <c r="Y335" s="23">
        <f>Y334-X334</f>
        <v>-609.3807718656608</v>
      </c>
      <c r="Z335" s="23">
        <f>Z334-Y334</f>
        <v>-1437.3227839574683</v>
      </c>
      <c r="AA335" s="23">
        <f>AA334-Z334</f>
        <v>42334.705706412264</v>
      </c>
      <c r="AB335" s="23">
        <f>AB334-AA334</f>
        <v>145270.27505016903</v>
      </c>
      <c r="AC335" s="23">
        <f>AC334-AB334</f>
        <v>8804.865989878948</v>
      </c>
      <c r="AD335" s="23">
        <f>AD334-AC334</f>
        <v>7574.97807566222</v>
      </c>
      <c r="AE335" s="23">
        <f>AE334-AD334</f>
        <v>-506628.50719910895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Tax</t>
        </is>
      </c>
    </row>
    <row r="2">
      <c r="A2" s="2" t="inlineStr">
        <is>
          <t xml:space="preserve">Depreciation, decommissioning provision, trade tax and corporate tax by case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5">
      <c r="A5" s="5" t="inlineStr">
        <is>
          <t xml:space="preserve">Tax provision for decommissioning (the same in every case)</t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>
      <c r="A6" s="6" t="inlineStr">
        <is>
          <t xml:space="preserve">Share of the operating life elapsed at the year end</t>
        </is>
      </c>
      <c r="F6" s="37">
        <f>MIN(1,(Timing!F63-Timing!$C$7)/(Timing!$C$8-Timing!$C$7))</f>
        <v>0.020151133501259445</v>
      </c>
      <c r="G6" s="37">
        <f>MIN(1,(Timing!G63-Timing!$C$7)/(Timing!$C$8-Timing!$C$7))</f>
        <v>0.06012484941408389</v>
      </c>
      <c r="H6" s="37">
        <f>MIN(1,(Timing!H63-Timing!$C$7)/(Timing!$C$8-Timing!$C$7))</f>
        <v>0.10009856532690833</v>
      </c>
      <c r="I6" s="37">
        <f>MIN(1,(Timing!I63-Timing!$C$7)/(Timing!$C$8-Timing!$C$7))</f>
        <v>0.14007228123973278</v>
      </c>
      <c r="J6" s="37">
        <f>MIN(1,(Timing!J63-Timing!$C$7)/(Timing!$C$8-Timing!$C$7))</f>
        <v>0.18015551418245537</v>
      </c>
      <c r="K6" s="37">
        <f>MIN(1,(Timing!K63-Timing!$C$7)/(Timing!$C$8-Timing!$C$7))</f>
        <v>0.22012923009527982</v>
      </c>
      <c r="L6" s="37">
        <f>MIN(1,(Timing!L63-Timing!$C$7)/(Timing!$C$8-Timing!$C$7))</f>
        <v>0.26010294600810424</v>
      </c>
      <c r="M6" s="37">
        <f>MIN(1,(Timing!M63-Timing!$C$7)/(Timing!$C$8-Timing!$C$7))</f>
        <v>0.3000766619209287</v>
      </c>
      <c r="N6" s="37">
        <f>MIN(1,(Timing!N63-Timing!$C$7)/(Timing!$C$8-Timing!$C$7))</f>
        <v>0.3401598948636513</v>
      </c>
      <c r="O6" s="37">
        <f>MIN(1,(Timing!O63-Timing!$C$7)/(Timing!$C$8-Timing!$C$7))</f>
        <v>0.3801336107764757</v>
      </c>
      <c r="P6" s="37">
        <f>MIN(1,(Timing!P63-Timing!$C$7)/(Timing!$C$8-Timing!$C$7))</f>
        <v>0.4201073266893002</v>
      </c>
      <c r="Q6" s="37">
        <f>MIN(1,(Timing!Q63-Timing!$C$7)/(Timing!$C$8-Timing!$C$7))</f>
        <v>0.4600810426021246</v>
      </c>
      <c r="R6" s="37">
        <f>MIN(1,(Timing!R63-Timing!$C$7)/(Timing!$C$8-Timing!$C$7))</f>
        <v>0.5001642755448472</v>
      </c>
      <c r="S6" s="37">
        <f>MIN(1,(Timing!S63-Timing!$C$7)/(Timing!$C$8-Timing!$C$7))</f>
        <v>0.5401379914576717</v>
      </c>
      <c r="T6" s="37">
        <f>MIN(1,(Timing!T63-Timing!$C$7)/(Timing!$C$8-Timing!$C$7))</f>
        <v>0.5801117073704961</v>
      </c>
      <c r="U6" s="37">
        <f>MIN(1,(Timing!U63-Timing!$C$7)/(Timing!$C$8-Timing!$C$7))</f>
        <v>0.6200854232833205</v>
      </c>
      <c r="V6" s="37">
        <f>MIN(1,(Timing!V63-Timing!$C$7)/(Timing!$C$8-Timing!$C$7))</f>
        <v>0.6601686562260431</v>
      </c>
      <c r="W6" s="37">
        <f>MIN(1,(Timing!W63-Timing!$C$7)/(Timing!$C$8-Timing!$C$7))</f>
        <v>0.7001423721388675</v>
      </c>
      <c r="X6" s="37">
        <f>MIN(1,(Timing!X63-Timing!$C$7)/(Timing!$C$8-Timing!$C$7))</f>
        <v>0.740116088051692</v>
      </c>
      <c r="Y6" s="37">
        <f>MIN(1,(Timing!Y63-Timing!$C$7)/(Timing!$C$8-Timing!$C$7))</f>
        <v>0.7800898039645164</v>
      </c>
      <c r="Z6" s="37">
        <f>MIN(1,(Timing!Z63-Timing!$C$7)/(Timing!$C$8-Timing!$C$7))</f>
        <v>0.8201730369072391</v>
      </c>
      <c r="AA6" s="37">
        <f>MIN(1,(Timing!AA63-Timing!$C$7)/(Timing!$C$8-Timing!$C$7))</f>
        <v>0.8601467528200635</v>
      </c>
      <c r="AB6" s="37">
        <f>MIN(1,(Timing!AB63-Timing!$C$7)/(Timing!$C$8-Timing!$C$7))</f>
        <v>0.900120468732888</v>
      </c>
      <c r="AC6" s="37">
        <f>MIN(1,(Timing!AC63-Timing!$C$7)/(Timing!$C$8-Timing!$C$7))</f>
        <v>0.9400941846457124</v>
      </c>
      <c r="AD6" s="37">
        <f>MIN(1,(Timing!AD63-Timing!$C$7)/(Timing!$C$8-Timing!$C$7))</f>
        <v>0.980177417588435</v>
      </c>
      <c r="AE6" s="37">
        <f>MIN(1,(Timing!AE63-Timing!$C$7)/(Timing!$C$8-Timing!$C$7))</f>
        <v>1</v>
      </c>
    </row>
    <row r="7">
      <c r="A7" s="6" t="inlineStr">
        <is>
          <t xml:space="preserve">Less than twelve months left (1 = no discounting)</t>
        </is>
      </c>
      <c r="F7" s="23">
        <f>IF(Timing!$C$8&lt;EDATE(Timing!F63,12),1,0)</f>
        <v>0</v>
      </c>
      <c r="G7" s="23">
        <f>IF(Timing!$C$8&lt;EDATE(Timing!G63,12),1,0)</f>
        <v>0</v>
      </c>
      <c r="H7" s="23">
        <f>IF(Timing!$C$8&lt;EDATE(Timing!H63,12),1,0)</f>
        <v>0</v>
      </c>
      <c r="I7" s="23">
        <f>IF(Timing!$C$8&lt;EDATE(Timing!I63,12),1,0)</f>
        <v>0</v>
      </c>
      <c r="J7" s="23">
        <f>IF(Timing!$C$8&lt;EDATE(Timing!J63,12),1,0)</f>
        <v>0</v>
      </c>
      <c r="K7" s="23">
        <f>IF(Timing!$C$8&lt;EDATE(Timing!K63,12),1,0)</f>
        <v>0</v>
      </c>
      <c r="L7" s="23">
        <f>IF(Timing!$C$8&lt;EDATE(Timing!L63,12),1,0)</f>
        <v>0</v>
      </c>
      <c r="M7" s="23">
        <f>IF(Timing!$C$8&lt;EDATE(Timing!M63,12),1,0)</f>
        <v>0</v>
      </c>
      <c r="N7" s="23">
        <f>IF(Timing!$C$8&lt;EDATE(Timing!N63,12),1,0)</f>
        <v>0</v>
      </c>
      <c r="O7" s="23">
        <f>IF(Timing!$C$8&lt;EDATE(Timing!O63,12),1,0)</f>
        <v>0</v>
      </c>
      <c r="P7" s="23">
        <f>IF(Timing!$C$8&lt;EDATE(Timing!P63,12),1,0)</f>
        <v>0</v>
      </c>
      <c r="Q7" s="23">
        <f>IF(Timing!$C$8&lt;EDATE(Timing!Q63,12),1,0)</f>
        <v>0</v>
      </c>
      <c r="R7" s="23">
        <f>IF(Timing!$C$8&lt;EDATE(Timing!R63,12),1,0)</f>
        <v>0</v>
      </c>
      <c r="S7" s="23">
        <f>IF(Timing!$C$8&lt;EDATE(Timing!S63,12),1,0)</f>
        <v>0</v>
      </c>
      <c r="T7" s="23">
        <f>IF(Timing!$C$8&lt;EDATE(Timing!T63,12),1,0)</f>
        <v>0</v>
      </c>
      <c r="U7" s="23">
        <f>IF(Timing!$C$8&lt;EDATE(Timing!U63,12),1,0)</f>
        <v>0</v>
      </c>
      <c r="V7" s="23">
        <f>IF(Timing!$C$8&lt;EDATE(Timing!V63,12),1,0)</f>
        <v>0</v>
      </c>
      <c r="W7" s="23">
        <f>IF(Timing!$C$8&lt;EDATE(Timing!W63,12),1,0)</f>
        <v>0</v>
      </c>
      <c r="X7" s="23">
        <f>IF(Timing!$C$8&lt;EDATE(Timing!X63,12),1,0)</f>
        <v>0</v>
      </c>
      <c r="Y7" s="23">
        <f>IF(Timing!$C$8&lt;EDATE(Timing!Y63,12),1,0)</f>
        <v>0</v>
      </c>
      <c r="Z7" s="23">
        <f>IF(Timing!$C$8&lt;EDATE(Timing!Z63,12),1,0)</f>
        <v>0</v>
      </c>
      <c r="AA7" s="23">
        <f>IF(Timing!$C$8&lt;EDATE(Timing!AA63,12),1,0)</f>
        <v>0</v>
      </c>
      <c r="AB7" s="23">
        <f>IF(Timing!$C$8&lt;EDATE(Timing!AB63,12),1,0)</f>
        <v>0</v>
      </c>
      <c r="AC7" s="23">
        <f>IF(Timing!$C$8&lt;EDATE(Timing!AC63,12),1,0)</f>
        <v>0</v>
      </c>
      <c r="AD7" s="23">
        <f>IF(Timing!$C$8&lt;EDATE(Timing!AD63,12),1,0)</f>
        <v>1</v>
      </c>
      <c r="AE7" s="23">
        <f>IF(Timing!$C$8&lt;EDATE(Timing!AE63,12),1,0)</f>
        <v>1</v>
      </c>
    </row>
    <row r="8">
      <c r="A8" s="6" t="inlineStr">
        <is>
          <t xml:space="preserve">Years left</t>
        </is>
      </c>
      <c r="F8" s="21">
        <f>MAX(0,(Timing!$C$8-Timing!F63)/Inputs!$C$147)</f>
        <v>24.512328767123286</v>
      </c>
      <c r="G8" s="21">
        <f>MAX(0,(Timing!$C$8-Timing!G63)/Inputs!$C$147)</f>
        <v>23.512328767123286</v>
      </c>
      <c r="H8" s="21">
        <f>MAX(0,(Timing!$C$8-Timing!H63)/Inputs!$C$147)</f>
        <v>22.512328767123286</v>
      </c>
      <c r="I8" s="21">
        <f>MAX(0,(Timing!$C$8-Timing!I63)/Inputs!$C$147)</f>
        <v>21.512328767123286</v>
      </c>
      <c r="J8" s="21">
        <f>MAX(0,(Timing!$C$8-Timing!J63)/Inputs!$C$147)</f>
        <v>20.50958904109589</v>
      </c>
      <c r="K8" s="21">
        <f>MAX(0,(Timing!$C$8-Timing!K63)/Inputs!$C$147)</f>
        <v>19.50958904109589</v>
      </c>
      <c r="L8" s="21">
        <f>MAX(0,(Timing!$C$8-Timing!L63)/Inputs!$C$147)</f>
        <v>18.50958904109589</v>
      </c>
      <c r="M8" s="21">
        <f>MAX(0,(Timing!$C$8-Timing!M63)/Inputs!$C$147)</f>
        <v>17.50958904109589</v>
      </c>
      <c r="N8" s="21">
        <f>MAX(0,(Timing!$C$8-Timing!N63)/Inputs!$C$147)</f>
        <v>16.506849315068493</v>
      </c>
      <c r="O8" s="21">
        <f>MAX(0,(Timing!$C$8-Timing!O63)/Inputs!$C$147)</f>
        <v>15.506849315068493</v>
      </c>
      <c r="P8" s="21">
        <f>MAX(0,(Timing!$C$8-Timing!P63)/Inputs!$C$147)</f>
        <v>14.506849315068493</v>
      </c>
      <c r="Q8" s="21">
        <f>MAX(0,(Timing!$C$8-Timing!Q63)/Inputs!$C$147)</f>
        <v>13.506849315068493</v>
      </c>
      <c r="R8" s="21">
        <f>MAX(0,(Timing!$C$8-Timing!R63)/Inputs!$C$147)</f>
        <v>12.504109589041096</v>
      </c>
      <c r="S8" s="21">
        <f>MAX(0,(Timing!$C$8-Timing!S63)/Inputs!$C$147)</f>
        <v>11.504109589041096</v>
      </c>
      <c r="T8" s="21">
        <f>MAX(0,(Timing!$C$8-Timing!T63)/Inputs!$C$147)</f>
        <v>10.504109589041096</v>
      </c>
      <c r="U8" s="21">
        <f>MAX(0,(Timing!$C$8-Timing!U63)/Inputs!$C$147)</f>
        <v>9.504109589041096</v>
      </c>
      <c r="V8" s="21">
        <f>MAX(0,(Timing!$C$8-Timing!V63)/Inputs!$C$147)</f>
        <v>8.501369863013698</v>
      </c>
      <c r="W8" s="21">
        <f>MAX(0,(Timing!$C$8-Timing!W63)/Inputs!$C$147)</f>
        <v>7.501369863013698</v>
      </c>
      <c r="X8" s="21">
        <f>MAX(0,(Timing!$C$8-Timing!X63)/Inputs!$C$147)</f>
        <v>6.501369863013698</v>
      </c>
      <c r="Y8" s="21">
        <f>MAX(0,(Timing!$C$8-Timing!Y63)/Inputs!$C$147)</f>
        <v>5.501369863013698</v>
      </c>
      <c r="Z8" s="21">
        <f>MAX(0,(Timing!$C$8-Timing!Z63)/Inputs!$C$147)</f>
        <v>4.498630136986302</v>
      </c>
      <c r="AA8" s="21">
        <f>MAX(0,(Timing!$C$8-Timing!AA63)/Inputs!$C$147)</f>
        <v>3.4986301369863013</v>
      </c>
      <c r="AB8" s="21">
        <f>MAX(0,(Timing!$C$8-Timing!AB63)/Inputs!$C$147)</f>
        <v>2.4986301369863013</v>
      </c>
      <c r="AC8" s="21">
        <f>MAX(0,(Timing!$C$8-Timing!AC63)/Inputs!$C$147)</f>
        <v>1.4986301369863013</v>
      </c>
      <c r="AD8" s="21">
        <f>MAX(0,(Timing!$C$8-Timing!AD63)/Inputs!$C$147)</f>
        <v>0.4958904109589041</v>
      </c>
      <c r="AE8" s="21">
        <f>MAX(0,(Timing!$C$8-Timing!AE63)/Inputs!$C$147)</f>
        <v>0</v>
      </c>
    </row>
    <row r="9">
      <c r="A9" s="6" t="inlineStr">
        <is>
          <t xml:space="preserve">Provision at the year end</t>
        </is>
      </c>
      <c r="B9" s="10" t="inlineStr">
        <is>
          <t xml:space="preserve">€</t>
        </is>
      </c>
      <c r="F9" s="23">
        <f>Timing!$C$37*Timing!F76*F6/IF(F7=1,1,(1+Inputs!$C$130)^F8)</f>
        <v>8940.313145703616</v>
      </c>
      <c r="G9" s="23">
        <f>Timing!$C$37*Timing!G76*G6/IF(G7=1,1,(1+Inputs!$C$130)^G8)</f>
        <v>28705.15416236045</v>
      </c>
      <c r="H9" s="23">
        <f>Timing!$C$37*Timing!H76*H6/IF(H7=1,1,(1+Inputs!$C$130)^H8)</f>
        <v>51426.42875085992</v>
      </c>
      <c r="I9" s="23">
        <f>Timing!$C$37*Timing!I76*I6/IF(I7=1,1,(1+Inputs!$C$130)^I8)</f>
        <v>77439.6437558924</v>
      </c>
      <c r="J9" s="23">
        <f>Timing!$C$37*Timing!J76*J6/IF(J7=1,1,(1+Inputs!$C$130)^J8)</f>
        <v>107195.12647063406</v>
      </c>
      <c r="K9" s="23">
        <f>Timing!$C$37*Timing!K76*K6/IF(K7=1,1,(1+Inputs!$C$130)^K8)</f>
        <v>140947.646167811</v>
      </c>
      <c r="L9" s="23">
        <f>Timing!$C$37*Timing!L76*L6/IF(L7=1,1,(1+Inputs!$C$130)^L8)</f>
        <v>179216.50987453028</v>
      </c>
      <c r="M9" s="23">
        <f>Timing!$C$37*Timing!M76*M6/IF(M7=1,1,(1+Inputs!$C$130)^M8)</f>
        <v>222493.6372194487</v>
      </c>
      <c r="N9" s="23">
        <f>Timing!$C$37*Timing!N76*N6/IF(N7=1,1,(1+Inputs!$C$130)^N8)</f>
        <v>271446.8592501429</v>
      </c>
      <c r="O9" s="23">
        <f>Timing!$C$37*Timing!O76*O6/IF(O7=1,1,(1+Inputs!$C$130)^O8)</f>
        <v>326430.4131824992</v>
      </c>
      <c r="P9" s="23">
        <f>Timing!$C$37*Timing!P76*P6/IF(P7=1,1,(1+Inputs!$C$130)^P8)</f>
        <v>388210.458257602</v>
      </c>
      <c r="Q9" s="23">
        <f>Timing!$C$37*Timing!Q76*Q6/IF(Q7=1,1,(1+Inputs!$C$130)^Q8)</f>
        <v>457502.9991200089</v>
      </c>
      <c r="R9" s="23">
        <f>Timing!$C$37*Timing!R76*R6/IF(R7=1,1,(1+Inputs!$C$130)^R8)</f>
        <v>535289.3615646651</v>
      </c>
      <c r="S9" s="23">
        <f>Timing!$C$37*Timing!S76*S6/IF(S7=1,1,(1+Inputs!$C$130)^S8)</f>
        <v>622061.4665916484</v>
      </c>
      <c r="T9" s="23">
        <f>Timing!$C$37*Timing!T76*T6/IF(T7=1,1,(1+Inputs!$C$130)^T8)</f>
        <v>718940.3129001517</v>
      </c>
      <c r="U9" s="23">
        <f>Timing!$C$37*Timing!U76*U6/IF(U7=1,1,(1+Inputs!$C$130)^U8)</f>
        <v>826961.6310308687</v>
      </c>
      <c r="V9" s="23">
        <f>Timing!$C$37*Timing!V76*V6/IF(V7=1,1,(1+Inputs!$C$130)^V8)</f>
        <v>947556.4129436896</v>
      </c>
      <c r="W9" s="23">
        <f>Timing!$C$37*Timing!W76*W6/IF(W7=1,1,(1+Inputs!$C$130)^W8)</f>
        <v>1081406.9774399346</v>
      </c>
      <c r="X9" s="23">
        <f>Timing!$C$37*Timing!X76*X6/IF(X7=1,1,(1+Inputs!$C$130)^X8)</f>
        <v>1230142.0996783047</v>
      </c>
      <c r="Y9" s="23">
        <f>Timing!$C$37*Timing!Y76*Y6/IF(Y7=1,1,(1+Inputs!$C$130)^Y8)</f>
        <v>1395252.052619535</v>
      </c>
      <c r="Z9" s="23">
        <f>Timing!$C$37*Timing!Z76*Z6/IF(Z7=1,1,(1+Inputs!$C$130)^Z8)</f>
        <v>1578810.089440279</v>
      </c>
      <c r="AA9" s="23">
        <f>Timing!$C$37*Timing!AA76*AA6/IF(AA7=1,1,(1+Inputs!$C$130)^AA8)</f>
        <v>1781761.58332694</v>
      </c>
      <c r="AB9" s="23">
        <f>Timing!$C$37*Timing!AB76*AB6/IF(AB7=1,1,(1+Inputs!$C$130)^AB8)</f>
        <v>2006459.0738050842</v>
      </c>
      <c r="AC9" s="23">
        <f>Timing!$C$37*Timing!AC76*AC6/IF(AC7=1,1,(1+Inputs!$C$130)^AC8)</f>
        <v>2255036.966835023</v>
      </c>
      <c r="AD9" s="23">
        <f>Timing!$C$37*Timing!AD76*AD6/IF(AD7=1,1,(1+Inputs!$C$130)^AD8)</f>
        <v>2598567.488492467</v>
      </c>
      <c r="AE9" s="23">
        <f>Timing!$C$37*Timing!AE76*AE6/IF(AE7=1,1,(1+Inputs!$C$130)^AE8)</f>
        <v>2704141.9142092974</v>
      </c>
    </row>
    <row r="10">
      <c r="A10" s="6" t="inlineStr">
        <is>
          <t xml:space="preserve">Increase of the provision</t>
        </is>
      </c>
      <c r="B10" s="10" t="inlineStr">
        <is>
          <t xml:space="preserve">€</t>
        </is>
      </c>
      <c r="E10" s="9">
        <v>0</v>
      </c>
      <c r="F10" s="23">
        <f>F9-E9</f>
        <v>8940.313145703616</v>
      </c>
      <c r="G10" s="23">
        <f>G9-F9</f>
        <v>19764.841016656836</v>
      </c>
      <c r="H10" s="23">
        <f>H9-G9</f>
        <v>22721.274588499473</v>
      </c>
      <c r="I10" s="23">
        <f>I9-H9</f>
        <v>26013.21500503247</v>
      </c>
      <c r="J10" s="23">
        <f>J9-I9</f>
        <v>29755.482714741665</v>
      </c>
      <c r="K10" s="23">
        <f>K9-J9</f>
        <v>33752.51969717695</v>
      </c>
      <c r="L10" s="23">
        <f>L9-K9</f>
        <v>38268.863706719276</v>
      </c>
      <c r="M10" s="23">
        <f>M9-L9</f>
        <v>43277.12734491841</v>
      </c>
      <c r="N10" s="23">
        <f>N9-M9</f>
        <v>48953.22203069419</v>
      </c>
      <c r="O10" s="23">
        <f>O9-N9</f>
        <v>54983.5539323563</v>
      </c>
      <c r="P10" s="23">
        <f>P9-O9</f>
        <v>61780.045075102826</v>
      </c>
      <c r="Q10" s="23">
        <f>Q9-P9</f>
        <v>69292.5408624069</v>
      </c>
      <c r="R10" s="23">
        <f>R9-Q9</f>
        <v>77786.3624446562</v>
      </c>
      <c r="S10" s="23">
        <f>S9-R9</f>
        <v>86772.1050269833</v>
      </c>
      <c r="T10" s="23">
        <f>T9-S9</f>
        <v>96878.8463085033</v>
      </c>
      <c r="U10" s="23">
        <f>U9-T9</f>
        <v>108021.31813071703</v>
      </c>
      <c r="V10" s="23">
        <f>V9-U9</f>
        <v>120594.78191282088</v>
      </c>
      <c r="W10" s="23">
        <f>W9-V9</f>
        <v>133850.564496245</v>
      </c>
      <c r="X10" s="23">
        <f>X9-W9</f>
        <v>148735.12223837012</v>
      </c>
      <c r="Y10" s="23">
        <f>Y9-X9</f>
        <v>165109.95294123027</v>
      </c>
      <c r="Z10" s="23">
        <f>Z9-Y9</f>
        <v>183558.03682074393</v>
      </c>
      <c r="AA10" s="23">
        <f>AA9-Z9</f>
        <v>202951.49388666102</v>
      </c>
      <c r="AB10" s="23">
        <f>AB9-AA9</f>
        <v>224697.49047814426</v>
      </c>
      <c r="AC10" s="23">
        <f>AC9-AB9</f>
        <v>248577.89302993868</v>
      </c>
      <c r="AD10" s="23">
        <f>AD9-AC9</f>
        <v>343530.5216574441</v>
      </c>
      <c r="AE10" s="23">
        <f>AE9-AD9</f>
        <v>105574.42571683042</v>
      </c>
    </row>
    <row r="12">
      <c r="A12" s="5" t="inlineStr">
        <is>
          <t xml:space="preserve">Base</t>
        </is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>
      <c r="A13" s="6" t="inlineStr">
        <is>
          <t xml:space="preserve">Depreciable base: capex and capitalised financing costs</t>
        </is>
      </c>
      <c r="B13" s="10" t="inlineStr">
        <is>
          <t xml:space="preserve">€</t>
        </is>
      </c>
      <c r="C13" s="45">
        <f>Construction!$C$48</f>
        <v>58232270.645103194</v>
      </c>
    </row>
    <row r="14">
      <c r="A14" s="6" t="inlineStr">
        <is>
          <t xml:space="preserve">Book value at the start of the year</t>
        </is>
      </c>
      <c r="B14" s="10" t="inlineStr">
        <is>
          <t xml:space="preserve">€</t>
        </is>
      </c>
      <c r="F14" s="23">
        <f>E21</f>
        <v>58232270.645103194</v>
      </c>
      <c r="G14" s="23">
        <f>F21</f>
        <v>56412512.18744372</v>
      </c>
      <c r="H14" s="23">
        <f>G21</f>
        <v>52772995.27212477</v>
      </c>
      <c r="I14" s="23">
        <f>H21</f>
        <v>49133478.35680582</v>
      </c>
      <c r="J14" s="23">
        <f>I21</f>
        <v>45493961.441486865</v>
      </c>
      <c r="K14" s="23">
        <f>J21</f>
        <v>41854444.526167914</v>
      </c>
      <c r="L14" s="23">
        <f>K21</f>
        <v>38214927.61084896</v>
      </c>
      <c r="M14" s="23">
        <f>L21</f>
        <v>34575410.69553001</v>
      </c>
      <c r="N14" s="23">
        <f>M21</f>
        <v>30935893.780211065</v>
      </c>
      <c r="O14" s="23">
        <f>N21</f>
        <v>27296376.864892118</v>
      </c>
      <c r="P14" s="23">
        <f>O21</f>
        <v>23656859.949573167</v>
      </c>
      <c r="Q14" s="23">
        <f>P21</f>
        <v>20017343.03425422</v>
      </c>
      <c r="R14" s="23">
        <f>Q21</f>
        <v>16377826.11893527</v>
      </c>
      <c r="S14" s="23">
        <f>R21</f>
        <v>12738309.203616321</v>
      </c>
      <c r="T14" s="23">
        <f>S21</f>
        <v>9098792.288297372</v>
      </c>
      <c r="U14" s="23">
        <f>T21</f>
        <v>5459275.372978423</v>
      </c>
      <c r="V14" s="23">
        <f>U21</f>
        <v>1819758.457659474</v>
      </c>
      <c r="W14" s="23">
        <f>V21</f>
        <v>0</v>
      </c>
      <c r="X14" s="23">
        <f>W21</f>
        <v>0</v>
      </c>
      <c r="Y14" s="23">
        <f>X21</f>
        <v>0</v>
      </c>
      <c r="Z14" s="23">
        <f>Y21</f>
        <v>0</v>
      </c>
      <c r="AA14" s="23">
        <f>Z21</f>
        <v>0</v>
      </c>
      <c r="AB14" s="23">
        <f>AA21</f>
        <v>0</v>
      </c>
      <c r="AC14" s="23">
        <f>AB21</f>
        <v>0</v>
      </c>
      <c r="AD14" s="23">
        <f>AC21</f>
        <v>0</v>
      </c>
      <c r="AE14" s="23">
        <f>AD21</f>
        <v>0</v>
      </c>
    </row>
    <row r="15">
      <c r="A15" s="6" t="inlineStr">
        <is>
          <t xml:space="preserve">Months depreciated before the year</t>
        </is>
      </c>
      <c r="E15" s="9">
        <v>0</v>
      </c>
      <c r="F15" s="23">
        <f>E22</f>
        <v>0</v>
      </c>
      <c r="G15" s="23">
        <f>F22</f>
        <v>6</v>
      </c>
      <c r="H15" s="23">
        <f>G22</f>
        <v>18</v>
      </c>
      <c r="I15" s="23">
        <f>H22</f>
        <v>30</v>
      </c>
      <c r="J15" s="23">
        <f>I22</f>
        <v>42</v>
      </c>
      <c r="K15" s="23">
        <f>J22</f>
        <v>54</v>
      </c>
      <c r="L15" s="23">
        <f>K22</f>
        <v>66</v>
      </c>
      <c r="M15" s="23">
        <f>L22</f>
        <v>78</v>
      </c>
      <c r="N15" s="23">
        <f>M22</f>
        <v>90</v>
      </c>
      <c r="O15" s="23">
        <f>N22</f>
        <v>102</v>
      </c>
      <c r="P15" s="23">
        <f>O22</f>
        <v>114</v>
      </c>
      <c r="Q15" s="23">
        <f>P22</f>
        <v>126</v>
      </c>
      <c r="R15" s="23">
        <f>Q22</f>
        <v>138</v>
      </c>
      <c r="S15" s="23">
        <f>R22</f>
        <v>150</v>
      </c>
      <c r="T15" s="23">
        <f>S22</f>
        <v>162</v>
      </c>
      <c r="U15" s="23">
        <f>T22</f>
        <v>174</v>
      </c>
      <c r="V15" s="23">
        <f>U22</f>
        <v>186</v>
      </c>
      <c r="W15" s="23">
        <f>V22</f>
        <v>198</v>
      </c>
      <c r="X15" s="23">
        <f>W22</f>
        <v>198</v>
      </c>
      <c r="Y15" s="23">
        <f>X22</f>
        <v>198</v>
      </c>
      <c r="Z15" s="23">
        <f>Y22</f>
        <v>198</v>
      </c>
      <c r="AA15" s="23">
        <f>Z22</f>
        <v>198</v>
      </c>
      <c r="AB15" s="23">
        <f>AA22</f>
        <v>198</v>
      </c>
      <c r="AC15" s="23">
        <f>AB22</f>
        <v>198</v>
      </c>
      <c r="AD15" s="23">
        <f>AC22</f>
        <v>198</v>
      </c>
      <c r="AE15" s="23">
        <f>AD22</f>
        <v>198</v>
      </c>
    </row>
    <row r="16">
      <c r="A16" s="6" t="inlineStr">
        <is>
          <t xml:space="preserve">Remaining useful life</t>
        </is>
      </c>
      <c r="B16" s="10" t="inlineStr">
        <is>
          <t xml:space="preserve">years</t>
        </is>
      </c>
      <c r="F16" s="21">
        <f>Inputs!$C$93-F15/12</f>
        <v>16</v>
      </c>
      <c r="G16" s="21">
        <f>Inputs!$C$93-G15/12</f>
        <v>15.5</v>
      </c>
      <c r="H16" s="21">
        <f>Inputs!$C$93-H15/12</f>
        <v>14.5</v>
      </c>
      <c r="I16" s="21">
        <f>Inputs!$C$93-I15/12</f>
        <v>13.5</v>
      </c>
      <c r="J16" s="21">
        <f>Inputs!$C$93-J15/12</f>
        <v>12.5</v>
      </c>
      <c r="K16" s="21">
        <f>Inputs!$C$93-K15/12</f>
        <v>11.5</v>
      </c>
      <c r="L16" s="21">
        <f>Inputs!$C$93-L15/12</f>
        <v>10.5</v>
      </c>
      <c r="M16" s="21">
        <f>Inputs!$C$93-M15/12</f>
        <v>9.5</v>
      </c>
      <c r="N16" s="21">
        <f>Inputs!$C$93-N15/12</f>
        <v>8.5</v>
      </c>
      <c r="O16" s="21">
        <f>Inputs!$C$93-O15/12</f>
        <v>7.5</v>
      </c>
      <c r="P16" s="21">
        <f>Inputs!$C$93-P15/12</f>
        <v>6.5</v>
      </c>
      <c r="Q16" s="21">
        <f>Inputs!$C$93-Q15/12</f>
        <v>5.5</v>
      </c>
      <c r="R16" s="21">
        <f>Inputs!$C$93-R15/12</f>
        <v>4.5</v>
      </c>
      <c r="S16" s="21">
        <f>Inputs!$C$93-S15/12</f>
        <v>3.5</v>
      </c>
      <c r="T16" s="21">
        <f>Inputs!$C$93-T15/12</f>
        <v>2.5</v>
      </c>
      <c r="U16" s="21">
        <f>Inputs!$C$93-U15/12</f>
        <v>1.5</v>
      </c>
      <c r="V16" s="21">
        <f>Inputs!$C$93-V15/12</f>
        <v>0.5</v>
      </c>
      <c r="W16" s="21">
        <f>Inputs!$C$93-W15/12</f>
        <v>-0.5</v>
      </c>
      <c r="X16" s="21">
        <f>Inputs!$C$93-X15/12</f>
        <v>-0.5</v>
      </c>
      <c r="Y16" s="21">
        <f>Inputs!$C$93-Y15/12</f>
        <v>-0.5</v>
      </c>
      <c r="Z16" s="21">
        <f>Inputs!$C$93-Z15/12</f>
        <v>-0.5</v>
      </c>
      <c r="AA16" s="21">
        <f>Inputs!$C$93-AA15/12</f>
        <v>-0.5</v>
      </c>
      <c r="AB16" s="21">
        <f>Inputs!$C$93-AB15/12</f>
        <v>-0.5</v>
      </c>
      <c r="AC16" s="21">
        <f>Inputs!$C$93-AC15/12</f>
        <v>-0.5</v>
      </c>
      <c r="AD16" s="21">
        <f>Inputs!$C$93-AD15/12</f>
        <v>-0.5</v>
      </c>
      <c r="AE16" s="21">
        <f>Inputs!$C$93-AE15/12</f>
        <v>-0.5</v>
      </c>
    </row>
    <row r="17">
      <c r="A17" s="6" t="inlineStr">
        <is>
          <t xml:space="preserve">Straight-line amount</t>
        </is>
      </c>
      <c r="B17" s="10" t="inlineStr">
        <is>
          <t xml:space="preserve">€</t>
        </is>
      </c>
      <c r="F17" s="23">
        <f>IF(F16&gt;0,F14/F16*Timing!F87/12,F14)</f>
        <v>1819758.4576594748</v>
      </c>
      <c r="G17" s="23">
        <f>IF(G16&gt;0,G14/G16*Timing!G87/12,G14)</f>
        <v>3639516.9153189496</v>
      </c>
      <c r="H17" s="23">
        <f>IF(H16&gt;0,H14/H16*Timing!H87/12,H14)</f>
        <v>3639516.9153189496</v>
      </c>
      <c r="I17" s="23">
        <f>IF(I16&gt;0,I14/I16*Timing!I87/12,I14)</f>
        <v>3639516.915318949</v>
      </c>
      <c r="J17" s="23">
        <f>IF(J16&gt;0,J14/J16*Timing!J87/12,J14)</f>
        <v>3639516.915318949</v>
      </c>
      <c r="K17" s="23">
        <f>IF(K16&gt;0,K14/K16*Timing!K87/12,K14)</f>
        <v>3639516.915318949</v>
      </c>
      <c r="L17" s="23">
        <f>IF(L16&gt;0,L14/L16*Timing!L87/12,L14)</f>
        <v>3639516.9153189487</v>
      </c>
      <c r="M17" s="23">
        <f>IF(M16&gt;0,M14/M16*Timing!M87/12,M14)</f>
        <v>3639516.9153189487</v>
      </c>
      <c r="N17" s="23">
        <f>IF(N16&gt;0,N14/N16*Timing!N87/12,N14)</f>
        <v>3639516.9153189487</v>
      </c>
      <c r="O17" s="23">
        <f>IF(O16&gt;0,O14/O16*Timing!O87/12,O14)</f>
        <v>3639516.915318949</v>
      </c>
      <c r="P17" s="23">
        <f>IF(P16&gt;0,P14/P16*Timing!P87/12,P14)</f>
        <v>3639516.9153189487</v>
      </c>
      <c r="Q17" s="23">
        <f>IF(Q16&gt;0,Q14/Q16*Timing!Q87/12,Q14)</f>
        <v>3639516.915318949</v>
      </c>
      <c r="R17" s="23">
        <f>IF(R16&gt;0,R14/R16*Timing!R87/12,R14)</f>
        <v>3639516.915318949</v>
      </c>
      <c r="S17" s="23">
        <f>IF(S16&gt;0,S14/S16*Timing!S87/12,S14)</f>
        <v>3639516.9153189487</v>
      </c>
      <c r="T17" s="23">
        <f>IF(T16&gt;0,T14/T16*Timing!T87/12,T14)</f>
        <v>3639516.9153189487</v>
      </c>
      <c r="U17" s="23">
        <f>IF(U16&gt;0,U14/U16*Timing!U87/12,U14)</f>
        <v>3639516.9153189487</v>
      </c>
      <c r="V17" s="23">
        <f>IF(V16&gt;0,V14/V16*Timing!V87/12,V14)</f>
        <v>3639516.915318948</v>
      </c>
      <c r="W17" s="23">
        <f>IF(W16&gt;0,W14/W16*Timing!W87/12,W14)</f>
        <v>0</v>
      </c>
      <c r="X17" s="23">
        <f>IF(X16&gt;0,X14/X16*Timing!X87/12,X14)</f>
        <v>0</v>
      </c>
      <c r="Y17" s="23">
        <f>IF(Y16&gt;0,Y14/Y16*Timing!Y87/12,Y14)</f>
        <v>0</v>
      </c>
      <c r="Z17" s="23">
        <f>IF(Z16&gt;0,Z14/Z16*Timing!Z87/12,Z14)</f>
        <v>0</v>
      </c>
      <c r="AA17" s="23">
        <f>IF(AA16&gt;0,AA14/AA16*Timing!AA87/12,AA14)</f>
        <v>0</v>
      </c>
      <c r="AB17" s="23">
        <f>IF(AB16&gt;0,AB14/AB16*Timing!AB87/12,AB14)</f>
        <v>0</v>
      </c>
      <c r="AC17" s="23">
        <f>IF(AC16&gt;0,AC14/AC16*Timing!AC87/12,AC14)</f>
        <v>0</v>
      </c>
      <c r="AD17" s="23">
        <f>IF(AD16&gt;0,AD14/AD16*Timing!AD87/12,AD14)</f>
        <v>0</v>
      </c>
      <c r="AE17" s="23">
        <f>IF(AE16&gt;0,AE14/AE16*Timing!AE87/12,AE14)</f>
        <v>0</v>
      </c>
    </row>
    <row r="18">
      <c r="A18" s="6" t="inlineStr">
        <is>
          <t xml:space="preserve">Declining-balance amount</t>
        </is>
      </c>
      <c r="B18" s="10" t="inlineStr">
        <is>
          <t xml:space="preserve">€</t>
        </is>
      </c>
      <c r="F18" s="23">
        <f>F14*Timing!$C$36*Timing!F87/12</f>
        <v>5459275.372978425</v>
      </c>
      <c r="G18" s="23">
        <f>G14*Timing!$C$36*Timing!G87/12</f>
        <v>10577346.035145696</v>
      </c>
      <c r="H18" s="23">
        <f>H14*Timing!$C$36*Timing!H87/12</f>
        <v>9894936.613523394</v>
      </c>
      <c r="I18" s="23">
        <f>I14*Timing!$C$36*Timing!I87/12</f>
        <v>9212527.191901091</v>
      </c>
      <c r="J18" s="23">
        <f>J14*Timing!$C$36*Timing!J87/12</f>
        <v>8530117.770278787</v>
      </c>
      <c r="K18" s="23">
        <f>K14*Timing!$C$36*Timing!K87/12</f>
        <v>7847708.348656484</v>
      </c>
      <c r="L18" s="23">
        <f>L14*Timing!$C$36*Timing!L87/12</f>
        <v>7165298.927034181</v>
      </c>
      <c r="M18" s="23">
        <f>M14*Timing!$C$36*Timing!M87/12</f>
        <v>6482889.505411877</v>
      </c>
      <c r="N18" s="23">
        <f>N14*Timing!$C$36*Timing!N87/12</f>
        <v>5800480.083789575</v>
      </c>
      <c r="O18" s="23">
        <f>O14*Timing!$C$36*Timing!O87/12</f>
        <v>5118070.662167272</v>
      </c>
      <c r="P18" s="23">
        <f>P14*Timing!$C$36*Timing!P87/12</f>
        <v>4435661.240544969</v>
      </c>
      <c r="Q18" s="23">
        <f>Q14*Timing!$C$36*Timing!Q87/12</f>
        <v>3753251.818922666</v>
      </c>
      <c r="R18" s="23">
        <f>R14*Timing!$C$36*Timing!R87/12</f>
        <v>3070842.397300363</v>
      </c>
      <c r="S18" s="23">
        <f>S14*Timing!$C$36*Timing!S87/12</f>
        <v>2388432.97567806</v>
      </c>
      <c r="T18" s="23">
        <f>T14*Timing!$C$36*Timing!T87/12</f>
        <v>1706023.5540557574</v>
      </c>
      <c r="U18" s="23">
        <f>U14*Timing!$C$36*Timing!U87/12</f>
        <v>1023614.1324334543</v>
      </c>
      <c r="V18" s="23">
        <f>V14*Timing!$C$36*Timing!V87/12</f>
        <v>341204.7108111514</v>
      </c>
      <c r="W18" s="23">
        <f>W14*Timing!$C$36*Timing!W87/12</f>
        <v>0</v>
      </c>
      <c r="X18" s="23">
        <f>X14*Timing!$C$36*Timing!X87/12</f>
        <v>0</v>
      </c>
      <c r="Y18" s="23">
        <f>Y14*Timing!$C$36*Timing!Y87/12</f>
        <v>0</v>
      </c>
      <c r="Z18" s="23">
        <f>Z14*Timing!$C$36*Timing!Z87/12</f>
        <v>0</v>
      </c>
      <c r="AA18" s="23">
        <f>AA14*Timing!$C$36*Timing!AA87/12</f>
        <v>0</v>
      </c>
      <c r="AB18" s="23">
        <f>AB14*Timing!$C$36*Timing!AB87/12</f>
        <v>0</v>
      </c>
      <c r="AC18" s="23">
        <f>AC14*Timing!$C$36*Timing!AC87/12</f>
        <v>0</v>
      </c>
      <c r="AD18" s="23">
        <f>AD14*Timing!$C$36*Timing!AD87/12</f>
        <v>0</v>
      </c>
      <c r="AE18" s="23">
        <f>AE14*Timing!$C$36*Timing!AE87/12</f>
        <v>0</v>
      </c>
    </row>
    <row r="19">
      <c r="A19" s="6" t="inlineStr">
        <is>
          <t xml:space="preserve">Straight-line from this year (1 = yes)</t>
        </is>
      </c>
      <c r="E19" s="9">
        <v>0</v>
      </c>
      <c r="F19" s="23">
        <f>IF(OR(Timing!$C$35=0,E19=1,F17&gt;=F18),1,0)</f>
        <v>1</v>
      </c>
      <c r="G19" s="23">
        <f>IF(OR(Timing!$C$35=0,F19=1,G17&gt;=G18),1,0)</f>
        <v>1</v>
      </c>
      <c r="H19" s="23">
        <f>IF(OR(Timing!$C$35=0,G19=1,H17&gt;=H18),1,0)</f>
        <v>1</v>
      </c>
      <c r="I19" s="23">
        <f>IF(OR(Timing!$C$35=0,H19=1,I17&gt;=I18),1,0)</f>
        <v>1</v>
      </c>
      <c r="J19" s="23">
        <f>IF(OR(Timing!$C$35=0,I19=1,J17&gt;=J18),1,0)</f>
        <v>1</v>
      </c>
      <c r="K19" s="23">
        <f>IF(OR(Timing!$C$35=0,J19=1,K17&gt;=K18),1,0)</f>
        <v>1</v>
      </c>
      <c r="L19" s="23">
        <f>IF(OR(Timing!$C$35=0,K19=1,L17&gt;=L18),1,0)</f>
        <v>1</v>
      </c>
      <c r="M19" s="23">
        <f>IF(OR(Timing!$C$35=0,L19=1,M17&gt;=M18),1,0)</f>
        <v>1</v>
      </c>
      <c r="N19" s="23">
        <f>IF(OR(Timing!$C$35=0,M19=1,N17&gt;=N18),1,0)</f>
        <v>1</v>
      </c>
      <c r="O19" s="23">
        <f>IF(OR(Timing!$C$35=0,N19=1,O17&gt;=O18),1,0)</f>
        <v>1</v>
      </c>
      <c r="P19" s="23">
        <f>IF(OR(Timing!$C$35=0,O19=1,P17&gt;=P18),1,0)</f>
        <v>1</v>
      </c>
      <c r="Q19" s="23">
        <f>IF(OR(Timing!$C$35=0,P19=1,Q17&gt;=Q18),1,0)</f>
        <v>1</v>
      </c>
      <c r="R19" s="23">
        <f>IF(OR(Timing!$C$35=0,Q19=1,R17&gt;=R18),1,0)</f>
        <v>1</v>
      </c>
      <c r="S19" s="23">
        <f>IF(OR(Timing!$C$35=0,R19=1,S17&gt;=S18),1,0)</f>
        <v>1</v>
      </c>
      <c r="T19" s="23">
        <f>IF(OR(Timing!$C$35=0,S19=1,T17&gt;=T18),1,0)</f>
        <v>1</v>
      </c>
      <c r="U19" s="23">
        <f>IF(OR(Timing!$C$35=0,T19=1,U17&gt;=U18),1,0)</f>
        <v>1</v>
      </c>
      <c r="V19" s="23">
        <f>IF(OR(Timing!$C$35=0,U19=1,V17&gt;=V18),1,0)</f>
        <v>1</v>
      </c>
      <c r="W19" s="23">
        <f>IF(OR(Timing!$C$35=0,V19=1,W17&gt;=W18),1,0)</f>
        <v>1</v>
      </c>
      <c r="X19" s="23">
        <f>IF(OR(Timing!$C$35=0,W19=1,X17&gt;=X18),1,0)</f>
        <v>1</v>
      </c>
      <c r="Y19" s="23">
        <f>IF(OR(Timing!$C$35=0,X19=1,Y17&gt;=Y18),1,0)</f>
        <v>1</v>
      </c>
      <c r="Z19" s="23">
        <f>IF(OR(Timing!$C$35=0,Y19=1,Z17&gt;=Z18),1,0)</f>
        <v>1</v>
      </c>
      <c r="AA19" s="23">
        <f>IF(OR(Timing!$C$35=0,Z19=1,AA17&gt;=AA18),1,0)</f>
        <v>1</v>
      </c>
      <c r="AB19" s="23">
        <f>IF(OR(Timing!$C$35=0,AA19=1,AB17&gt;=AB18),1,0)</f>
        <v>1</v>
      </c>
      <c r="AC19" s="23">
        <f>IF(OR(Timing!$C$35=0,AB19=1,AC17&gt;=AC18),1,0)</f>
        <v>1</v>
      </c>
      <c r="AD19" s="23">
        <f>IF(OR(Timing!$C$35=0,AC19=1,AD17&gt;=AD18),1,0)</f>
        <v>1</v>
      </c>
      <c r="AE19" s="23">
        <f>IF(OR(Timing!$C$35=0,AD19=1,AE17&gt;=AE18),1,0)</f>
        <v>1</v>
      </c>
    </row>
    <row r="20">
      <c r="A20" s="6" t="inlineStr">
        <is>
          <t xml:space="preserve">Depreciation by schedule</t>
        </is>
      </c>
      <c r="B20" s="10" t="inlineStr">
        <is>
          <t xml:space="preserve">€</t>
        </is>
      </c>
      <c r="F20" s="23">
        <f>IF(F14&lt;=Inputs!$C$157,0,MIN(F14,IF(F19=1,F17,F18)))</f>
        <v>1819758.4576594748</v>
      </c>
      <c r="G20" s="23">
        <f>IF(G14&lt;=Inputs!$C$157,0,MIN(G14,IF(G19=1,G17,G18)))</f>
        <v>3639516.9153189496</v>
      </c>
      <c r="H20" s="23">
        <f>IF(H14&lt;=Inputs!$C$157,0,MIN(H14,IF(H19=1,H17,H18)))</f>
        <v>3639516.9153189496</v>
      </c>
      <c r="I20" s="23">
        <f>IF(I14&lt;=Inputs!$C$157,0,MIN(I14,IF(I19=1,I17,I18)))</f>
        <v>3639516.915318949</v>
      </c>
      <c r="J20" s="23">
        <f>IF(J14&lt;=Inputs!$C$157,0,MIN(J14,IF(J19=1,J17,J18)))</f>
        <v>3639516.915318949</v>
      </c>
      <c r="K20" s="23">
        <f>IF(K14&lt;=Inputs!$C$157,0,MIN(K14,IF(K19=1,K17,K18)))</f>
        <v>3639516.915318949</v>
      </c>
      <c r="L20" s="23">
        <f>IF(L14&lt;=Inputs!$C$157,0,MIN(L14,IF(L19=1,L17,L18)))</f>
        <v>3639516.9153189487</v>
      </c>
      <c r="M20" s="23">
        <f>IF(M14&lt;=Inputs!$C$157,0,MIN(M14,IF(M19=1,M17,M18)))</f>
        <v>3639516.9153189487</v>
      </c>
      <c r="N20" s="23">
        <f>IF(N14&lt;=Inputs!$C$157,0,MIN(N14,IF(N19=1,N17,N18)))</f>
        <v>3639516.9153189487</v>
      </c>
      <c r="O20" s="23">
        <f>IF(O14&lt;=Inputs!$C$157,0,MIN(O14,IF(O19=1,O17,O18)))</f>
        <v>3639516.915318949</v>
      </c>
      <c r="P20" s="23">
        <f>IF(P14&lt;=Inputs!$C$157,0,MIN(P14,IF(P19=1,P17,P18)))</f>
        <v>3639516.9153189487</v>
      </c>
      <c r="Q20" s="23">
        <f>IF(Q14&lt;=Inputs!$C$157,0,MIN(Q14,IF(Q19=1,Q17,Q18)))</f>
        <v>3639516.915318949</v>
      </c>
      <c r="R20" s="23">
        <f>IF(R14&lt;=Inputs!$C$157,0,MIN(R14,IF(R19=1,R17,R18)))</f>
        <v>3639516.915318949</v>
      </c>
      <c r="S20" s="23">
        <f>IF(S14&lt;=Inputs!$C$157,0,MIN(S14,IF(S19=1,S17,S18)))</f>
        <v>3639516.9153189487</v>
      </c>
      <c r="T20" s="23">
        <f>IF(T14&lt;=Inputs!$C$157,0,MIN(T14,IF(T19=1,T17,T18)))</f>
        <v>3639516.9153189487</v>
      </c>
      <c r="U20" s="23">
        <f>IF(U14&lt;=Inputs!$C$157,0,MIN(U14,IF(U19=1,U17,U18)))</f>
        <v>3639516.9153189487</v>
      </c>
      <c r="V20" s="23">
        <f>IF(V14&lt;=Inputs!$C$157,0,MIN(V14,IF(V19=1,V17,V18)))</f>
        <v>1819758.457659474</v>
      </c>
      <c r="W20" s="23">
        <f>IF(W14&lt;=Inputs!$C$157,0,MIN(W14,IF(W19=1,W17,W18)))</f>
        <v>0</v>
      </c>
      <c r="X20" s="23">
        <f>IF(X14&lt;=Inputs!$C$157,0,MIN(X14,IF(X19=1,X17,X18)))</f>
        <v>0</v>
      </c>
      <c r="Y20" s="23">
        <f>IF(Y14&lt;=Inputs!$C$157,0,MIN(Y14,IF(Y19=1,Y17,Y18)))</f>
        <v>0</v>
      </c>
      <c r="Z20" s="23">
        <f>IF(Z14&lt;=Inputs!$C$157,0,MIN(Z14,IF(Z19=1,Z17,Z18)))</f>
        <v>0</v>
      </c>
      <c r="AA20" s="23">
        <f>IF(AA14&lt;=Inputs!$C$157,0,MIN(AA14,IF(AA19=1,AA17,AA18)))</f>
        <v>0</v>
      </c>
      <c r="AB20" s="23">
        <f>IF(AB14&lt;=Inputs!$C$157,0,MIN(AB14,IF(AB19=1,AB17,AB18)))</f>
        <v>0</v>
      </c>
      <c r="AC20" s="23">
        <f>IF(AC14&lt;=Inputs!$C$157,0,MIN(AC14,IF(AC19=1,AC17,AC18)))</f>
        <v>0</v>
      </c>
      <c r="AD20" s="23">
        <f>IF(AD14&lt;=Inputs!$C$157,0,MIN(AD14,IF(AD19=1,AD17,AD18)))</f>
        <v>0</v>
      </c>
      <c r="AE20" s="23">
        <f>IF(AE14&lt;=Inputs!$C$157,0,MIN(AE14,IF(AE19=1,AE17,AE18)))</f>
        <v>0</v>
      </c>
    </row>
    <row r="21">
      <c r="A21" s="6" t="inlineStr">
        <is>
          <t xml:space="preserve">Book value at the year end</t>
        </is>
      </c>
      <c r="B21" s="10" t="inlineStr">
        <is>
          <t xml:space="preserve">€</t>
        </is>
      </c>
      <c r="E21" s="23">
        <f>$C$13</f>
        <v>58232270.645103194</v>
      </c>
      <c r="F21" s="23">
        <f>F14-F20</f>
        <v>56412512.18744372</v>
      </c>
      <c r="G21" s="23">
        <f>G14-G20</f>
        <v>52772995.27212477</v>
      </c>
      <c r="H21" s="23">
        <f>H14-H20</f>
        <v>49133478.35680582</v>
      </c>
      <c r="I21" s="23">
        <f>I14-I20</f>
        <v>45493961.441486865</v>
      </c>
      <c r="J21" s="23">
        <f>J14-J20</f>
        <v>41854444.526167914</v>
      </c>
      <c r="K21" s="23">
        <f>K14-K20</f>
        <v>38214927.61084896</v>
      </c>
      <c r="L21" s="23">
        <f>L14-L20</f>
        <v>34575410.69553001</v>
      </c>
      <c r="M21" s="23">
        <f>M14-M20</f>
        <v>30935893.780211065</v>
      </c>
      <c r="N21" s="23">
        <f>N14-N20</f>
        <v>27296376.864892118</v>
      </c>
      <c r="O21" s="23">
        <f>O14-O20</f>
        <v>23656859.949573167</v>
      </c>
      <c r="P21" s="23">
        <f>P14-P20</f>
        <v>20017343.03425422</v>
      </c>
      <c r="Q21" s="23">
        <f>Q14-Q20</f>
        <v>16377826.11893527</v>
      </c>
      <c r="R21" s="23">
        <f>R14-R20</f>
        <v>12738309.203616321</v>
      </c>
      <c r="S21" s="23">
        <f>S14-S20</f>
        <v>9098792.288297372</v>
      </c>
      <c r="T21" s="23">
        <f>T14-T20</f>
        <v>5459275.372978423</v>
      </c>
      <c r="U21" s="23">
        <f>U14-U20</f>
        <v>1819758.457659474</v>
      </c>
      <c r="V21" s="23">
        <f>V14-V20</f>
        <v>0</v>
      </c>
      <c r="W21" s="23">
        <f>W14-W20</f>
        <v>0</v>
      </c>
      <c r="X21" s="23">
        <f>X14-X20</f>
        <v>0</v>
      </c>
      <c r="Y21" s="23">
        <f>Y14-Y20</f>
        <v>0</v>
      </c>
      <c r="Z21" s="23">
        <f>Z14-Z20</f>
        <v>0</v>
      </c>
      <c r="AA21" s="23">
        <f>AA14-AA20</f>
        <v>0</v>
      </c>
      <c r="AB21" s="23">
        <f>AB14-AB20</f>
        <v>0</v>
      </c>
      <c r="AC21" s="23">
        <f>AC14-AC20</f>
        <v>0</v>
      </c>
      <c r="AD21" s="23">
        <f>AD14-AD20</f>
        <v>0</v>
      </c>
      <c r="AE21" s="23">
        <f>AE14-AE20</f>
        <v>0</v>
      </c>
    </row>
    <row r="22">
      <c r="A22" s="6" t="inlineStr">
        <is>
          <t xml:space="preserve">Months depreciated</t>
        </is>
      </c>
      <c r="F22" s="23">
        <f>F15+IF(F14&gt;Inputs!$C$157,Timing!F87,0)</f>
        <v>6</v>
      </c>
      <c r="G22" s="23">
        <f>G15+IF(G14&gt;Inputs!$C$157,Timing!G87,0)</f>
        <v>18</v>
      </c>
      <c r="H22" s="23">
        <f>H15+IF(H14&gt;Inputs!$C$157,Timing!H87,0)</f>
        <v>30</v>
      </c>
      <c r="I22" s="23">
        <f>I15+IF(I14&gt;Inputs!$C$157,Timing!I87,0)</f>
        <v>42</v>
      </c>
      <c r="J22" s="23">
        <f>J15+IF(J14&gt;Inputs!$C$157,Timing!J87,0)</f>
        <v>54</v>
      </c>
      <c r="K22" s="23">
        <f>K15+IF(K14&gt;Inputs!$C$157,Timing!K87,0)</f>
        <v>66</v>
      </c>
      <c r="L22" s="23">
        <f>L15+IF(L14&gt;Inputs!$C$157,Timing!L87,0)</f>
        <v>78</v>
      </c>
      <c r="M22" s="23">
        <f>M15+IF(M14&gt;Inputs!$C$157,Timing!M87,0)</f>
        <v>90</v>
      </c>
      <c r="N22" s="23">
        <f>N15+IF(N14&gt;Inputs!$C$157,Timing!N87,0)</f>
        <v>102</v>
      </c>
      <c r="O22" s="23">
        <f>O15+IF(O14&gt;Inputs!$C$157,Timing!O87,0)</f>
        <v>114</v>
      </c>
      <c r="P22" s="23">
        <f>P15+IF(P14&gt;Inputs!$C$157,Timing!P87,0)</f>
        <v>126</v>
      </c>
      <c r="Q22" s="23">
        <f>Q15+IF(Q14&gt;Inputs!$C$157,Timing!Q87,0)</f>
        <v>138</v>
      </c>
      <c r="R22" s="23">
        <f>R15+IF(R14&gt;Inputs!$C$157,Timing!R87,0)</f>
        <v>150</v>
      </c>
      <c r="S22" s="23">
        <f>S15+IF(S14&gt;Inputs!$C$157,Timing!S87,0)</f>
        <v>162</v>
      </c>
      <c r="T22" s="23">
        <f>T15+IF(T14&gt;Inputs!$C$157,Timing!T87,0)</f>
        <v>174</v>
      </c>
      <c r="U22" s="23">
        <f>U15+IF(U14&gt;Inputs!$C$157,Timing!U87,0)</f>
        <v>186</v>
      </c>
      <c r="V22" s="23">
        <f>V15+IF(V14&gt;Inputs!$C$157,Timing!V87,0)</f>
        <v>198</v>
      </c>
      <c r="W22" s="23">
        <f>W15+IF(W14&gt;Inputs!$C$157,Timing!W87,0)</f>
        <v>198</v>
      </c>
      <c r="X22" s="23">
        <f>X15+IF(X14&gt;Inputs!$C$157,Timing!X87,0)</f>
        <v>198</v>
      </c>
      <c r="Y22" s="23">
        <f>Y15+IF(Y14&gt;Inputs!$C$157,Timing!Y87,0)</f>
        <v>198</v>
      </c>
      <c r="Z22" s="23">
        <f>Z15+IF(Z14&gt;Inputs!$C$157,Timing!Z87,0)</f>
        <v>198</v>
      </c>
      <c r="AA22" s="23">
        <f>AA15+IF(AA14&gt;Inputs!$C$157,Timing!AA87,0)</f>
        <v>198</v>
      </c>
      <c r="AB22" s="23">
        <f>AB15+IF(AB14&gt;Inputs!$C$157,Timing!AB87,0)</f>
        <v>198</v>
      </c>
      <c r="AC22" s="23">
        <f>AC15+IF(AC14&gt;Inputs!$C$157,Timing!AC87,0)</f>
        <v>198</v>
      </c>
      <c r="AD22" s="23">
        <f>AD15+IF(AD14&gt;Inputs!$C$157,Timing!AD87,0)</f>
        <v>198</v>
      </c>
      <c r="AE22" s="23">
        <f>AE15+IF(AE14&gt;Inputs!$C$157,Timing!AE87,0)</f>
        <v>198</v>
      </c>
    </row>
    <row r="23">
      <c r="A23" s="6" t="inlineStr">
        <is>
          <t xml:space="preserve">Book value written off when the farm is dismantled</t>
        </is>
      </c>
      <c r="B23" s="10" t="inlineStr">
        <is>
          <t xml:space="preserve">€</t>
        </is>
      </c>
      <c r="F23" s="23">
        <f>IF(AND(Timing!F72=1,F21&gt;Inputs!$C$157),F21,0)</f>
        <v>0</v>
      </c>
      <c r="G23" s="23">
        <f>IF(AND(Timing!G72=1,G21&gt;Inputs!$C$157),G21,0)</f>
        <v>0</v>
      </c>
      <c r="H23" s="23">
        <f>IF(AND(Timing!H72=1,H21&gt;Inputs!$C$157),H21,0)</f>
        <v>0</v>
      </c>
      <c r="I23" s="23">
        <f>IF(AND(Timing!I72=1,I21&gt;Inputs!$C$157),I21,0)</f>
        <v>0</v>
      </c>
      <c r="J23" s="23">
        <f>IF(AND(Timing!J72=1,J21&gt;Inputs!$C$157),J21,0)</f>
        <v>0</v>
      </c>
      <c r="K23" s="23">
        <f>IF(AND(Timing!K72=1,K21&gt;Inputs!$C$157),K21,0)</f>
        <v>0</v>
      </c>
      <c r="L23" s="23">
        <f>IF(AND(Timing!L72=1,L21&gt;Inputs!$C$157),L21,0)</f>
        <v>0</v>
      </c>
      <c r="M23" s="23">
        <f>IF(AND(Timing!M72=1,M21&gt;Inputs!$C$157),M21,0)</f>
        <v>0</v>
      </c>
      <c r="N23" s="23">
        <f>IF(AND(Timing!N72=1,N21&gt;Inputs!$C$157),N21,0)</f>
        <v>0</v>
      </c>
      <c r="O23" s="23">
        <f>IF(AND(Timing!O72=1,O21&gt;Inputs!$C$157),O21,0)</f>
        <v>0</v>
      </c>
      <c r="P23" s="23">
        <f>IF(AND(Timing!P72=1,P21&gt;Inputs!$C$157),P21,0)</f>
        <v>0</v>
      </c>
      <c r="Q23" s="23">
        <f>IF(AND(Timing!Q72=1,Q21&gt;Inputs!$C$157),Q21,0)</f>
        <v>0</v>
      </c>
      <c r="R23" s="23">
        <f>IF(AND(Timing!R72=1,R21&gt;Inputs!$C$157),R21,0)</f>
        <v>0</v>
      </c>
      <c r="S23" s="23">
        <f>IF(AND(Timing!S72=1,S21&gt;Inputs!$C$157),S21,0)</f>
        <v>0</v>
      </c>
      <c r="T23" s="23">
        <f>IF(AND(Timing!T72=1,T21&gt;Inputs!$C$157),T21,0)</f>
        <v>0</v>
      </c>
      <c r="U23" s="23">
        <f>IF(AND(Timing!U72=1,U21&gt;Inputs!$C$157),U21,0)</f>
        <v>0</v>
      </c>
      <c r="V23" s="23">
        <f>IF(AND(Timing!V72=1,V21&gt;Inputs!$C$157),V21,0)</f>
        <v>0</v>
      </c>
      <c r="W23" s="23">
        <f>IF(AND(Timing!W72=1,W21&gt;Inputs!$C$157),W21,0)</f>
        <v>0</v>
      </c>
      <c r="X23" s="23">
        <f>IF(AND(Timing!X72=1,X21&gt;Inputs!$C$157),X21,0)</f>
        <v>0</v>
      </c>
      <c r="Y23" s="23">
        <f>IF(AND(Timing!Y72=1,Y21&gt;Inputs!$C$157),Y21,0)</f>
        <v>0</v>
      </c>
      <c r="Z23" s="23">
        <f>IF(AND(Timing!Z72=1,Z21&gt;Inputs!$C$157),Z21,0)</f>
        <v>0</v>
      </c>
      <c r="AA23" s="23">
        <f>IF(AND(Timing!AA72=1,AA21&gt;Inputs!$C$157),AA21,0)</f>
        <v>0</v>
      </c>
      <c r="AB23" s="23">
        <f>IF(AND(Timing!AB72=1,AB21&gt;Inputs!$C$157),AB21,0)</f>
        <v>0</v>
      </c>
      <c r="AC23" s="23">
        <f>IF(AND(Timing!AC72=1,AC21&gt;Inputs!$C$157),AC21,0)</f>
        <v>0</v>
      </c>
      <c r="AD23" s="23">
        <f>IF(AND(Timing!AD72=1,AD21&gt;Inputs!$C$157),AD21,0)</f>
        <v>0</v>
      </c>
      <c r="AE23" s="23">
        <f>IF(AND(Timing!AE72=1,AE21&gt;Inputs!$C$157),AE21,0)</f>
        <v>0</v>
      </c>
    </row>
    <row r="24">
      <c r="A24" s="41" t="inlineStr">
        <is>
          <t xml:space="preserve">Depreciation</t>
        </is>
      </c>
      <c r="B24" s="10" t="inlineStr">
        <is>
          <t xml:space="preserve">€</t>
        </is>
      </c>
      <c r="F24" s="42">
        <f>F20+F23</f>
        <v>1819758.4576594748</v>
      </c>
      <c r="G24" s="42">
        <f>G20+G23</f>
        <v>3639516.9153189496</v>
      </c>
      <c r="H24" s="42">
        <f>H20+H23</f>
        <v>3639516.9153189496</v>
      </c>
      <c r="I24" s="42">
        <f>I20+I23</f>
        <v>3639516.915318949</v>
      </c>
      <c r="J24" s="42">
        <f>J20+J23</f>
        <v>3639516.915318949</v>
      </c>
      <c r="K24" s="42">
        <f>K20+K23</f>
        <v>3639516.915318949</v>
      </c>
      <c r="L24" s="42">
        <f>L20+L23</f>
        <v>3639516.9153189487</v>
      </c>
      <c r="M24" s="42">
        <f>M20+M23</f>
        <v>3639516.9153189487</v>
      </c>
      <c r="N24" s="42">
        <f>N20+N23</f>
        <v>3639516.9153189487</v>
      </c>
      <c r="O24" s="42">
        <f>O20+O23</f>
        <v>3639516.915318949</v>
      </c>
      <c r="P24" s="42">
        <f>P20+P23</f>
        <v>3639516.9153189487</v>
      </c>
      <c r="Q24" s="42">
        <f>Q20+Q23</f>
        <v>3639516.915318949</v>
      </c>
      <c r="R24" s="42">
        <f>R20+R23</f>
        <v>3639516.915318949</v>
      </c>
      <c r="S24" s="42">
        <f>S20+S23</f>
        <v>3639516.9153189487</v>
      </c>
      <c r="T24" s="42">
        <f>T20+T23</f>
        <v>3639516.9153189487</v>
      </c>
      <c r="U24" s="42">
        <f>U20+U23</f>
        <v>3639516.9153189487</v>
      </c>
      <c r="V24" s="42">
        <f>V20+V23</f>
        <v>1819758.457659474</v>
      </c>
      <c r="W24" s="42">
        <f>W20+W23</f>
        <v>0</v>
      </c>
      <c r="X24" s="42">
        <f>X20+X23</f>
        <v>0</v>
      </c>
      <c r="Y24" s="42">
        <f>Y20+Y23</f>
        <v>0</v>
      </c>
      <c r="Z24" s="42">
        <f>Z20+Z23</f>
        <v>0</v>
      </c>
      <c r="AA24" s="42">
        <f>AA20+AA23</f>
        <v>0</v>
      </c>
      <c r="AB24" s="42">
        <f>AB20+AB23</f>
        <v>0</v>
      </c>
      <c r="AC24" s="42">
        <f>AC20+AC23</f>
        <v>0</v>
      </c>
      <c r="AD24" s="42">
        <f>AD20+AD23</f>
        <v>0</v>
      </c>
      <c r="AE24" s="42">
        <f>AE20+AE23</f>
        <v>0</v>
      </c>
    </row>
    <row r="25">
      <c r="A25" s="6" t="inlineStr">
        <is>
          <t xml:space="preserve">Interest</t>
        </is>
      </c>
      <c r="B25" s="10" t="inlineStr">
        <is>
          <t xml:space="preserve">€</t>
        </is>
      </c>
      <c r="F25" s="45">
        <f>Debt!F10</f>
        <v>551915.1400212483</v>
      </c>
      <c r="G25" s="45">
        <f>Debt!G10</f>
        <v>1103830.2800424965</v>
      </c>
      <c r="H25" s="45">
        <f>Debt!H10</f>
        <v>1079481.0826886182</v>
      </c>
      <c r="I25" s="45">
        <f>Debt!I10</f>
        <v>1014549.8897449417</v>
      </c>
      <c r="J25" s="45">
        <f>Debt!J10</f>
        <v>949618.6968012657</v>
      </c>
      <c r="K25" s="45">
        <f>Debt!K10</f>
        <v>884687.5038575892</v>
      </c>
      <c r="L25" s="45">
        <f>Debt!L10</f>
        <v>819756.3109139131</v>
      </c>
      <c r="M25" s="45">
        <f>Debt!M10</f>
        <v>754825.117970237</v>
      </c>
      <c r="N25" s="45">
        <f>Debt!N10</f>
        <v>689893.9250265607</v>
      </c>
      <c r="O25" s="45">
        <f>Debt!O10</f>
        <v>624962.7320828846</v>
      </c>
      <c r="P25" s="45">
        <f>Debt!P10</f>
        <v>560031.5391392084</v>
      </c>
      <c r="Q25" s="45">
        <f>Debt!Q10</f>
        <v>495100.34619553224</v>
      </c>
      <c r="R25" s="45">
        <f>Debt!R10</f>
        <v>430169.1532518559</v>
      </c>
      <c r="S25" s="45">
        <f>Debt!S10</f>
        <v>365237.9603081797</v>
      </c>
      <c r="T25" s="45">
        <f>Debt!T10</f>
        <v>300306.7673645036</v>
      </c>
      <c r="U25" s="45">
        <f>Debt!U10</f>
        <v>235375.57442082735</v>
      </c>
      <c r="V25" s="45">
        <f>Debt!V10</f>
        <v>170444.38147715112</v>
      </c>
      <c r="W25" s="45">
        <f>Debt!W10</f>
        <v>105513.18853347484</v>
      </c>
      <c r="X25" s="45">
        <f>Debt!X10</f>
        <v>40581.99558979853</v>
      </c>
      <c r="Y25" s="45">
        <f>Debt!Y10</f>
        <v>0</v>
      </c>
      <c r="Z25" s="45">
        <f>Debt!Z10</f>
        <v>0</v>
      </c>
      <c r="AA25" s="45">
        <f>Debt!AA10</f>
        <v>0</v>
      </c>
      <c r="AB25" s="45">
        <f>Debt!AB10</f>
        <v>0</v>
      </c>
      <c r="AC25" s="45">
        <f>Debt!AC10</f>
        <v>0</v>
      </c>
      <c r="AD25" s="45">
        <f>Debt!AD10</f>
        <v>0</v>
      </c>
      <c r="AE25" s="45">
        <f>Debt!AE10</f>
        <v>0</v>
      </c>
    </row>
    <row r="26">
      <c r="A26" s="41" t="inlineStr">
        <is>
          <t xml:space="preserve">Profit before tax</t>
        </is>
      </c>
      <c r="B26" s="10" t="inlineStr">
        <is>
          <t xml:space="preserve">€</t>
        </is>
      </c>
      <c r="F26" s="42">
        <f>Operations!F51-F24-F25-F10</f>
        <v>-216726.8200686753</v>
      </c>
      <c r="G26" s="42">
        <f>Operations!G51-G24-G25-G10</f>
        <v>-1380032.5755836838</v>
      </c>
      <c r="H26" s="42">
        <f>Operations!H51-H24-H25-H10</f>
        <v>-1447082.372631432</v>
      </c>
      <c r="I26" s="42">
        <f>Operations!I51-I24-I25-I10</f>
        <v>-1324838.72081403</v>
      </c>
      <c r="J26" s="42">
        <f>Operations!J51-J24-J25-J10</f>
        <v>-1201999.0468989892</v>
      </c>
      <c r="K26" s="42">
        <f>Operations!K51-K24-K25-K10</f>
        <v>-1078349.708162242</v>
      </c>
      <c r="L26" s="42">
        <f>Operations!L51-L24-L25-L10</f>
        <v>-954136.8472766748</v>
      </c>
      <c r="M26" s="42">
        <f>Operations!M51-M24-M25-M10</f>
        <v>-829314.3660979918</v>
      </c>
      <c r="N26" s="42">
        <f>Operations!N51-N24-N25-N10</f>
        <v>-704039.1442592852</v>
      </c>
      <c r="O26" s="42">
        <f>Operations!O51-O24-O25-O10</f>
        <v>-577978.2296367418</v>
      </c>
      <c r="P26" s="42">
        <f>Operations!P51-P24-P25-P10</f>
        <v>-575572.9284100273</v>
      </c>
      <c r="Q26" s="42">
        <f>Operations!Q51-Q24-Q25-Q10</f>
        <v>-451135.89037614694</v>
      </c>
      <c r="R26" s="42">
        <f>Operations!R51-R24-R25-R10</f>
        <v>-326529.77779802267</v>
      </c>
      <c r="S26" s="42">
        <f>Operations!S51-S24-S25-S10</f>
        <v>-201245.45742609503</v>
      </c>
      <c r="T26" s="42">
        <f>Operations!T51-T24-T25-T10</f>
        <v>-75891.94310094533</v>
      </c>
      <c r="U26" s="42">
        <f>Operations!U51-U24-U25-U10</f>
        <v>49636.43824430855</v>
      </c>
      <c r="V26" s="42">
        <f>Operations!V51-V24-V25-V10</f>
        <v>1994723.6345480173</v>
      </c>
      <c r="W26" s="42">
        <f>Operations!W51-W24-W25-W10</f>
        <v>3940380.9656322505</v>
      </c>
      <c r="X26" s="42">
        <f>Operations!X51-X24-X25-X10</f>
        <v>4065924.9803601927</v>
      </c>
      <c r="Y26" s="42">
        <f>Operations!Y51-Y24-Y25-Y10</f>
        <v>4166925.268703188</v>
      </c>
      <c r="Z26" s="42">
        <f>Operations!Z51-Z24-Z25-Z10</f>
        <v>4145940.181257123</v>
      </c>
      <c r="AA26" s="42">
        <f>Operations!AA51-AA24-AA25-AA10</f>
        <v>4204385.3456339445</v>
      </c>
      <c r="AB26" s="42">
        <f>Operations!AB51-AB24-AB25-AB10</f>
        <v>4261809.186935576</v>
      </c>
      <c r="AC26" s="42">
        <f>Operations!AC51-AC24-AC25-AC10</f>
        <v>4318452.541695523</v>
      </c>
      <c r="AD26" s="42">
        <f>Operations!AD51-AD24-AD25-AD10</f>
        <v>4305400.676139118</v>
      </c>
      <c r="AE26" s="42">
        <f>Operations!AE51-AE24-AE25-AE10</f>
        <v>2241094.265065904</v>
      </c>
    </row>
    <row r="27">
      <c r="A27" s="6" t="inlineStr">
        <is>
          <t xml:space="preserve">Trade tax: add-back of interest and land lease</t>
        </is>
      </c>
      <c r="B27" s="10" t="inlineStr">
        <is>
          <t xml:space="preserve">€</t>
        </is>
      </c>
      <c r="F27" s="23">
        <f>Inputs!$C$116*MAX(0,F25+Inputs!$C$118*Operations!F44-Inputs!$C$117)</f>
        <v>126162.54173546663</v>
      </c>
      <c r="G27" s="23">
        <f>Inputs!$C$116*MAX(0,G25+Inputs!$C$118*Operations!G44-Inputs!$C$117)</f>
        <v>289385.35085537215</v>
      </c>
      <c r="H27" s="23">
        <f>Inputs!$C$116*MAX(0,H25+Inputs!$C$118*Operations!H44-Inputs!$C$117)</f>
        <v>282344.4811200042</v>
      </c>
      <c r="I27" s="23">
        <f>Inputs!$C$116*MAX(0,I25+Inputs!$C$118*Operations!I44-Inputs!$C$117)</f>
        <v>267233.71970372845</v>
      </c>
      <c r="J27" s="23">
        <f>Inputs!$C$116*MAX(0,J25+Inputs!$C$118*Operations!J44-Inputs!$C$117)</f>
        <v>252143.11006873357</v>
      </c>
      <c r="K27" s="23">
        <f>Inputs!$C$116*MAX(0,K25+Inputs!$C$118*Operations!K44-Inputs!$C$117)</f>
        <v>237073.01414101128</v>
      </c>
      <c r="L27" s="23">
        <f>Inputs!$C$116*MAX(0,L25+Inputs!$C$118*Operations!L44-Inputs!$C$117)</f>
        <v>222023.8003467442</v>
      </c>
      <c r="M27" s="23">
        <f>Inputs!$C$116*MAX(0,M25+Inputs!$C$118*Operations!M44-Inputs!$C$117)</f>
        <v>206995.84372904926</v>
      </c>
      <c r="N27" s="23">
        <f>Inputs!$C$116*MAX(0,N25+Inputs!$C$118*Operations!N44-Inputs!$C$117)</f>
        <v>191989.52606681752</v>
      </c>
      <c r="O27" s="23">
        <f>Inputs!$C$116*MAX(0,O25+Inputs!$C$118*Operations!O44-Inputs!$C$117)</f>
        <v>177005.2359956893</v>
      </c>
      <c r="P27" s="23">
        <f>Inputs!$C$116*MAX(0,P25+Inputs!$C$118*Operations!P44-Inputs!$C$117)</f>
        <v>162043.36913120066</v>
      </c>
      <c r="Q27" s="23">
        <f>Inputs!$C$116*MAX(0,Q25+Inputs!$C$118*Operations!Q44-Inputs!$C$117)</f>
        <v>147104.32819414293</v>
      </c>
      <c r="R27" s="23">
        <f>Inputs!$C$116*MAX(0,R25+Inputs!$C$118*Operations!R44-Inputs!$C$117)</f>
        <v>132188.52313817272</v>
      </c>
      <c r="S27" s="23">
        <f>Inputs!$C$116*MAX(0,S25+Inputs!$C$118*Operations!S44-Inputs!$C$117)</f>
        <v>117296.37127971445</v>
      </c>
      <c r="T27" s="23">
        <f>Inputs!$C$116*MAX(0,T25+Inputs!$C$118*Operations!T44-Inputs!$C$117)</f>
        <v>102428.29743019532</v>
      </c>
      <c r="U27" s="23">
        <f>Inputs!$C$116*MAX(0,U25+Inputs!$C$118*Operations!U44-Inputs!$C$117)</f>
        <v>87584.73403065596</v>
      </c>
      <c r="V27" s="23">
        <f>Inputs!$C$116*MAX(0,V25+Inputs!$C$118*Operations!V44-Inputs!$C$117)</f>
        <v>72766.12128877795</v>
      </c>
      <c r="W27" s="23">
        <f>Inputs!$C$116*MAX(0,W25+Inputs!$C$118*Operations!W44-Inputs!$C$117)</f>
        <v>57972.90731837292</v>
      </c>
      <c r="X27" s="23">
        <f>Inputs!$C$116*MAX(0,X25+Inputs!$C$118*Operations!X44-Inputs!$C$117)</f>
        <v>43205.54828137654</v>
      </c>
      <c r="Y27" s="23">
        <f>Inputs!$C$116*MAX(0,Y25+Inputs!$C$118*Operations!Y44-Inputs!$C$117)</f>
        <v>34551.807870862234</v>
      </c>
      <c r="Z27" s="23">
        <f>Inputs!$C$116*MAX(0,Z25+Inputs!$C$118*Operations!Z44-Inputs!$C$117)</f>
        <v>36070.35834022293</v>
      </c>
      <c r="AA27" s="23">
        <f>Inputs!$C$116*MAX(0,AA25+Inputs!$C$118*Operations!AA44-Inputs!$C$117)</f>
        <v>37616.18197601332</v>
      </c>
      <c r="AB27" s="23">
        <f>Inputs!$C$116*MAX(0,AB25+Inputs!$C$118*Operations!AB44-Inputs!$C$117)</f>
        <v>39189.76860430252</v>
      </c>
      <c r="AC27" s="23">
        <f>Inputs!$C$116*MAX(0,AC25+Inputs!$C$118*Operations!AC44-Inputs!$C$117)</f>
        <v>40791.616848435806</v>
      </c>
      <c r="AD27" s="23">
        <f>Inputs!$C$116*MAX(0,AD25+Inputs!$C$118*Operations!AD44-Inputs!$C$117)</f>
        <v>42422.234287033716</v>
      </c>
      <c r="AE27" s="23">
        <f>Inputs!$C$116*MAX(0,AE25+Inputs!$C$118*Operations!AE44-Inputs!$C$117)</f>
        <v>0</v>
      </c>
    </row>
    <row r="28">
      <c r="A28" s="6" t="inlineStr">
        <is>
          <t xml:space="preserve">Trade income before losses</t>
        </is>
      </c>
      <c r="B28" s="10" t="inlineStr">
        <is>
          <t xml:space="preserve">€</t>
        </is>
      </c>
      <c r="F28" s="23">
        <f>F26+F27</f>
        <v>-90564.27833320867</v>
      </c>
      <c r="G28" s="23">
        <f>G26+G27</f>
        <v>-1090647.2247283116</v>
      </c>
      <c r="H28" s="23">
        <f>H26+H27</f>
        <v>-1164737.8915114277</v>
      </c>
      <c r="I28" s="23">
        <f>I26+I27</f>
        <v>-1057605.0011103014</v>
      </c>
      <c r="J28" s="23">
        <f>J26+J27</f>
        <v>-949855.9368302557</v>
      </c>
      <c r="K28" s="23">
        <f>K26+K27</f>
        <v>-841276.6940212308</v>
      </c>
      <c r="L28" s="23">
        <f>L26+L27</f>
        <v>-732113.0469299306</v>
      </c>
      <c r="M28" s="23">
        <f>M26+M27</f>
        <v>-622318.5223689426</v>
      </c>
      <c r="N28" s="23">
        <f>N26+N27</f>
        <v>-512049.61819246766</v>
      </c>
      <c r="O28" s="23">
        <f>O26+O27</f>
        <v>-400972.9936410525</v>
      </c>
      <c r="P28" s="23">
        <f>P26+P27</f>
        <v>-413529.55927882664</v>
      </c>
      <c r="Q28" s="23">
        <f>Q26+Q27</f>
        <v>-304031.562182004</v>
      </c>
      <c r="R28" s="23">
        <f>R26+R27</f>
        <v>-194341.25465984995</v>
      </c>
      <c r="S28" s="23">
        <f>S26+S27</f>
        <v>-83949.08614638058</v>
      </c>
      <c r="T28" s="23">
        <f>T26+T27</f>
        <v>26536.354329249996</v>
      </c>
      <c r="U28" s="23">
        <f>U26+U27</f>
        <v>137221.1722749645</v>
      </c>
      <c r="V28" s="23">
        <f>V26+V27</f>
        <v>2067489.7558367953</v>
      </c>
      <c r="W28" s="23">
        <f>W26+W27</f>
        <v>3998353.8729506233</v>
      </c>
      <c r="X28" s="23">
        <f>X26+X27</f>
        <v>4109130.5286415694</v>
      </c>
      <c r="Y28" s="23">
        <f>Y26+Y27</f>
        <v>4201477.07657405</v>
      </c>
      <c r="Z28" s="23">
        <f>Z26+Z27</f>
        <v>4182010.539597346</v>
      </c>
      <c r="AA28" s="23">
        <f>AA26+AA27</f>
        <v>4242001.527609957</v>
      </c>
      <c r="AB28" s="23">
        <f>AB26+AB27</f>
        <v>4300998.955539878</v>
      </c>
      <c r="AC28" s="23">
        <f>AC26+AC27</f>
        <v>4359244.158543959</v>
      </c>
      <c r="AD28" s="23">
        <f>AD26+AD27</f>
        <v>4347822.910426152</v>
      </c>
      <c r="AE28" s="23">
        <f>AE26+AE27</f>
        <v>2241094.265065904</v>
      </c>
    </row>
    <row r="29">
      <c r="A29" s="6" t="inlineStr">
        <is>
          <t xml:space="preserve">Trade loss carry-forward at the start</t>
        </is>
      </c>
      <c r="B29" s="10" t="inlineStr">
        <is>
          <t xml:space="preserve">€</t>
        </is>
      </c>
      <c r="E29" s="9">
        <v>0</v>
      </c>
      <c r="F29" s="23">
        <f>E31</f>
        <v>0</v>
      </c>
      <c r="G29" s="23">
        <f>F31</f>
        <v>90564.27833320867</v>
      </c>
      <c r="H29" s="23">
        <f>G31</f>
        <v>1181211.5030615204</v>
      </c>
      <c r="I29" s="23">
        <f>H31</f>
        <v>2345949.394572948</v>
      </c>
      <c r="J29" s="23">
        <f>I31</f>
        <v>3403554.3956832495</v>
      </c>
      <c r="K29" s="23">
        <f>J31</f>
        <v>4353410.332513506</v>
      </c>
      <c r="L29" s="23">
        <f>K31</f>
        <v>5194687.026534736</v>
      </c>
      <c r="M29" s="23">
        <f>L31</f>
        <v>5926800.0734646665</v>
      </c>
      <c r="N29" s="23">
        <f>M31</f>
        <v>6549118.595833609</v>
      </c>
      <c r="O29" s="23">
        <f>N31</f>
        <v>7061168.214026077</v>
      </c>
      <c r="P29" s="23">
        <f>O31</f>
        <v>7462141.207667129</v>
      </c>
      <c r="Q29" s="23">
        <f>P31</f>
        <v>7875670.766945955</v>
      </c>
      <c r="R29" s="23">
        <f>Q31</f>
        <v>8179702.329127959</v>
      </c>
      <c r="S29" s="23">
        <f>R31</f>
        <v>8374043.583787809</v>
      </c>
      <c r="T29" s="23">
        <f>S31</f>
        <v>8457992.669934189</v>
      </c>
      <c r="U29" s="23">
        <f>T31</f>
        <v>8431456.315604938</v>
      </c>
      <c r="V29" s="23">
        <f>U31</f>
        <v>8294235.143329973</v>
      </c>
      <c r="W29" s="23">
        <f>V31</f>
        <v>6653741.289827896</v>
      </c>
      <c r="X29" s="23">
        <f>W31</f>
        <v>3854728.966057522</v>
      </c>
      <c r="Y29" s="23">
        <f>X31</f>
        <v>989250.6488725804</v>
      </c>
      <c r="Z29" s="23">
        <f>Y31</f>
        <v>0</v>
      </c>
      <c r="AA29" s="23">
        <f>Z31</f>
        <v>0</v>
      </c>
      <c r="AB29" s="23">
        <f>AA31</f>
        <v>0</v>
      </c>
      <c r="AC29" s="23">
        <f>AB31</f>
        <v>0</v>
      </c>
      <c r="AD29" s="23">
        <f>AC31</f>
        <v>0</v>
      </c>
      <c r="AE29" s="23">
        <f>AD31</f>
        <v>0</v>
      </c>
    </row>
    <row r="30">
      <c r="A30" s="6" t="inlineStr">
        <is>
          <t xml:space="preserve">Trade losses used (€1m in full, 60 % above)</t>
        </is>
      </c>
      <c r="B30" s="10" t="inlineStr">
        <is>
          <t xml:space="preserve">€</t>
        </is>
      </c>
      <c r="F30" s="23">
        <f>IF(F28&gt;0,MIN(F29,MIN(F28,Inputs!$C$119)+Inputs!$C$120*MAX(0,F28-Inputs!$C$119)),0)</f>
        <v>0</v>
      </c>
      <c r="G30" s="23">
        <f>IF(G28&gt;0,MIN(G29,MIN(G28,Inputs!$C$119)+Inputs!$C$120*MAX(0,G28-Inputs!$C$119)),0)</f>
        <v>0</v>
      </c>
      <c r="H30" s="23">
        <f>IF(H28&gt;0,MIN(H29,MIN(H28,Inputs!$C$119)+Inputs!$C$120*MAX(0,H28-Inputs!$C$119)),0)</f>
        <v>0</v>
      </c>
      <c r="I30" s="23">
        <f>IF(I28&gt;0,MIN(I29,MIN(I28,Inputs!$C$119)+Inputs!$C$120*MAX(0,I28-Inputs!$C$119)),0)</f>
        <v>0</v>
      </c>
      <c r="J30" s="23">
        <f>IF(J28&gt;0,MIN(J29,MIN(J28,Inputs!$C$119)+Inputs!$C$120*MAX(0,J28-Inputs!$C$119)),0)</f>
        <v>0</v>
      </c>
      <c r="K30" s="23">
        <f>IF(K28&gt;0,MIN(K29,MIN(K28,Inputs!$C$119)+Inputs!$C$120*MAX(0,K28-Inputs!$C$119)),0)</f>
        <v>0</v>
      </c>
      <c r="L30" s="23">
        <f>IF(L28&gt;0,MIN(L29,MIN(L28,Inputs!$C$119)+Inputs!$C$120*MAX(0,L28-Inputs!$C$119)),0)</f>
        <v>0</v>
      </c>
      <c r="M30" s="23">
        <f>IF(M28&gt;0,MIN(M29,MIN(M28,Inputs!$C$119)+Inputs!$C$120*MAX(0,M28-Inputs!$C$119)),0)</f>
        <v>0</v>
      </c>
      <c r="N30" s="23">
        <f>IF(N28&gt;0,MIN(N29,MIN(N28,Inputs!$C$119)+Inputs!$C$120*MAX(0,N28-Inputs!$C$119)),0)</f>
        <v>0</v>
      </c>
      <c r="O30" s="23">
        <f>IF(O28&gt;0,MIN(O29,MIN(O28,Inputs!$C$119)+Inputs!$C$120*MAX(0,O28-Inputs!$C$119)),0)</f>
        <v>0</v>
      </c>
      <c r="P30" s="23">
        <f>IF(P28&gt;0,MIN(P29,MIN(P28,Inputs!$C$119)+Inputs!$C$120*MAX(0,P28-Inputs!$C$119)),0)</f>
        <v>0</v>
      </c>
      <c r="Q30" s="23">
        <f>IF(Q28&gt;0,MIN(Q29,MIN(Q28,Inputs!$C$119)+Inputs!$C$120*MAX(0,Q28-Inputs!$C$119)),0)</f>
        <v>0</v>
      </c>
      <c r="R30" s="23">
        <f>IF(R28&gt;0,MIN(R29,MIN(R28,Inputs!$C$119)+Inputs!$C$120*MAX(0,R28-Inputs!$C$119)),0)</f>
        <v>0</v>
      </c>
      <c r="S30" s="23">
        <f>IF(S28&gt;0,MIN(S29,MIN(S28,Inputs!$C$119)+Inputs!$C$120*MAX(0,S28-Inputs!$C$119)),0)</f>
        <v>0</v>
      </c>
      <c r="T30" s="23">
        <f>IF(T28&gt;0,MIN(T29,MIN(T28,Inputs!$C$119)+Inputs!$C$120*MAX(0,T28-Inputs!$C$119)),0)</f>
        <v>26536.354329250753</v>
      </c>
      <c r="U30" s="23">
        <f>IF(U28&gt;0,MIN(U29,MIN(U28,Inputs!$C$119)+Inputs!$C$120*MAX(0,U28-Inputs!$C$119)),0)</f>
        <v>137221.17227496486</v>
      </c>
      <c r="V30" s="23">
        <f>IF(V28&gt;0,MIN(V29,MIN(V28,Inputs!$C$119)+Inputs!$C$120*MAX(0,V28-Inputs!$C$119)),0)</f>
        <v>1640493.853502077</v>
      </c>
      <c r="W30" s="23">
        <f>IF(W28&gt;0,MIN(W29,MIN(W28,Inputs!$C$119)+Inputs!$C$120*MAX(0,W28-Inputs!$C$119)),0)</f>
        <v>2799012.323770374</v>
      </c>
      <c r="X30" s="23">
        <f>IF(X28&gt;0,MIN(X29,MIN(X28,Inputs!$C$119)+Inputs!$C$120*MAX(0,X28-Inputs!$C$119)),0)</f>
        <v>2865478.317184942</v>
      </c>
      <c r="Y30" s="23">
        <f>IF(Y28&gt;0,MIN(Y29,MIN(Y28,Inputs!$C$119)+Inputs!$C$120*MAX(0,Y28-Inputs!$C$119)),0)</f>
        <v>989250.6488725804</v>
      </c>
      <c r="Z30" s="23">
        <f>IF(Z28&gt;0,MIN(Z29,MIN(Z28,Inputs!$C$119)+Inputs!$C$120*MAX(0,Z28-Inputs!$C$119)),0)</f>
        <v>0</v>
      </c>
      <c r="AA30" s="23">
        <f>IF(AA28&gt;0,MIN(AA29,MIN(AA28,Inputs!$C$119)+Inputs!$C$120*MAX(0,AA28-Inputs!$C$119)),0)</f>
        <v>0</v>
      </c>
      <c r="AB30" s="23">
        <f>IF(AB28&gt;0,MIN(AB29,MIN(AB28,Inputs!$C$119)+Inputs!$C$120*MAX(0,AB28-Inputs!$C$119)),0)</f>
        <v>0</v>
      </c>
      <c r="AC30" s="23">
        <f>IF(AC28&gt;0,MIN(AC29,MIN(AC28,Inputs!$C$119)+Inputs!$C$120*MAX(0,AC28-Inputs!$C$119)),0)</f>
        <v>0</v>
      </c>
      <c r="AD30" s="23">
        <f>IF(AD28&gt;0,MIN(AD29,MIN(AD28,Inputs!$C$119)+Inputs!$C$120*MAX(0,AD28-Inputs!$C$119)),0)</f>
        <v>0</v>
      </c>
      <c r="AE30" s="23">
        <f>IF(AE28&gt;0,MIN(AE29,MIN(AE28,Inputs!$C$119)+Inputs!$C$120*MAX(0,AE28-Inputs!$C$119)),0)</f>
        <v>0</v>
      </c>
    </row>
    <row r="31">
      <c r="A31" s="6" t="inlineStr">
        <is>
          <t xml:space="preserve">Trade loss carry-forward at the year end</t>
        </is>
      </c>
      <c r="B31" s="10" t="inlineStr">
        <is>
          <t xml:space="preserve">€</t>
        </is>
      </c>
      <c r="F31" s="23">
        <f>F29-F30+MAX(0,-F28)</f>
        <v>90564.27833320867</v>
      </c>
      <c r="G31" s="23">
        <f>G29-G30+MAX(0,-G28)</f>
        <v>1181211.5030615204</v>
      </c>
      <c r="H31" s="23">
        <f>H29-H30+MAX(0,-H28)</f>
        <v>2345949.394572948</v>
      </c>
      <c r="I31" s="23">
        <f>I29-I30+MAX(0,-I28)</f>
        <v>3403554.3956832495</v>
      </c>
      <c r="J31" s="23">
        <f>J29-J30+MAX(0,-J28)</f>
        <v>4353410.332513506</v>
      </c>
      <c r="K31" s="23">
        <f>K29-K30+MAX(0,-K28)</f>
        <v>5194687.026534736</v>
      </c>
      <c r="L31" s="23">
        <f>L29-L30+MAX(0,-L28)</f>
        <v>5926800.0734646665</v>
      </c>
      <c r="M31" s="23">
        <f>M29-M30+MAX(0,-M28)</f>
        <v>6549118.595833609</v>
      </c>
      <c r="N31" s="23">
        <f>N29-N30+MAX(0,-N28)</f>
        <v>7061168.214026077</v>
      </c>
      <c r="O31" s="23">
        <f>O29-O30+MAX(0,-O28)</f>
        <v>7462141.207667129</v>
      </c>
      <c r="P31" s="23">
        <f>P29-P30+MAX(0,-P28)</f>
        <v>7875670.766945955</v>
      </c>
      <c r="Q31" s="23">
        <f>Q29-Q30+MAX(0,-Q28)</f>
        <v>8179702.329127959</v>
      </c>
      <c r="R31" s="23">
        <f>R29-R30+MAX(0,-R28)</f>
        <v>8374043.583787809</v>
      </c>
      <c r="S31" s="23">
        <f>S29-S30+MAX(0,-S28)</f>
        <v>8457992.669934189</v>
      </c>
      <c r="T31" s="23">
        <f>T29-T30+MAX(0,-T28)</f>
        <v>8431456.315604938</v>
      </c>
      <c r="U31" s="23">
        <f>U29-U30+MAX(0,-U28)</f>
        <v>8294235.143329973</v>
      </c>
      <c r="V31" s="23">
        <f>V29-V30+MAX(0,-V28)</f>
        <v>6653741.289827896</v>
      </c>
      <c r="W31" s="23">
        <f>W29-W30+MAX(0,-W28)</f>
        <v>3854728.966057522</v>
      </c>
      <c r="X31" s="23">
        <f>X29-X30+MAX(0,-X28)</f>
        <v>989250.6488725804</v>
      </c>
      <c r="Y31" s="23">
        <f>Y29-Y30+MAX(0,-Y28)</f>
        <v>0</v>
      </c>
      <c r="Z31" s="23">
        <f>Z29-Z30+MAX(0,-Z28)</f>
        <v>0</v>
      </c>
      <c r="AA31" s="23">
        <f>AA29-AA30+MAX(0,-AA28)</f>
        <v>0</v>
      </c>
      <c r="AB31" s="23">
        <f>AB29-AB30+MAX(0,-AB28)</f>
        <v>0</v>
      </c>
      <c r="AC31" s="23">
        <f>AC29-AC30+MAX(0,-AC28)</f>
        <v>0</v>
      </c>
      <c r="AD31" s="23">
        <f>AD29-AD30+MAX(0,-AD28)</f>
        <v>0</v>
      </c>
      <c r="AE31" s="23">
        <f>AE29-AE30+MAX(0,-AE28)</f>
        <v>0</v>
      </c>
    </row>
    <row r="32">
      <c r="A32" s="6" t="inlineStr">
        <is>
          <t xml:space="preserve">Trade tax base (rounded down to €100; KG allowance)</t>
        </is>
      </c>
      <c r="B32" s="10" t="inlineStr">
        <is>
          <t xml:space="preserve">€</t>
        </is>
      </c>
      <c r="F32" s="23">
        <f>IF(Inputs!$C$91="KG",MAX(0,ROUNDDOWN(MAX(0,F28-F30)/100,0)*100-Inputs!$C$115),ROUNDDOWN(MAX(0,F28-F30)/100,0)*100)</f>
        <v>0</v>
      </c>
      <c r="G32" s="23">
        <f>IF(Inputs!$C$91="KG",MAX(0,ROUNDDOWN(MAX(0,G28-G30)/100,0)*100-Inputs!$C$115),ROUNDDOWN(MAX(0,G28-G30)/100,0)*100)</f>
        <v>0</v>
      </c>
      <c r="H32" s="23">
        <f>IF(Inputs!$C$91="KG",MAX(0,ROUNDDOWN(MAX(0,H28-H30)/100,0)*100-Inputs!$C$115),ROUNDDOWN(MAX(0,H28-H30)/100,0)*100)</f>
        <v>0</v>
      </c>
      <c r="I32" s="23">
        <f>IF(Inputs!$C$91="KG",MAX(0,ROUNDDOWN(MAX(0,I28-I30)/100,0)*100-Inputs!$C$115),ROUNDDOWN(MAX(0,I28-I30)/100,0)*100)</f>
        <v>0</v>
      </c>
      <c r="J32" s="23">
        <f>IF(Inputs!$C$91="KG",MAX(0,ROUNDDOWN(MAX(0,J28-J30)/100,0)*100-Inputs!$C$115),ROUNDDOWN(MAX(0,J28-J30)/100,0)*100)</f>
        <v>0</v>
      </c>
      <c r="K32" s="23">
        <f>IF(Inputs!$C$91="KG",MAX(0,ROUNDDOWN(MAX(0,K28-K30)/100,0)*100-Inputs!$C$115),ROUNDDOWN(MAX(0,K28-K30)/100,0)*100)</f>
        <v>0</v>
      </c>
      <c r="L32" s="23">
        <f>IF(Inputs!$C$91="KG",MAX(0,ROUNDDOWN(MAX(0,L28-L30)/100,0)*100-Inputs!$C$115),ROUNDDOWN(MAX(0,L28-L30)/100,0)*100)</f>
        <v>0</v>
      </c>
      <c r="M32" s="23">
        <f>IF(Inputs!$C$91="KG",MAX(0,ROUNDDOWN(MAX(0,M28-M30)/100,0)*100-Inputs!$C$115),ROUNDDOWN(MAX(0,M28-M30)/100,0)*100)</f>
        <v>0</v>
      </c>
      <c r="N32" s="23">
        <f>IF(Inputs!$C$91="KG",MAX(0,ROUNDDOWN(MAX(0,N28-N30)/100,0)*100-Inputs!$C$115),ROUNDDOWN(MAX(0,N28-N30)/100,0)*100)</f>
        <v>0</v>
      </c>
      <c r="O32" s="23">
        <f>IF(Inputs!$C$91="KG",MAX(0,ROUNDDOWN(MAX(0,O28-O30)/100,0)*100-Inputs!$C$115),ROUNDDOWN(MAX(0,O28-O30)/100,0)*100)</f>
        <v>0</v>
      </c>
      <c r="P32" s="23">
        <f>IF(Inputs!$C$91="KG",MAX(0,ROUNDDOWN(MAX(0,P28-P30)/100,0)*100-Inputs!$C$115),ROUNDDOWN(MAX(0,P28-P30)/100,0)*100)</f>
        <v>0</v>
      </c>
      <c r="Q32" s="23">
        <f>IF(Inputs!$C$91="KG",MAX(0,ROUNDDOWN(MAX(0,Q28-Q30)/100,0)*100-Inputs!$C$115),ROUNDDOWN(MAX(0,Q28-Q30)/100,0)*100)</f>
        <v>0</v>
      </c>
      <c r="R32" s="23">
        <f>IF(Inputs!$C$91="KG",MAX(0,ROUNDDOWN(MAX(0,R28-R30)/100,0)*100-Inputs!$C$115),ROUNDDOWN(MAX(0,R28-R30)/100,0)*100)</f>
        <v>0</v>
      </c>
      <c r="S32" s="23">
        <f>IF(Inputs!$C$91="KG",MAX(0,ROUNDDOWN(MAX(0,S28-S30)/100,0)*100-Inputs!$C$115),ROUNDDOWN(MAX(0,S28-S30)/100,0)*100)</f>
        <v>0</v>
      </c>
      <c r="T32" s="23">
        <f>IF(Inputs!$C$91="KG",MAX(0,ROUNDDOWN(MAX(0,T28-T30)/100,0)*100-Inputs!$C$115),ROUNDDOWN(MAX(0,T28-T30)/100,0)*100)</f>
        <v>0</v>
      </c>
      <c r="U32" s="23">
        <f>IF(Inputs!$C$91="KG",MAX(0,ROUNDDOWN(MAX(0,U28-U30)/100,0)*100-Inputs!$C$115),ROUNDDOWN(MAX(0,U28-U30)/100,0)*100)</f>
        <v>0</v>
      </c>
      <c r="V32" s="23">
        <f>IF(Inputs!$C$91="KG",MAX(0,ROUNDDOWN(MAX(0,V28-V30)/100,0)*100-Inputs!$C$115),ROUNDDOWN(MAX(0,V28-V30)/100,0)*100)</f>
        <v>402400</v>
      </c>
      <c r="W32" s="23">
        <f>IF(Inputs!$C$91="KG",MAX(0,ROUNDDOWN(MAX(0,W28-W30)/100,0)*100-Inputs!$C$115),ROUNDDOWN(MAX(0,W28-W30)/100,0)*100)</f>
        <v>1174800</v>
      </c>
      <c r="X32" s="23">
        <f>IF(Inputs!$C$91="KG",MAX(0,ROUNDDOWN(MAX(0,X28-X30)/100,0)*100-Inputs!$C$115),ROUNDDOWN(MAX(0,X28-X30)/100,0)*100)</f>
        <v>1219100</v>
      </c>
      <c r="Y32" s="23">
        <f>IF(Inputs!$C$91="KG",MAX(0,ROUNDDOWN(MAX(0,Y28-Y30)/100,0)*100-Inputs!$C$115),ROUNDDOWN(MAX(0,Y28-Y30)/100,0)*100)</f>
        <v>3187700</v>
      </c>
      <c r="Z32" s="23">
        <f>IF(Inputs!$C$91="KG",MAX(0,ROUNDDOWN(MAX(0,Z28-Z30)/100,0)*100-Inputs!$C$115),ROUNDDOWN(MAX(0,Z28-Z30)/100,0)*100)</f>
        <v>4157500</v>
      </c>
      <c r="AA32" s="23">
        <f>IF(Inputs!$C$91="KG",MAX(0,ROUNDDOWN(MAX(0,AA28-AA30)/100,0)*100-Inputs!$C$115),ROUNDDOWN(MAX(0,AA28-AA30)/100,0)*100)</f>
        <v>4217500</v>
      </c>
      <c r="AB32" s="23">
        <f>IF(Inputs!$C$91="KG",MAX(0,ROUNDDOWN(MAX(0,AB28-AB30)/100,0)*100-Inputs!$C$115),ROUNDDOWN(MAX(0,AB28-AB30)/100,0)*100)</f>
        <v>4276400</v>
      </c>
      <c r="AC32" s="23">
        <f>IF(Inputs!$C$91="KG",MAX(0,ROUNDDOWN(MAX(0,AC28-AC30)/100,0)*100-Inputs!$C$115),ROUNDDOWN(MAX(0,AC28-AC30)/100,0)*100)</f>
        <v>4334700</v>
      </c>
      <c r="AD32" s="23">
        <f>IF(Inputs!$C$91="KG",MAX(0,ROUNDDOWN(MAX(0,AD28-AD30)/100,0)*100-Inputs!$C$115),ROUNDDOWN(MAX(0,AD28-AD30)/100,0)*100)</f>
        <v>4323300</v>
      </c>
      <c r="AE32" s="23">
        <f>IF(Inputs!$C$91="KG",MAX(0,ROUNDDOWN(MAX(0,AE28-AE30)/100,0)*100-Inputs!$C$115),ROUNDDOWN(MAX(0,AE28-AE30)/100,0)*100)</f>
        <v>2216500</v>
      </c>
    </row>
    <row r="33">
      <c r="A33" s="6" t="inlineStr">
        <is>
          <t xml:space="preserve">Trade tax</t>
        </is>
      </c>
      <c r="B33" s="10" t="inlineStr">
        <is>
          <t xml:space="preserve">€</t>
        </is>
      </c>
      <c r="F33" s="23">
        <f>F32*Inputs!$C$114*Inputs!$C$92</f>
        <v>0</v>
      </c>
      <c r="G33" s="23">
        <f>G32*Inputs!$C$114*Inputs!$C$92</f>
        <v>0</v>
      </c>
      <c r="H33" s="23">
        <f>H32*Inputs!$C$114*Inputs!$C$92</f>
        <v>0</v>
      </c>
      <c r="I33" s="23">
        <f>I32*Inputs!$C$114*Inputs!$C$92</f>
        <v>0</v>
      </c>
      <c r="J33" s="23">
        <f>J32*Inputs!$C$114*Inputs!$C$92</f>
        <v>0</v>
      </c>
      <c r="K33" s="23">
        <f>K32*Inputs!$C$114*Inputs!$C$92</f>
        <v>0</v>
      </c>
      <c r="L33" s="23">
        <f>L32*Inputs!$C$114*Inputs!$C$92</f>
        <v>0</v>
      </c>
      <c r="M33" s="23">
        <f>M32*Inputs!$C$114*Inputs!$C$92</f>
        <v>0</v>
      </c>
      <c r="N33" s="23">
        <f>N32*Inputs!$C$114*Inputs!$C$92</f>
        <v>0</v>
      </c>
      <c r="O33" s="23">
        <f>O32*Inputs!$C$114*Inputs!$C$92</f>
        <v>0</v>
      </c>
      <c r="P33" s="23">
        <f>P32*Inputs!$C$114*Inputs!$C$92</f>
        <v>0</v>
      </c>
      <c r="Q33" s="23">
        <f>Q32*Inputs!$C$114*Inputs!$C$92</f>
        <v>0</v>
      </c>
      <c r="R33" s="23">
        <f>R32*Inputs!$C$114*Inputs!$C$92</f>
        <v>0</v>
      </c>
      <c r="S33" s="23">
        <f>S32*Inputs!$C$114*Inputs!$C$92</f>
        <v>0</v>
      </c>
      <c r="T33" s="23">
        <f>T32*Inputs!$C$114*Inputs!$C$92</f>
        <v>0</v>
      </c>
      <c r="U33" s="23">
        <f>U32*Inputs!$C$114*Inputs!$C$92</f>
        <v>0</v>
      </c>
      <c r="V33" s="23">
        <f>V32*Inputs!$C$114*Inputs!$C$92</f>
        <v>56336.00000000001</v>
      </c>
      <c r="W33" s="23">
        <f>W32*Inputs!$C$114*Inputs!$C$92</f>
        <v>164472.00000000003</v>
      </c>
      <c r="X33" s="23">
        <f>X32*Inputs!$C$114*Inputs!$C$92</f>
        <v>170674.00000000003</v>
      </c>
      <c r="Y33" s="23">
        <f>Y32*Inputs!$C$114*Inputs!$C$92</f>
        <v>446278.00000000006</v>
      </c>
      <c r="Z33" s="23">
        <f>Z32*Inputs!$C$114*Inputs!$C$92</f>
        <v>582050</v>
      </c>
      <c r="AA33" s="23">
        <f>AA32*Inputs!$C$114*Inputs!$C$92</f>
        <v>590450</v>
      </c>
      <c r="AB33" s="23">
        <f>AB32*Inputs!$C$114*Inputs!$C$92</f>
        <v>598696</v>
      </c>
      <c r="AC33" s="23">
        <f>AC32*Inputs!$C$114*Inputs!$C$92</f>
        <v>606858</v>
      </c>
      <c r="AD33" s="23">
        <f>AD32*Inputs!$C$114*Inputs!$C$92</f>
        <v>605262</v>
      </c>
      <c r="AE33" s="23">
        <f>AE32*Inputs!$C$114*Inputs!$C$92</f>
        <v>310310.00000000006</v>
      </c>
    </row>
    <row r="34">
      <c r="A34" s="6" t="inlineStr">
        <is>
          <t xml:space="preserve">Corporate loss carry-forward at the start (GmbH)</t>
        </is>
      </c>
      <c r="B34" s="10" t="inlineStr">
        <is>
          <t xml:space="preserve">€</t>
        </is>
      </c>
      <c r="E34" s="9">
        <v>0</v>
      </c>
      <c r="F34" s="23">
        <f>E37</f>
        <v>0</v>
      </c>
      <c r="G34" s="23">
        <f>F37</f>
        <v>0</v>
      </c>
      <c r="H34" s="23">
        <f>G37</f>
        <v>0</v>
      </c>
      <c r="I34" s="23">
        <f>H37</f>
        <v>0</v>
      </c>
      <c r="J34" s="23">
        <f>I37</f>
        <v>0</v>
      </c>
      <c r="K34" s="23">
        <f>J37</f>
        <v>0</v>
      </c>
      <c r="L34" s="23">
        <f>K37</f>
        <v>0</v>
      </c>
      <c r="M34" s="23">
        <f>L37</f>
        <v>0</v>
      </c>
      <c r="N34" s="23">
        <f>M37</f>
        <v>0</v>
      </c>
      <c r="O34" s="23">
        <f>N37</f>
        <v>0</v>
      </c>
      <c r="P34" s="23">
        <f>O37</f>
        <v>0</v>
      </c>
      <c r="Q34" s="23">
        <f>P37</f>
        <v>0</v>
      </c>
      <c r="R34" s="23">
        <f>Q37</f>
        <v>0</v>
      </c>
      <c r="S34" s="23">
        <f>R37</f>
        <v>0</v>
      </c>
      <c r="T34" s="23">
        <f>S37</f>
        <v>0</v>
      </c>
      <c r="U34" s="23">
        <f>T37</f>
        <v>0</v>
      </c>
      <c r="V34" s="23">
        <f>U37</f>
        <v>0</v>
      </c>
      <c r="W34" s="23">
        <f>V37</f>
        <v>0</v>
      </c>
      <c r="X34" s="23">
        <f>W37</f>
        <v>0</v>
      </c>
      <c r="Y34" s="23">
        <f>X37</f>
        <v>0</v>
      </c>
      <c r="Z34" s="23">
        <f>Y37</f>
        <v>0</v>
      </c>
      <c r="AA34" s="23">
        <f>Z37</f>
        <v>0</v>
      </c>
      <c r="AB34" s="23">
        <f>AA37</f>
        <v>0</v>
      </c>
      <c r="AC34" s="23">
        <f>AB37</f>
        <v>0</v>
      </c>
      <c r="AD34" s="23">
        <f>AC37</f>
        <v>0</v>
      </c>
      <c r="AE34" s="23">
        <f>AD37</f>
        <v>0</v>
      </c>
    </row>
    <row r="35">
      <c r="A35" s="6" t="inlineStr">
        <is>
          <t xml:space="preserve">Corporate tax: share of profit above €1m that losses may offset</t>
        </is>
      </c>
      <c r="F35" s="24">
        <f>IF(Timing!F59&lt;=Inputs!$C$123,Inputs!$C$121,Inputs!$C$122)</f>
        <v>0.6</v>
      </c>
      <c r="G35" s="24">
        <f>IF(Timing!G59&lt;=Inputs!$C$123,Inputs!$C$121,Inputs!$C$122)</f>
        <v>0.6</v>
      </c>
      <c r="H35" s="24">
        <f>IF(Timing!H59&lt;=Inputs!$C$123,Inputs!$C$121,Inputs!$C$122)</f>
        <v>0.6</v>
      </c>
      <c r="I35" s="24">
        <f>IF(Timing!I59&lt;=Inputs!$C$123,Inputs!$C$121,Inputs!$C$122)</f>
        <v>0.6</v>
      </c>
      <c r="J35" s="24">
        <f>IF(Timing!J59&lt;=Inputs!$C$123,Inputs!$C$121,Inputs!$C$122)</f>
        <v>0.6</v>
      </c>
      <c r="K35" s="24">
        <f>IF(Timing!K59&lt;=Inputs!$C$123,Inputs!$C$121,Inputs!$C$122)</f>
        <v>0.6</v>
      </c>
      <c r="L35" s="24">
        <f>IF(Timing!L59&lt;=Inputs!$C$123,Inputs!$C$121,Inputs!$C$122)</f>
        <v>0.6</v>
      </c>
      <c r="M35" s="24">
        <f>IF(Timing!M59&lt;=Inputs!$C$123,Inputs!$C$121,Inputs!$C$122)</f>
        <v>0.6</v>
      </c>
      <c r="N35" s="24">
        <f>IF(Timing!N59&lt;=Inputs!$C$123,Inputs!$C$121,Inputs!$C$122)</f>
        <v>0.6</v>
      </c>
      <c r="O35" s="24">
        <f>IF(Timing!O59&lt;=Inputs!$C$123,Inputs!$C$121,Inputs!$C$122)</f>
        <v>0.6</v>
      </c>
      <c r="P35" s="24">
        <f>IF(Timing!P59&lt;=Inputs!$C$123,Inputs!$C$121,Inputs!$C$122)</f>
        <v>0.6</v>
      </c>
      <c r="Q35" s="24">
        <f>IF(Timing!Q59&lt;=Inputs!$C$123,Inputs!$C$121,Inputs!$C$122)</f>
        <v>0.6</v>
      </c>
      <c r="R35" s="24">
        <f>IF(Timing!R59&lt;=Inputs!$C$123,Inputs!$C$121,Inputs!$C$122)</f>
        <v>0.6</v>
      </c>
      <c r="S35" s="24">
        <f>IF(Timing!S59&lt;=Inputs!$C$123,Inputs!$C$121,Inputs!$C$122)</f>
        <v>0.6</v>
      </c>
      <c r="T35" s="24">
        <f>IF(Timing!T59&lt;=Inputs!$C$123,Inputs!$C$121,Inputs!$C$122)</f>
        <v>0.6</v>
      </c>
      <c r="U35" s="24">
        <f>IF(Timing!U59&lt;=Inputs!$C$123,Inputs!$C$121,Inputs!$C$122)</f>
        <v>0.6</v>
      </c>
      <c r="V35" s="24">
        <f>IF(Timing!V59&lt;=Inputs!$C$123,Inputs!$C$121,Inputs!$C$122)</f>
        <v>0.6</v>
      </c>
      <c r="W35" s="24">
        <f>IF(Timing!W59&lt;=Inputs!$C$123,Inputs!$C$121,Inputs!$C$122)</f>
        <v>0.6</v>
      </c>
      <c r="X35" s="24">
        <f>IF(Timing!X59&lt;=Inputs!$C$123,Inputs!$C$121,Inputs!$C$122)</f>
        <v>0.6</v>
      </c>
      <c r="Y35" s="24">
        <f>IF(Timing!Y59&lt;=Inputs!$C$123,Inputs!$C$121,Inputs!$C$122)</f>
        <v>0.6</v>
      </c>
      <c r="Z35" s="24">
        <f>IF(Timing!Z59&lt;=Inputs!$C$123,Inputs!$C$121,Inputs!$C$122)</f>
        <v>0.6</v>
      </c>
      <c r="AA35" s="24">
        <f>IF(Timing!AA59&lt;=Inputs!$C$123,Inputs!$C$121,Inputs!$C$122)</f>
        <v>0.6</v>
      </c>
      <c r="AB35" s="24">
        <f>IF(Timing!AB59&lt;=Inputs!$C$123,Inputs!$C$121,Inputs!$C$122)</f>
        <v>0.6</v>
      </c>
      <c r="AC35" s="24">
        <f>IF(Timing!AC59&lt;=Inputs!$C$123,Inputs!$C$121,Inputs!$C$122)</f>
        <v>0.6</v>
      </c>
      <c r="AD35" s="24">
        <f>IF(Timing!AD59&lt;=Inputs!$C$123,Inputs!$C$121,Inputs!$C$122)</f>
        <v>0.6</v>
      </c>
      <c r="AE35" s="24">
        <f>IF(Timing!AE59&lt;=Inputs!$C$123,Inputs!$C$121,Inputs!$C$122)</f>
        <v>0.6</v>
      </c>
    </row>
    <row r="36">
      <c r="A36" s="6" t="inlineStr">
        <is>
          <t xml:space="preserve">Corporate losses used</t>
        </is>
      </c>
      <c r="B36" s="10" t="inlineStr">
        <is>
          <t xml:space="preserve">€</t>
        </is>
      </c>
      <c r="F36" s="23">
        <f>IF(AND(Inputs!$C$91="GmbH",F26&gt;0),MIN(F34,MIN(F26,Inputs!$C$119)+F35*MAX(0,F26-Inputs!$C$119)),0)</f>
        <v>0</v>
      </c>
      <c r="G36" s="23">
        <f>IF(AND(Inputs!$C$91="GmbH",G26&gt;0),MIN(G34,MIN(G26,Inputs!$C$119)+G35*MAX(0,G26-Inputs!$C$119)),0)</f>
        <v>0</v>
      </c>
      <c r="H36" s="23">
        <f>IF(AND(Inputs!$C$91="GmbH",H26&gt;0),MIN(H34,MIN(H26,Inputs!$C$119)+H35*MAX(0,H26-Inputs!$C$119)),0)</f>
        <v>0</v>
      </c>
      <c r="I36" s="23">
        <f>IF(AND(Inputs!$C$91="GmbH",I26&gt;0),MIN(I34,MIN(I26,Inputs!$C$119)+I35*MAX(0,I26-Inputs!$C$119)),0)</f>
        <v>0</v>
      </c>
      <c r="J36" s="23">
        <f>IF(AND(Inputs!$C$91="GmbH",J26&gt;0),MIN(J34,MIN(J26,Inputs!$C$119)+J35*MAX(0,J26-Inputs!$C$119)),0)</f>
        <v>0</v>
      </c>
      <c r="K36" s="23">
        <f>IF(AND(Inputs!$C$91="GmbH",K26&gt;0),MIN(K34,MIN(K26,Inputs!$C$119)+K35*MAX(0,K26-Inputs!$C$119)),0)</f>
        <v>0</v>
      </c>
      <c r="L36" s="23">
        <f>IF(AND(Inputs!$C$91="GmbH",L26&gt;0),MIN(L34,MIN(L26,Inputs!$C$119)+L35*MAX(0,L26-Inputs!$C$119)),0)</f>
        <v>0</v>
      </c>
      <c r="M36" s="23">
        <f>IF(AND(Inputs!$C$91="GmbH",M26&gt;0),MIN(M34,MIN(M26,Inputs!$C$119)+M35*MAX(0,M26-Inputs!$C$119)),0)</f>
        <v>0</v>
      </c>
      <c r="N36" s="23">
        <f>IF(AND(Inputs!$C$91="GmbH",N26&gt;0),MIN(N34,MIN(N26,Inputs!$C$119)+N35*MAX(0,N26-Inputs!$C$119)),0)</f>
        <v>0</v>
      </c>
      <c r="O36" s="23">
        <f>IF(AND(Inputs!$C$91="GmbH",O26&gt;0),MIN(O34,MIN(O26,Inputs!$C$119)+O35*MAX(0,O26-Inputs!$C$119)),0)</f>
        <v>0</v>
      </c>
      <c r="P36" s="23">
        <f>IF(AND(Inputs!$C$91="GmbH",P26&gt;0),MIN(P34,MIN(P26,Inputs!$C$119)+P35*MAX(0,P26-Inputs!$C$119)),0)</f>
        <v>0</v>
      </c>
      <c r="Q36" s="23">
        <f>IF(AND(Inputs!$C$91="GmbH",Q26&gt;0),MIN(Q34,MIN(Q26,Inputs!$C$119)+Q35*MAX(0,Q26-Inputs!$C$119)),0)</f>
        <v>0</v>
      </c>
      <c r="R36" s="23">
        <f>IF(AND(Inputs!$C$91="GmbH",R26&gt;0),MIN(R34,MIN(R26,Inputs!$C$119)+R35*MAX(0,R26-Inputs!$C$119)),0)</f>
        <v>0</v>
      </c>
      <c r="S36" s="23">
        <f>IF(AND(Inputs!$C$91="GmbH",S26&gt;0),MIN(S34,MIN(S26,Inputs!$C$119)+S35*MAX(0,S26-Inputs!$C$119)),0)</f>
        <v>0</v>
      </c>
      <c r="T36" s="23">
        <f>IF(AND(Inputs!$C$91="GmbH",T26&gt;0),MIN(T34,MIN(T26,Inputs!$C$119)+T35*MAX(0,T26-Inputs!$C$119)),0)</f>
        <v>0</v>
      </c>
      <c r="U36" s="23">
        <f>IF(AND(Inputs!$C$91="GmbH",U26&gt;0),MIN(U34,MIN(U26,Inputs!$C$119)+U35*MAX(0,U26-Inputs!$C$119)),0)</f>
        <v>0</v>
      </c>
      <c r="V36" s="23">
        <f>IF(AND(Inputs!$C$91="GmbH",V26&gt;0),MIN(V34,MIN(V26,Inputs!$C$119)+V35*MAX(0,V26-Inputs!$C$119)),0)</f>
        <v>0</v>
      </c>
      <c r="W36" s="23">
        <f>IF(AND(Inputs!$C$91="GmbH",W26&gt;0),MIN(W34,MIN(W26,Inputs!$C$119)+W35*MAX(0,W26-Inputs!$C$119)),0)</f>
        <v>0</v>
      </c>
      <c r="X36" s="23">
        <f>IF(AND(Inputs!$C$91="GmbH",X26&gt;0),MIN(X34,MIN(X26,Inputs!$C$119)+X35*MAX(0,X26-Inputs!$C$119)),0)</f>
        <v>0</v>
      </c>
      <c r="Y36" s="23">
        <f>IF(AND(Inputs!$C$91="GmbH",Y26&gt;0),MIN(Y34,MIN(Y26,Inputs!$C$119)+Y35*MAX(0,Y26-Inputs!$C$119)),0)</f>
        <v>0</v>
      </c>
      <c r="Z36" s="23">
        <f>IF(AND(Inputs!$C$91="GmbH",Z26&gt;0),MIN(Z34,MIN(Z26,Inputs!$C$119)+Z35*MAX(0,Z26-Inputs!$C$119)),0)</f>
        <v>0</v>
      </c>
      <c r="AA36" s="23">
        <f>IF(AND(Inputs!$C$91="GmbH",AA26&gt;0),MIN(AA34,MIN(AA26,Inputs!$C$119)+AA35*MAX(0,AA26-Inputs!$C$119)),0)</f>
        <v>0</v>
      </c>
      <c r="AB36" s="23">
        <f>IF(AND(Inputs!$C$91="GmbH",AB26&gt;0),MIN(AB34,MIN(AB26,Inputs!$C$119)+AB35*MAX(0,AB26-Inputs!$C$119)),0)</f>
        <v>0</v>
      </c>
      <c r="AC36" s="23">
        <f>IF(AND(Inputs!$C$91="GmbH",AC26&gt;0),MIN(AC34,MIN(AC26,Inputs!$C$119)+AC35*MAX(0,AC26-Inputs!$C$119)),0)</f>
        <v>0</v>
      </c>
      <c r="AD36" s="23">
        <f>IF(AND(Inputs!$C$91="GmbH",AD26&gt;0),MIN(AD34,MIN(AD26,Inputs!$C$119)+AD35*MAX(0,AD26-Inputs!$C$119)),0)</f>
        <v>0</v>
      </c>
      <c r="AE36" s="23">
        <f>IF(AND(Inputs!$C$91="GmbH",AE26&gt;0),MIN(AE34,MIN(AE26,Inputs!$C$119)+AE35*MAX(0,AE26-Inputs!$C$119)),0)</f>
        <v>0</v>
      </c>
    </row>
    <row r="37">
      <c r="A37" s="6" t="inlineStr">
        <is>
          <t xml:space="preserve">Corporate loss carry-forward at the year end</t>
        </is>
      </c>
      <c r="B37" s="10" t="inlineStr">
        <is>
          <t xml:space="preserve">€</t>
        </is>
      </c>
      <c r="F37" s="23">
        <f>IF(Inputs!$C$91="GmbH",F34-F36+MAX(0,-F26),0)</f>
        <v>0</v>
      </c>
      <c r="G37" s="23">
        <f>IF(Inputs!$C$91="GmbH",G34-G36+MAX(0,-G26),0)</f>
        <v>0</v>
      </c>
      <c r="H37" s="23">
        <f>IF(Inputs!$C$91="GmbH",H34-H36+MAX(0,-H26),0)</f>
        <v>0</v>
      </c>
      <c r="I37" s="23">
        <f>IF(Inputs!$C$91="GmbH",I34-I36+MAX(0,-I26),0)</f>
        <v>0</v>
      </c>
      <c r="J37" s="23">
        <f>IF(Inputs!$C$91="GmbH",J34-J36+MAX(0,-J26),0)</f>
        <v>0</v>
      </c>
      <c r="K37" s="23">
        <f>IF(Inputs!$C$91="GmbH",K34-K36+MAX(0,-K26),0)</f>
        <v>0</v>
      </c>
      <c r="L37" s="23">
        <f>IF(Inputs!$C$91="GmbH",L34-L36+MAX(0,-L26),0)</f>
        <v>0</v>
      </c>
      <c r="M37" s="23">
        <f>IF(Inputs!$C$91="GmbH",M34-M36+MAX(0,-M26),0)</f>
        <v>0</v>
      </c>
      <c r="N37" s="23">
        <f>IF(Inputs!$C$91="GmbH",N34-N36+MAX(0,-N26),0)</f>
        <v>0</v>
      </c>
      <c r="O37" s="23">
        <f>IF(Inputs!$C$91="GmbH",O34-O36+MAX(0,-O26),0)</f>
        <v>0</v>
      </c>
      <c r="P37" s="23">
        <f>IF(Inputs!$C$91="GmbH",P34-P36+MAX(0,-P26),0)</f>
        <v>0</v>
      </c>
      <c r="Q37" s="23">
        <f>IF(Inputs!$C$91="GmbH",Q34-Q36+MAX(0,-Q26),0)</f>
        <v>0</v>
      </c>
      <c r="R37" s="23">
        <f>IF(Inputs!$C$91="GmbH",R34-R36+MAX(0,-R26),0)</f>
        <v>0</v>
      </c>
      <c r="S37" s="23">
        <f>IF(Inputs!$C$91="GmbH",S34-S36+MAX(0,-S26),0)</f>
        <v>0</v>
      </c>
      <c r="T37" s="23">
        <f>IF(Inputs!$C$91="GmbH",T34-T36+MAX(0,-T26),0)</f>
        <v>0</v>
      </c>
      <c r="U37" s="23">
        <f>IF(Inputs!$C$91="GmbH",U34-U36+MAX(0,-U26),0)</f>
        <v>0</v>
      </c>
      <c r="V37" s="23">
        <f>IF(Inputs!$C$91="GmbH",V34-V36+MAX(0,-V26),0)</f>
        <v>0</v>
      </c>
      <c r="W37" s="23">
        <f>IF(Inputs!$C$91="GmbH",W34-W36+MAX(0,-W26),0)</f>
        <v>0</v>
      </c>
      <c r="X37" s="23">
        <f>IF(Inputs!$C$91="GmbH",X34-X36+MAX(0,-X26),0)</f>
        <v>0</v>
      </c>
      <c r="Y37" s="23">
        <f>IF(Inputs!$C$91="GmbH",Y34-Y36+MAX(0,-Y26),0)</f>
        <v>0</v>
      </c>
      <c r="Z37" s="23">
        <f>IF(Inputs!$C$91="GmbH",Z34-Z36+MAX(0,-Z26),0)</f>
        <v>0</v>
      </c>
      <c r="AA37" s="23">
        <f>IF(Inputs!$C$91="GmbH",AA34-AA36+MAX(0,-AA26),0)</f>
        <v>0</v>
      </c>
      <c r="AB37" s="23">
        <f>IF(Inputs!$C$91="GmbH",AB34-AB36+MAX(0,-AB26),0)</f>
        <v>0</v>
      </c>
      <c r="AC37" s="23">
        <f>IF(Inputs!$C$91="GmbH",AC34-AC36+MAX(0,-AC26),0)</f>
        <v>0</v>
      </c>
      <c r="AD37" s="23">
        <f>IF(Inputs!$C$91="GmbH",AD34-AD36+MAX(0,-AD26),0)</f>
        <v>0</v>
      </c>
      <c r="AE37" s="23">
        <f>IF(Inputs!$C$91="GmbH",AE34-AE36+MAX(0,-AE26),0)</f>
        <v>0</v>
      </c>
    </row>
    <row r="38">
      <c r="A38" s="6" t="inlineStr">
        <is>
          <t xml:space="preserve">Corporate taxable income</t>
        </is>
      </c>
      <c r="B38" s="10" t="inlineStr">
        <is>
          <t xml:space="preserve">€</t>
        </is>
      </c>
      <c r="F38" s="23">
        <f>IF(Inputs!$C$91="GmbH",MAX(0,F26-F36),0)</f>
        <v>0</v>
      </c>
      <c r="G38" s="23">
        <f>IF(Inputs!$C$91="GmbH",MAX(0,G26-G36),0)</f>
        <v>0</v>
      </c>
      <c r="H38" s="23">
        <f>IF(Inputs!$C$91="GmbH",MAX(0,H26-H36),0)</f>
        <v>0</v>
      </c>
      <c r="I38" s="23">
        <f>IF(Inputs!$C$91="GmbH",MAX(0,I26-I36),0)</f>
        <v>0</v>
      </c>
      <c r="J38" s="23">
        <f>IF(Inputs!$C$91="GmbH",MAX(0,J26-J36),0)</f>
        <v>0</v>
      </c>
      <c r="K38" s="23">
        <f>IF(Inputs!$C$91="GmbH",MAX(0,K26-K36),0)</f>
        <v>0</v>
      </c>
      <c r="L38" s="23">
        <f>IF(Inputs!$C$91="GmbH",MAX(0,L26-L36),0)</f>
        <v>0</v>
      </c>
      <c r="M38" s="23">
        <f>IF(Inputs!$C$91="GmbH",MAX(0,M26-M36),0)</f>
        <v>0</v>
      </c>
      <c r="N38" s="23">
        <f>IF(Inputs!$C$91="GmbH",MAX(0,N26-N36),0)</f>
        <v>0</v>
      </c>
      <c r="O38" s="23">
        <f>IF(Inputs!$C$91="GmbH",MAX(0,O26-O36),0)</f>
        <v>0</v>
      </c>
      <c r="P38" s="23">
        <f>IF(Inputs!$C$91="GmbH",MAX(0,P26-P36),0)</f>
        <v>0</v>
      </c>
      <c r="Q38" s="23">
        <f>IF(Inputs!$C$91="GmbH",MAX(0,Q26-Q36),0)</f>
        <v>0</v>
      </c>
      <c r="R38" s="23">
        <f>IF(Inputs!$C$91="GmbH",MAX(0,R26-R36),0)</f>
        <v>0</v>
      </c>
      <c r="S38" s="23">
        <f>IF(Inputs!$C$91="GmbH",MAX(0,S26-S36),0)</f>
        <v>0</v>
      </c>
      <c r="T38" s="23">
        <f>IF(Inputs!$C$91="GmbH",MAX(0,T26-T36),0)</f>
        <v>0</v>
      </c>
      <c r="U38" s="23">
        <f>IF(Inputs!$C$91="GmbH",MAX(0,U26-U36),0)</f>
        <v>0</v>
      </c>
      <c r="V38" s="23">
        <f>IF(Inputs!$C$91="GmbH",MAX(0,V26-V36),0)</f>
        <v>0</v>
      </c>
      <c r="W38" s="23">
        <f>IF(Inputs!$C$91="GmbH",MAX(0,W26-W36),0)</f>
        <v>0</v>
      </c>
      <c r="X38" s="23">
        <f>IF(Inputs!$C$91="GmbH",MAX(0,X26-X36),0)</f>
        <v>0</v>
      </c>
      <c r="Y38" s="23">
        <f>IF(Inputs!$C$91="GmbH",MAX(0,Y26-Y36),0)</f>
        <v>0</v>
      </c>
      <c r="Z38" s="23">
        <f>IF(Inputs!$C$91="GmbH",MAX(0,Z26-Z36),0)</f>
        <v>0</v>
      </c>
      <c r="AA38" s="23">
        <f>IF(Inputs!$C$91="GmbH",MAX(0,AA26-AA36),0)</f>
        <v>0</v>
      </c>
      <c r="AB38" s="23">
        <f>IF(Inputs!$C$91="GmbH",MAX(0,AB26-AB36),0)</f>
        <v>0</v>
      </c>
      <c r="AC38" s="23">
        <f>IF(Inputs!$C$91="GmbH",MAX(0,AC26-AC36),0)</f>
        <v>0</v>
      </c>
      <c r="AD38" s="23">
        <f>IF(Inputs!$C$91="GmbH",MAX(0,AD26-AD36),0)</f>
        <v>0</v>
      </c>
      <c r="AE38" s="23">
        <f>IF(Inputs!$C$91="GmbH",MAX(0,AE26-AE36),0)</f>
        <v>0</v>
      </c>
    </row>
    <row r="39">
      <c r="A39" s="6" t="inlineStr">
        <is>
          <t xml:space="preserve">Corporate tax rate (§ 23 KStG)</t>
        </is>
      </c>
      <c r="F39" s="24">
        <f>IF(Inputs!$C$91="GmbH",MAX(Inputs!$C$125,Inputs!$C$124-Inputs!$C$126*MAX(0,Timing!F59-Inputs!$C$127)),0)</f>
        <v>0</v>
      </c>
      <c r="G39" s="24">
        <f>IF(Inputs!$C$91="GmbH",MAX(Inputs!$C$125,Inputs!$C$124-Inputs!$C$126*MAX(0,Timing!G59-Inputs!$C$127)),0)</f>
        <v>0</v>
      </c>
      <c r="H39" s="24">
        <f>IF(Inputs!$C$91="GmbH",MAX(Inputs!$C$125,Inputs!$C$124-Inputs!$C$126*MAX(0,Timing!H59-Inputs!$C$127)),0)</f>
        <v>0</v>
      </c>
      <c r="I39" s="24">
        <f>IF(Inputs!$C$91="GmbH",MAX(Inputs!$C$125,Inputs!$C$124-Inputs!$C$126*MAX(0,Timing!I59-Inputs!$C$127)),0)</f>
        <v>0</v>
      </c>
      <c r="J39" s="24">
        <f>IF(Inputs!$C$91="GmbH",MAX(Inputs!$C$125,Inputs!$C$124-Inputs!$C$126*MAX(0,Timing!J59-Inputs!$C$127)),0)</f>
        <v>0</v>
      </c>
      <c r="K39" s="24">
        <f>IF(Inputs!$C$91="GmbH",MAX(Inputs!$C$125,Inputs!$C$124-Inputs!$C$126*MAX(0,Timing!K59-Inputs!$C$127)),0)</f>
        <v>0</v>
      </c>
      <c r="L39" s="24">
        <f>IF(Inputs!$C$91="GmbH",MAX(Inputs!$C$125,Inputs!$C$124-Inputs!$C$126*MAX(0,Timing!L59-Inputs!$C$127)),0)</f>
        <v>0</v>
      </c>
      <c r="M39" s="24">
        <f>IF(Inputs!$C$91="GmbH",MAX(Inputs!$C$125,Inputs!$C$124-Inputs!$C$126*MAX(0,Timing!M59-Inputs!$C$127)),0)</f>
        <v>0</v>
      </c>
      <c r="N39" s="24">
        <f>IF(Inputs!$C$91="GmbH",MAX(Inputs!$C$125,Inputs!$C$124-Inputs!$C$126*MAX(0,Timing!N59-Inputs!$C$127)),0)</f>
        <v>0</v>
      </c>
      <c r="O39" s="24">
        <f>IF(Inputs!$C$91="GmbH",MAX(Inputs!$C$125,Inputs!$C$124-Inputs!$C$126*MAX(0,Timing!O59-Inputs!$C$127)),0)</f>
        <v>0</v>
      </c>
      <c r="P39" s="24">
        <f>IF(Inputs!$C$91="GmbH",MAX(Inputs!$C$125,Inputs!$C$124-Inputs!$C$126*MAX(0,Timing!P59-Inputs!$C$127)),0)</f>
        <v>0</v>
      </c>
      <c r="Q39" s="24">
        <f>IF(Inputs!$C$91="GmbH",MAX(Inputs!$C$125,Inputs!$C$124-Inputs!$C$126*MAX(0,Timing!Q59-Inputs!$C$127)),0)</f>
        <v>0</v>
      </c>
      <c r="R39" s="24">
        <f>IF(Inputs!$C$91="GmbH",MAX(Inputs!$C$125,Inputs!$C$124-Inputs!$C$126*MAX(0,Timing!R59-Inputs!$C$127)),0)</f>
        <v>0</v>
      </c>
      <c r="S39" s="24">
        <f>IF(Inputs!$C$91="GmbH",MAX(Inputs!$C$125,Inputs!$C$124-Inputs!$C$126*MAX(0,Timing!S59-Inputs!$C$127)),0)</f>
        <v>0</v>
      </c>
      <c r="T39" s="24">
        <f>IF(Inputs!$C$91="GmbH",MAX(Inputs!$C$125,Inputs!$C$124-Inputs!$C$126*MAX(0,Timing!T59-Inputs!$C$127)),0)</f>
        <v>0</v>
      </c>
      <c r="U39" s="24">
        <f>IF(Inputs!$C$91="GmbH",MAX(Inputs!$C$125,Inputs!$C$124-Inputs!$C$126*MAX(0,Timing!U59-Inputs!$C$127)),0)</f>
        <v>0</v>
      </c>
      <c r="V39" s="24">
        <f>IF(Inputs!$C$91="GmbH",MAX(Inputs!$C$125,Inputs!$C$124-Inputs!$C$126*MAX(0,Timing!V59-Inputs!$C$127)),0)</f>
        <v>0</v>
      </c>
      <c r="W39" s="24">
        <f>IF(Inputs!$C$91="GmbH",MAX(Inputs!$C$125,Inputs!$C$124-Inputs!$C$126*MAX(0,Timing!W59-Inputs!$C$127)),0)</f>
        <v>0</v>
      </c>
      <c r="X39" s="24">
        <f>IF(Inputs!$C$91="GmbH",MAX(Inputs!$C$125,Inputs!$C$124-Inputs!$C$126*MAX(0,Timing!X59-Inputs!$C$127)),0)</f>
        <v>0</v>
      </c>
      <c r="Y39" s="24">
        <f>IF(Inputs!$C$91="GmbH",MAX(Inputs!$C$125,Inputs!$C$124-Inputs!$C$126*MAX(0,Timing!Y59-Inputs!$C$127)),0)</f>
        <v>0</v>
      </c>
      <c r="Z39" s="24">
        <f>IF(Inputs!$C$91="GmbH",MAX(Inputs!$C$125,Inputs!$C$124-Inputs!$C$126*MAX(0,Timing!Z59-Inputs!$C$127)),0)</f>
        <v>0</v>
      </c>
      <c r="AA39" s="24">
        <f>IF(Inputs!$C$91="GmbH",MAX(Inputs!$C$125,Inputs!$C$124-Inputs!$C$126*MAX(0,Timing!AA59-Inputs!$C$127)),0)</f>
        <v>0</v>
      </c>
      <c r="AB39" s="24">
        <f>IF(Inputs!$C$91="GmbH",MAX(Inputs!$C$125,Inputs!$C$124-Inputs!$C$126*MAX(0,Timing!AB59-Inputs!$C$127)),0)</f>
        <v>0</v>
      </c>
      <c r="AC39" s="24">
        <f>IF(Inputs!$C$91="GmbH",MAX(Inputs!$C$125,Inputs!$C$124-Inputs!$C$126*MAX(0,Timing!AC59-Inputs!$C$127)),0)</f>
        <v>0</v>
      </c>
      <c r="AD39" s="24">
        <f>IF(Inputs!$C$91="GmbH",MAX(Inputs!$C$125,Inputs!$C$124-Inputs!$C$126*MAX(0,Timing!AD59-Inputs!$C$127)),0)</f>
        <v>0</v>
      </c>
      <c r="AE39" s="24">
        <f>IF(Inputs!$C$91="GmbH",MAX(Inputs!$C$125,Inputs!$C$124-Inputs!$C$126*MAX(0,Timing!AE59-Inputs!$C$127)),0)</f>
        <v>0</v>
      </c>
    </row>
    <row r="40">
      <c r="A40" s="6" t="inlineStr">
        <is>
          <t xml:space="preserve">Corporate tax</t>
        </is>
      </c>
      <c r="B40" s="10" t="inlineStr">
        <is>
          <t xml:space="preserve">€</t>
        </is>
      </c>
      <c r="F40" s="23">
        <f>F38*F39</f>
        <v>0</v>
      </c>
      <c r="G40" s="23">
        <f>G38*G39</f>
        <v>0</v>
      </c>
      <c r="H40" s="23">
        <f>H38*H39</f>
        <v>0</v>
      </c>
      <c r="I40" s="23">
        <f>I38*I39</f>
        <v>0</v>
      </c>
      <c r="J40" s="23">
        <f>J38*J39</f>
        <v>0</v>
      </c>
      <c r="K40" s="23">
        <f>K38*K39</f>
        <v>0</v>
      </c>
      <c r="L40" s="23">
        <f>L38*L39</f>
        <v>0</v>
      </c>
      <c r="M40" s="23">
        <f>M38*M39</f>
        <v>0</v>
      </c>
      <c r="N40" s="23">
        <f>N38*N39</f>
        <v>0</v>
      </c>
      <c r="O40" s="23">
        <f>O38*O39</f>
        <v>0</v>
      </c>
      <c r="P40" s="23">
        <f>P38*P39</f>
        <v>0</v>
      </c>
      <c r="Q40" s="23">
        <f>Q38*Q39</f>
        <v>0</v>
      </c>
      <c r="R40" s="23">
        <f>R38*R39</f>
        <v>0</v>
      </c>
      <c r="S40" s="23">
        <f>S38*S39</f>
        <v>0</v>
      </c>
      <c r="T40" s="23">
        <f>T38*T39</f>
        <v>0</v>
      </c>
      <c r="U40" s="23">
        <f>U38*U39</f>
        <v>0</v>
      </c>
      <c r="V40" s="23">
        <f>V38*V39</f>
        <v>0</v>
      </c>
      <c r="W40" s="23">
        <f>W38*W39</f>
        <v>0</v>
      </c>
      <c r="X40" s="23">
        <f>X38*X39</f>
        <v>0</v>
      </c>
      <c r="Y40" s="23">
        <f>Y38*Y39</f>
        <v>0</v>
      </c>
      <c r="Z40" s="23">
        <f>Z38*Z39</f>
        <v>0</v>
      </c>
      <c r="AA40" s="23">
        <f>AA38*AA39</f>
        <v>0</v>
      </c>
      <c r="AB40" s="23">
        <f>AB38*AB39</f>
        <v>0</v>
      </c>
      <c r="AC40" s="23">
        <f>AC38*AC39</f>
        <v>0</v>
      </c>
      <c r="AD40" s="23">
        <f>AD38*AD39</f>
        <v>0</v>
      </c>
      <c r="AE40" s="23">
        <f>AE38*AE39</f>
        <v>0</v>
      </c>
    </row>
    <row r="41">
      <c r="A41" s="6" t="inlineStr">
        <is>
          <t xml:space="preserve">Solidarity surcharge</t>
        </is>
      </c>
      <c r="B41" s="10" t="inlineStr">
        <is>
          <t xml:space="preserve">€</t>
        </is>
      </c>
      <c r="F41" s="23">
        <f>F40*Inputs!$C$128</f>
        <v>0</v>
      </c>
      <c r="G41" s="23">
        <f>G40*Inputs!$C$128</f>
        <v>0</v>
      </c>
      <c r="H41" s="23">
        <f>H40*Inputs!$C$128</f>
        <v>0</v>
      </c>
      <c r="I41" s="23">
        <f>I40*Inputs!$C$128</f>
        <v>0</v>
      </c>
      <c r="J41" s="23">
        <f>J40*Inputs!$C$128</f>
        <v>0</v>
      </c>
      <c r="K41" s="23">
        <f>K40*Inputs!$C$128</f>
        <v>0</v>
      </c>
      <c r="L41" s="23">
        <f>L40*Inputs!$C$128</f>
        <v>0</v>
      </c>
      <c r="M41" s="23">
        <f>M40*Inputs!$C$128</f>
        <v>0</v>
      </c>
      <c r="N41" s="23">
        <f>N40*Inputs!$C$128</f>
        <v>0</v>
      </c>
      <c r="O41" s="23">
        <f>O40*Inputs!$C$128</f>
        <v>0</v>
      </c>
      <c r="P41" s="23">
        <f>P40*Inputs!$C$128</f>
        <v>0</v>
      </c>
      <c r="Q41" s="23">
        <f>Q40*Inputs!$C$128</f>
        <v>0</v>
      </c>
      <c r="R41" s="23">
        <f>R40*Inputs!$C$128</f>
        <v>0</v>
      </c>
      <c r="S41" s="23">
        <f>S40*Inputs!$C$128</f>
        <v>0</v>
      </c>
      <c r="T41" s="23">
        <f>T40*Inputs!$C$128</f>
        <v>0</v>
      </c>
      <c r="U41" s="23">
        <f>U40*Inputs!$C$128</f>
        <v>0</v>
      </c>
      <c r="V41" s="23">
        <f>V40*Inputs!$C$128</f>
        <v>0</v>
      </c>
      <c r="W41" s="23">
        <f>W40*Inputs!$C$128</f>
        <v>0</v>
      </c>
      <c r="X41" s="23">
        <f>X40*Inputs!$C$128</f>
        <v>0</v>
      </c>
      <c r="Y41" s="23">
        <f>Y40*Inputs!$C$128</f>
        <v>0</v>
      </c>
      <c r="Z41" s="23">
        <f>Z40*Inputs!$C$128</f>
        <v>0</v>
      </c>
      <c r="AA41" s="23">
        <f>AA40*Inputs!$C$128</f>
        <v>0</v>
      </c>
      <c r="AB41" s="23">
        <f>AB40*Inputs!$C$128</f>
        <v>0</v>
      </c>
      <c r="AC41" s="23">
        <f>AC40*Inputs!$C$128</f>
        <v>0</v>
      </c>
      <c r="AD41" s="23">
        <f>AD40*Inputs!$C$128</f>
        <v>0</v>
      </c>
      <c r="AE41" s="23">
        <f>AE40*Inputs!$C$128</f>
        <v>0</v>
      </c>
    </row>
    <row r="42">
      <c r="A42" s="41" t="inlineStr">
        <is>
          <t xml:space="preserve">Taxes</t>
        </is>
      </c>
      <c r="B42" s="10" t="inlineStr">
        <is>
          <t xml:space="preserve">€</t>
        </is>
      </c>
      <c r="F42" s="42">
        <f>F33+F40+F41</f>
        <v>0</v>
      </c>
      <c r="G42" s="42">
        <f>G33+G40+G41</f>
        <v>0</v>
      </c>
      <c r="H42" s="42">
        <f>H33+H40+H41</f>
        <v>0</v>
      </c>
      <c r="I42" s="42">
        <f>I33+I40+I41</f>
        <v>0</v>
      </c>
      <c r="J42" s="42">
        <f>J33+J40+J41</f>
        <v>0</v>
      </c>
      <c r="K42" s="42">
        <f>K33+K40+K41</f>
        <v>0</v>
      </c>
      <c r="L42" s="42">
        <f>L33+L40+L41</f>
        <v>0</v>
      </c>
      <c r="M42" s="42">
        <f>M33+M40+M41</f>
        <v>0</v>
      </c>
      <c r="N42" s="42">
        <f>N33+N40+N41</f>
        <v>0</v>
      </c>
      <c r="O42" s="42">
        <f>O33+O40+O41</f>
        <v>0</v>
      </c>
      <c r="P42" s="42">
        <f>P33+P40+P41</f>
        <v>0</v>
      </c>
      <c r="Q42" s="42">
        <f>Q33+Q40+Q41</f>
        <v>0</v>
      </c>
      <c r="R42" s="42">
        <f>R33+R40+R41</f>
        <v>0</v>
      </c>
      <c r="S42" s="42">
        <f>S33+S40+S41</f>
        <v>0</v>
      </c>
      <c r="T42" s="42">
        <f>T33+T40+T41</f>
        <v>0</v>
      </c>
      <c r="U42" s="42">
        <f>U33+U40+U41</f>
        <v>0</v>
      </c>
      <c r="V42" s="42">
        <f>V33+V40+V41</f>
        <v>56336.00000000001</v>
      </c>
      <c r="W42" s="42">
        <f>W33+W40+W41</f>
        <v>164472.00000000003</v>
      </c>
      <c r="X42" s="42">
        <f>X33+X40+X41</f>
        <v>170674.00000000003</v>
      </c>
      <c r="Y42" s="42">
        <f>Y33+Y40+Y41</f>
        <v>446278.00000000006</v>
      </c>
      <c r="Z42" s="42">
        <f>Z33+Z40+Z41</f>
        <v>582050</v>
      </c>
      <c r="AA42" s="42">
        <f>AA33+AA40+AA41</f>
        <v>590450</v>
      </c>
      <c r="AB42" s="42">
        <f>AB33+AB40+AB41</f>
        <v>598696</v>
      </c>
      <c r="AC42" s="42">
        <f>AC33+AC40+AC41</f>
        <v>606858</v>
      </c>
      <c r="AD42" s="42">
        <f>AD33+AD40+AD41</f>
        <v>605262</v>
      </c>
      <c r="AE42" s="42">
        <f>AE33+AE40+AE41</f>
        <v>310310.00000000006</v>
      </c>
    </row>
    <row r="43">
      <c r="A43" s="41" t="inlineStr">
        <is>
          <t xml:space="preserve">CFADS: EBITDA − change in working capital − taxes</t>
        </is>
      </c>
      <c r="B43" s="10" t="inlineStr">
        <is>
          <t xml:space="preserve">€</t>
        </is>
      </c>
      <c r="F43" s="42">
        <f>Operations!F51-Operations!F59-F42</f>
        <v>2163887.0907577514</v>
      </c>
      <c r="G43" s="42">
        <f>Operations!G51-Operations!G59-G42</f>
        <v>3464069.080725549</v>
      </c>
      <c r="H43" s="42">
        <f>Operations!H51-Operations!H59-H42</f>
        <v>3300906.9518894465</v>
      </c>
      <c r="I43" s="42">
        <f>Operations!I51-Operations!I59-I42</f>
        <v>3347863.5229065535</v>
      </c>
      <c r="J43" s="42">
        <f>Operations!J51-Operations!J59-J42</f>
        <v>3410544.819693078</v>
      </c>
      <c r="K43" s="42">
        <f>Operations!K51-Operations!K59-K42</f>
        <v>3470799.01188069</v>
      </c>
      <c r="L43" s="42">
        <f>Operations!L51-Operations!L59-L42</f>
        <v>3535622.769621907</v>
      </c>
      <c r="M43" s="42">
        <f>Operations!M51-Operations!M59-M42</f>
        <v>3600382.5482792966</v>
      </c>
      <c r="N43" s="42">
        <f>Operations!N51-Operations!N59-N42</f>
        <v>3667509.273020859</v>
      </c>
      <c r="O43" s="42">
        <f>Operations!O51-Operations!O59-O42</f>
        <v>3732026.7182391305</v>
      </c>
      <c r="P43" s="42">
        <f>Operations!P51-Operations!P59-P42</f>
        <v>3677398.7621056084</v>
      </c>
      <c r="Q43" s="42">
        <f>Operations!Q51-Operations!Q59-Q42</f>
        <v>3744267.01469316</v>
      </c>
      <c r="R43" s="42">
        <f>Operations!R51-Operations!R59-R42</f>
        <v>3813624.0227384614</v>
      </c>
      <c r="S43" s="42">
        <f>Operations!S51-Operations!S59-S42</f>
        <v>3880125.2634664923</v>
      </c>
      <c r="T43" s="42">
        <f>Operations!T51-Operations!T59-T42</f>
        <v>3951837.0556790656</v>
      </c>
      <c r="U43" s="42">
        <f>Operations!U51-Operations!U59-U42</f>
        <v>4023415.5513002505</v>
      </c>
      <c r="V43" s="42">
        <f>Operations!V51-Operations!V59-V42</f>
        <v>4041326.5200951137</v>
      </c>
      <c r="W43" s="42">
        <f>Operations!W51-Operations!W59-W42</f>
        <v>4004366.940676834</v>
      </c>
      <c r="X43" s="42">
        <f>Operations!X51-Operations!X59-X42</f>
        <v>4074932.3335927054</v>
      </c>
      <c r="Y43" s="42">
        <f>Operations!Y51-Operations!Y59-Y42</f>
        <v>3875948.398716625</v>
      </c>
      <c r="Z43" s="42">
        <f>Operations!Z51-Operations!Z59-Z42</f>
        <v>3739009.518532468</v>
      </c>
      <c r="AA43" s="42">
        <f>Operations!AA51-Operations!AA59-AA42</f>
        <v>3805176.2298814496</v>
      </c>
      <c r="AB43" s="42">
        <f>Operations!AB51-Operations!AB59-AB42</f>
        <v>3877463.806433188</v>
      </c>
      <c r="AC43" s="42">
        <f>Operations!AC51-Operations!AC59-AC42</f>
        <v>3949639.7339421194</v>
      </c>
      <c r="AD43" s="42">
        <f>Operations!AD51-Operations!AD59-AD42</f>
        <v>4034607.7336467346</v>
      </c>
      <c r="AE43" s="42">
        <f>Operations!AE51-Operations!AE59-AE42</f>
        <v>2642406.1287304964</v>
      </c>
    </row>
    <row r="45">
      <c r="A45" s="5" t="inlineStr">
        <is>
          <t xml:space="preserve">P90 1-yr</t>
        </is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>
      <c r="A46" s="6" t="inlineStr">
        <is>
          <t xml:space="preserve">Depreciable base: capex and capitalised financing costs</t>
        </is>
      </c>
      <c r="B46" s="10" t="inlineStr">
        <is>
          <t xml:space="preserve">€</t>
        </is>
      </c>
      <c r="C46" s="45">
        <f>Construction!$C$48</f>
        <v>58232270.645103194</v>
      </c>
    </row>
    <row r="47">
      <c r="A47" s="6" t="inlineStr">
        <is>
          <t xml:space="preserve">Book value at the start of the year</t>
        </is>
      </c>
      <c r="B47" s="10" t="inlineStr">
        <is>
          <t xml:space="preserve">€</t>
        </is>
      </c>
      <c r="F47" s="23">
        <f>E54</f>
        <v>58232270.645103194</v>
      </c>
      <c r="G47" s="23">
        <f>F54</f>
        <v>56412512.18744372</v>
      </c>
      <c r="H47" s="23">
        <f>G54</f>
        <v>52772995.27212477</v>
      </c>
      <c r="I47" s="23">
        <f>H54</f>
        <v>49133478.35680582</v>
      </c>
      <c r="J47" s="23">
        <f>I54</f>
        <v>45493961.441486865</v>
      </c>
      <c r="K47" s="23">
        <f>J54</f>
        <v>41854444.526167914</v>
      </c>
      <c r="L47" s="23">
        <f>K54</f>
        <v>38214927.61084896</v>
      </c>
      <c r="M47" s="23">
        <f>L54</f>
        <v>34575410.69553001</v>
      </c>
      <c r="N47" s="23">
        <f>M54</f>
        <v>30935893.780211065</v>
      </c>
      <c r="O47" s="23">
        <f>N54</f>
        <v>27296376.864892118</v>
      </c>
      <c r="P47" s="23">
        <f>O54</f>
        <v>23656859.949573167</v>
      </c>
      <c r="Q47" s="23">
        <f>P54</f>
        <v>20017343.03425422</v>
      </c>
      <c r="R47" s="23">
        <f>Q54</f>
        <v>16377826.11893527</v>
      </c>
      <c r="S47" s="23">
        <f>R54</f>
        <v>12738309.203616321</v>
      </c>
      <c r="T47" s="23">
        <f>S54</f>
        <v>9098792.288297372</v>
      </c>
      <c r="U47" s="23">
        <f>T54</f>
        <v>5459275.372978423</v>
      </c>
      <c r="V47" s="23">
        <f>U54</f>
        <v>1819758.457659474</v>
      </c>
      <c r="W47" s="23">
        <f>V54</f>
        <v>0</v>
      </c>
      <c r="X47" s="23">
        <f>W54</f>
        <v>0</v>
      </c>
      <c r="Y47" s="23">
        <f>X54</f>
        <v>0</v>
      </c>
      <c r="Z47" s="23">
        <f>Y54</f>
        <v>0</v>
      </c>
      <c r="AA47" s="23">
        <f>Z54</f>
        <v>0</v>
      </c>
      <c r="AB47" s="23">
        <f>AA54</f>
        <v>0</v>
      </c>
      <c r="AC47" s="23">
        <f>AB54</f>
        <v>0</v>
      </c>
      <c r="AD47" s="23">
        <f>AC54</f>
        <v>0</v>
      </c>
      <c r="AE47" s="23">
        <f>AD54</f>
        <v>0</v>
      </c>
    </row>
    <row r="48">
      <c r="A48" s="6" t="inlineStr">
        <is>
          <t xml:space="preserve">Months depreciated before the year</t>
        </is>
      </c>
      <c r="E48" s="9">
        <v>0</v>
      </c>
      <c r="F48" s="23">
        <f>E55</f>
        <v>0</v>
      </c>
      <c r="G48" s="23">
        <f>F55</f>
        <v>6</v>
      </c>
      <c r="H48" s="23">
        <f>G55</f>
        <v>18</v>
      </c>
      <c r="I48" s="23">
        <f>H55</f>
        <v>30</v>
      </c>
      <c r="J48" s="23">
        <f>I55</f>
        <v>42</v>
      </c>
      <c r="K48" s="23">
        <f>J55</f>
        <v>54</v>
      </c>
      <c r="L48" s="23">
        <f>K55</f>
        <v>66</v>
      </c>
      <c r="M48" s="23">
        <f>L55</f>
        <v>78</v>
      </c>
      <c r="N48" s="23">
        <f>M55</f>
        <v>90</v>
      </c>
      <c r="O48" s="23">
        <f>N55</f>
        <v>102</v>
      </c>
      <c r="P48" s="23">
        <f>O55</f>
        <v>114</v>
      </c>
      <c r="Q48" s="23">
        <f>P55</f>
        <v>126</v>
      </c>
      <c r="R48" s="23">
        <f>Q55</f>
        <v>138</v>
      </c>
      <c r="S48" s="23">
        <f>R55</f>
        <v>150</v>
      </c>
      <c r="T48" s="23">
        <f>S55</f>
        <v>162</v>
      </c>
      <c r="U48" s="23">
        <f>T55</f>
        <v>174</v>
      </c>
      <c r="V48" s="23">
        <f>U55</f>
        <v>186</v>
      </c>
      <c r="W48" s="23">
        <f>V55</f>
        <v>198</v>
      </c>
      <c r="X48" s="23">
        <f>W55</f>
        <v>198</v>
      </c>
      <c r="Y48" s="23">
        <f>X55</f>
        <v>198</v>
      </c>
      <c r="Z48" s="23">
        <f>Y55</f>
        <v>198</v>
      </c>
      <c r="AA48" s="23">
        <f>Z55</f>
        <v>198</v>
      </c>
      <c r="AB48" s="23">
        <f>AA55</f>
        <v>198</v>
      </c>
      <c r="AC48" s="23">
        <f>AB55</f>
        <v>198</v>
      </c>
      <c r="AD48" s="23">
        <f>AC55</f>
        <v>198</v>
      </c>
      <c r="AE48" s="23">
        <f>AD55</f>
        <v>198</v>
      </c>
    </row>
    <row r="49">
      <c r="A49" s="6" t="inlineStr">
        <is>
          <t xml:space="preserve">Remaining useful life</t>
        </is>
      </c>
      <c r="B49" s="10" t="inlineStr">
        <is>
          <t xml:space="preserve">years</t>
        </is>
      </c>
      <c r="F49" s="21">
        <f>Inputs!$C$93-F48/12</f>
        <v>16</v>
      </c>
      <c r="G49" s="21">
        <f>Inputs!$C$93-G48/12</f>
        <v>15.5</v>
      </c>
      <c r="H49" s="21">
        <f>Inputs!$C$93-H48/12</f>
        <v>14.5</v>
      </c>
      <c r="I49" s="21">
        <f>Inputs!$C$93-I48/12</f>
        <v>13.5</v>
      </c>
      <c r="J49" s="21">
        <f>Inputs!$C$93-J48/12</f>
        <v>12.5</v>
      </c>
      <c r="K49" s="21">
        <f>Inputs!$C$93-K48/12</f>
        <v>11.5</v>
      </c>
      <c r="L49" s="21">
        <f>Inputs!$C$93-L48/12</f>
        <v>10.5</v>
      </c>
      <c r="M49" s="21">
        <f>Inputs!$C$93-M48/12</f>
        <v>9.5</v>
      </c>
      <c r="N49" s="21">
        <f>Inputs!$C$93-N48/12</f>
        <v>8.5</v>
      </c>
      <c r="O49" s="21">
        <f>Inputs!$C$93-O48/12</f>
        <v>7.5</v>
      </c>
      <c r="P49" s="21">
        <f>Inputs!$C$93-P48/12</f>
        <v>6.5</v>
      </c>
      <c r="Q49" s="21">
        <f>Inputs!$C$93-Q48/12</f>
        <v>5.5</v>
      </c>
      <c r="R49" s="21">
        <f>Inputs!$C$93-R48/12</f>
        <v>4.5</v>
      </c>
      <c r="S49" s="21">
        <f>Inputs!$C$93-S48/12</f>
        <v>3.5</v>
      </c>
      <c r="T49" s="21">
        <f>Inputs!$C$93-T48/12</f>
        <v>2.5</v>
      </c>
      <c r="U49" s="21">
        <f>Inputs!$C$93-U48/12</f>
        <v>1.5</v>
      </c>
      <c r="V49" s="21">
        <f>Inputs!$C$93-V48/12</f>
        <v>0.5</v>
      </c>
      <c r="W49" s="21">
        <f>Inputs!$C$93-W48/12</f>
        <v>-0.5</v>
      </c>
      <c r="X49" s="21">
        <f>Inputs!$C$93-X48/12</f>
        <v>-0.5</v>
      </c>
      <c r="Y49" s="21">
        <f>Inputs!$C$93-Y48/12</f>
        <v>-0.5</v>
      </c>
      <c r="Z49" s="21">
        <f>Inputs!$C$93-Z48/12</f>
        <v>-0.5</v>
      </c>
      <c r="AA49" s="21">
        <f>Inputs!$C$93-AA48/12</f>
        <v>-0.5</v>
      </c>
      <c r="AB49" s="21">
        <f>Inputs!$C$93-AB48/12</f>
        <v>-0.5</v>
      </c>
      <c r="AC49" s="21">
        <f>Inputs!$C$93-AC48/12</f>
        <v>-0.5</v>
      </c>
      <c r="AD49" s="21">
        <f>Inputs!$C$93-AD48/12</f>
        <v>-0.5</v>
      </c>
      <c r="AE49" s="21">
        <f>Inputs!$C$93-AE48/12</f>
        <v>-0.5</v>
      </c>
    </row>
    <row r="50">
      <c r="A50" s="6" t="inlineStr">
        <is>
          <t xml:space="preserve">Straight-line amount</t>
        </is>
      </c>
      <c r="B50" s="10" t="inlineStr">
        <is>
          <t xml:space="preserve">€</t>
        </is>
      </c>
      <c r="F50" s="23">
        <f>IF(F49&gt;0,F47/F49*Timing!F87/12,F47)</f>
        <v>1819758.4576594748</v>
      </c>
      <c r="G50" s="23">
        <f>IF(G49&gt;0,G47/G49*Timing!G87/12,G47)</f>
        <v>3639516.9153189496</v>
      </c>
      <c r="H50" s="23">
        <f>IF(H49&gt;0,H47/H49*Timing!H87/12,H47)</f>
        <v>3639516.9153189496</v>
      </c>
      <c r="I50" s="23">
        <f>IF(I49&gt;0,I47/I49*Timing!I87/12,I47)</f>
        <v>3639516.915318949</v>
      </c>
      <c r="J50" s="23">
        <f>IF(J49&gt;0,J47/J49*Timing!J87/12,J47)</f>
        <v>3639516.915318949</v>
      </c>
      <c r="K50" s="23">
        <f>IF(K49&gt;0,K47/K49*Timing!K87/12,K47)</f>
        <v>3639516.915318949</v>
      </c>
      <c r="L50" s="23">
        <f>IF(L49&gt;0,L47/L49*Timing!L87/12,L47)</f>
        <v>3639516.9153189487</v>
      </c>
      <c r="M50" s="23">
        <f>IF(M49&gt;0,M47/M49*Timing!M87/12,M47)</f>
        <v>3639516.9153189487</v>
      </c>
      <c r="N50" s="23">
        <f>IF(N49&gt;0,N47/N49*Timing!N87/12,N47)</f>
        <v>3639516.9153189487</v>
      </c>
      <c r="O50" s="23">
        <f>IF(O49&gt;0,O47/O49*Timing!O87/12,O47)</f>
        <v>3639516.915318949</v>
      </c>
      <c r="P50" s="23">
        <f>IF(P49&gt;0,P47/P49*Timing!P87/12,P47)</f>
        <v>3639516.9153189487</v>
      </c>
      <c r="Q50" s="23">
        <f>IF(Q49&gt;0,Q47/Q49*Timing!Q87/12,Q47)</f>
        <v>3639516.915318949</v>
      </c>
      <c r="R50" s="23">
        <f>IF(R49&gt;0,R47/R49*Timing!R87/12,R47)</f>
        <v>3639516.915318949</v>
      </c>
      <c r="S50" s="23">
        <f>IF(S49&gt;0,S47/S49*Timing!S87/12,S47)</f>
        <v>3639516.9153189487</v>
      </c>
      <c r="T50" s="23">
        <f>IF(T49&gt;0,T47/T49*Timing!T87/12,T47)</f>
        <v>3639516.9153189487</v>
      </c>
      <c r="U50" s="23">
        <f>IF(U49&gt;0,U47/U49*Timing!U87/12,U47)</f>
        <v>3639516.9153189487</v>
      </c>
      <c r="V50" s="23">
        <f>IF(V49&gt;0,V47/V49*Timing!V87/12,V47)</f>
        <v>3639516.915318948</v>
      </c>
      <c r="W50" s="23">
        <f>IF(W49&gt;0,W47/W49*Timing!W87/12,W47)</f>
        <v>0</v>
      </c>
      <c r="X50" s="23">
        <f>IF(X49&gt;0,X47/X49*Timing!X87/12,X47)</f>
        <v>0</v>
      </c>
      <c r="Y50" s="23">
        <f>IF(Y49&gt;0,Y47/Y49*Timing!Y87/12,Y47)</f>
        <v>0</v>
      </c>
      <c r="Z50" s="23">
        <f>IF(Z49&gt;0,Z47/Z49*Timing!Z87/12,Z47)</f>
        <v>0</v>
      </c>
      <c r="AA50" s="23">
        <f>IF(AA49&gt;0,AA47/AA49*Timing!AA87/12,AA47)</f>
        <v>0</v>
      </c>
      <c r="AB50" s="23">
        <f>IF(AB49&gt;0,AB47/AB49*Timing!AB87/12,AB47)</f>
        <v>0</v>
      </c>
      <c r="AC50" s="23">
        <f>IF(AC49&gt;0,AC47/AC49*Timing!AC87/12,AC47)</f>
        <v>0</v>
      </c>
      <c r="AD50" s="23">
        <f>IF(AD49&gt;0,AD47/AD49*Timing!AD87/12,AD47)</f>
        <v>0</v>
      </c>
      <c r="AE50" s="23">
        <f>IF(AE49&gt;0,AE47/AE49*Timing!AE87/12,AE47)</f>
        <v>0</v>
      </c>
    </row>
    <row r="51">
      <c r="A51" s="6" t="inlineStr">
        <is>
          <t xml:space="preserve">Declining-balance amount</t>
        </is>
      </c>
      <c r="B51" s="10" t="inlineStr">
        <is>
          <t xml:space="preserve">€</t>
        </is>
      </c>
      <c r="F51" s="23">
        <f>F47*Timing!$C$36*Timing!F87/12</f>
        <v>5459275.372978425</v>
      </c>
      <c r="G51" s="23">
        <f>G47*Timing!$C$36*Timing!G87/12</f>
        <v>10577346.035145696</v>
      </c>
      <c r="H51" s="23">
        <f>H47*Timing!$C$36*Timing!H87/12</f>
        <v>9894936.613523394</v>
      </c>
      <c r="I51" s="23">
        <f>I47*Timing!$C$36*Timing!I87/12</f>
        <v>9212527.191901091</v>
      </c>
      <c r="J51" s="23">
        <f>J47*Timing!$C$36*Timing!J87/12</f>
        <v>8530117.770278787</v>
      </c>
      <c r="K51" s="23">
        <f>K47*Timing!$C$36*Timing!K87/12</f>
        <v>7847708.348656484</v>
      </c>
      <c r="L51" s="23">
        <f>L47*Timing!$C$36*Timing!L87/12</f>
        <v>7165298.927034181</v>
      </c>
      <c r="M51" s="23">
        <f>M47*Timing!$C$36*Timing!M87/12</f>
        <v>6482889.505411877</v>
      </c>
      <c r="N51" s="23">
        <f>N47*Timing!$C$36*Timing!N87/12</f>
        <v>5800480.083789575</v>
      </c>
      <c r="O51" s="23">
        <f>O47*Timing!$C$36*Timing!O87/12</f>
        <v>5118070.662167272</v>
      </c>
      <c r="P51" s="23">
        <f>P47*Timing!$C$36*Timing!P87/12</f>
        <v>4435661.240544969</v>
      </c>
      <c r="Q51" s="23">
        <f>Q47*Timing!$C$36*Timing!Q87/12</f>
        <v>3753251.818922666</v>
      </c>
      <c r="R51" s="23">
        <f>R47*Timing!$C$36*Timing!R87/12</f>
        <v>3070842.397300363</v>
      </c>
      <c r="S51" s="23">
        <f>S47*Timing!$C$36*Timing!S87/12</f>
        <v>2388432.97567806</v>
      </c>
      <c r="T51" s="23">
        <f>T47*Timing!$C$36*Timing!T87/12</f>
        <v>1706023.5540557574</v>
      </c>
      <c r="U51" s="23">
        <f>U47*Timing!$C$36*Timing!U87/12</f>
        <v>1023614.1324334543</v>
      </c>
      <c r="V51" s="23">
        <f>V47*Timing!$C$36*Timing!V87/12</f>
        <v>341204.7108111514</v>
      </c>
      <c r="W51" s="23">
        <f>W47*Timing!$C$36*Timing!W87/12</f>
        <v>0</v>
      </c>
      <c r="X51" s="23">
        <f>X47*Timing!$C$36*Timing!X87/12</f>
        <v>0</v>
      </c>
      <c r="Y51" s="23">
        <f>Y47*Timing!$C$36*Timing!Y87/12</f>
        <v>0</v>
      </c>
      <c r="Z51" s="23">
        <f>Z47*Timing!$C$36*Timing!Z87/12</f>
        <v>0</v>
      </c>
      <c r="AA51" s="23">
        <f>AA47*Timing!$C$36*Timing!AA87/12</f>
        <v>0</v>
      </c>
      <c r="AB51" s="23">
        <f>AB47*Timing!$C$36*Timing!AB87/12</f>
        <v>0</v>
      </c>
      <c r="AC51" s="23">
        <f>AC47*Timing!$C$36*Timing!AC87/12</f>
        <v>0</v>
      </c>
      <c r="AD51" s="23">
        <f>AD47*Timing!$C$36*Timing!AD87/12</f>
        <v>0</v>
      </c>
      <c r="AE51" s="23">
        <f>AE47*Timing!$C$36*Timing!AE87/12</f>
        <v>0</v>
      </c>
    </row>
    <row r="52">
      <c r="A52" s="6" t="inlineStr">
        <is>
          <t xml:space="preserve">Straight-line from this year (1 = yes)</t>
        </is>
      </c>
      <c r="E52" s="9">
        <v>0</v>
      </c>
      <c r="F52" s="23">
        <f>IF(OR(Timing!$C$35=0,E52=1,F50&gt;=F51),1,0)</f>
        <v>1</v>
      </c>
      <c r="G52" s="23">
        <f>IF(OR(Timing!$C$35=0,F52=1,G50&gt;=G51),1,0)</f>
        <v>1</v>
      </c>
      <c r="H52" s="23">
        <f>IF(OR(Timing!$C$35=0,G52=1,H50&gt;=H51),1,0)</f>
        <v>1</v>
      </c>
      <c r="I52" s="23">
        <f>IF(OR(Timing!$C$35=0,H52=1,I50&gt;=I51),1,0)</f>
        <v>1</v>
      </c>
      <c r="J52" s="23">
        <f>IF(OR(Timing!$C$35=0,I52=1,J50&gt;=J51),1,0)</f>
        <v>1</v>
      </c>
      <c r="K52" s="23">
        <f>IF(OR(Timing!$C$35=0,J52=1,K50&gt;=K51),1,0)</f>
        <v>1</v>
      </c>
      <c r="L52" s="23">
        <f>IF(OR(Timing!$C$35=0,K52=1,L50&gt;=L51),1,0)</f>
        <v>1</v>
      </c>
      <c r="M52" s="23">
        <f>IF(OR(Timing!$C$35=0,L52=1,M50&gt;=M51),1,0)</f>
        <v>1</v>
      </c>
      <c r="N52" s="23">
        <f>IF(OR(Timing!$C$35=0,M52=1,N50&gt;=N51),1,0)</f>
        <v>1</v>
      </c>
      <c r="O52" s="23">
        <f>IF(OR(Timing!$C$35=0,N52=1,O50&gt;=O51),1,0)</f>
        <v>1</v>
      </c>
      <c r="P52" s="23">
        <f>IF(OR(Timing!$C$35=0,O52=1,P50&gt;=P51),1,0)</f>
        <v>1</v>
      </c>
      <c r="Q52" s="23">
        <f>IF(OR(Timing!$C$35=0,P52=1,Q50&gt;=Q51),1,0)</f>
        <v>1</v>
      </c>
      <c r="R52" s="23">
        <f>IF(OR(Timing!$C$35=0,Q52=1,R50&gt;=R51),1,0)</f>
        <v>1</v>
      </c>
      <c r="S52" s="23">
        <f>IF(OR(Timing!$C$35=0,R52=1,S50&gt;=S51),1,0)</f>
        <v>1</v>
      </c>
      <c r="T52" s="23">
        <f>IF(OR(Timing!$C$35=0,S52=1,T50&gt;=T51),1,0)</f>
        <v>1</v>
      </c>
      <c r="U52" s="23">
        <f>IF(OR(Timing!$C$35=0,T52=1,U50&gt;=U51),1,0)</f>
        <v>1</v>
      </c>
      <c r="V52" s="23">
        <f>IF(OR(Timing!$C$35=0,U52=1,V50&gt;=V51),1,0)</f>
        <v>1</v>
      </c>
      <c r="W52" s="23">
        <f>IF(OR(Timing!$C$35=0,V52=1,W50&gt;=W51),1,0)</f>
        <v>1</v>
      </c>
      <c r="X52" s="23">
        <f>IF(OR(Timing!$C$35=0,W52=1,X50&gt;=X51),1,0)</f>
        <v>1</v>
      </c>
      <c r="Y52" s="23">
        <f>IF(OR(Timing!$C$35=0,X52=1,Y50&gt;=Y51),1,0)</f>
        <v>1</v>
      </c>
      <c r="Z52" s="23">
        <f>IF(OR(Timing!$C$35=0,Y52=1,Z50&gt;=Z51),1,0)</f>
        <v>1</v>
      </c>
      <c r="AA52" s="23">
        <f>IF(OR(Timing!$C$35=0,Z52=1,AA50&gt;=AA51),1,0)</f>
        <v>1</v>
      </c>
      <c r="AB52" s="23">
        <f>IF(OR(Timing!$C$35=0,AA52=1,AB50&gt;=AB51),1,0)</f>
        <v>1</v>
      </c>
      <c r="AC52" s="23">
        <f>IF(OR(Timing!$C$35=0,AB52=1,AC50&gt;=AC51),1,0)</f>
        <v>1</v>
      </c>
      <c r="AD52" s="23">
        <f>IF(OR(Timing!$C$35=0,AC52=1,AD50&gt;=AD51),1,0)</f>
        <v>1</v>
      </c>
      <c r="AE52" s="23">
        <f>IF(OR(Timing!$C$35=0,AD52=1,AE50&gt;=AE51),1,0)</f>
        <v>1</v>
      </c>
    </row>
    <row r="53">
      <c r="A53" s="6" t="inlineStr">
        <is>
          <t xml:space="preserve">Depreciation by schedule</t>
        </is>
      </c>
      <c r="B53" s="10" t="inlineStr">
        <is>
          <t xml:space="preserve">€</t>
        </is>
      </c>
      <c r="F53" s="23">
        <f>IF(F47&lt;=Inputs!$C$157,0,MIN(F47,IF(F52=1,F50,F51)))</f>
        <v>1819758.4576594748</v>
      </c>
      <c r="G53" s="23">
        <f>IF(G47&lt;=Inputs!$C$157,0,MIN(G47,IF(G52=1,G50,G51)))</f>
        <v>3639516.9153189496</v>
      </c>
      <c r="H53" s="23">
        <f>IF(H47&lt;=Inputs!$C$157,0,MIN(H47,IF(H52=1,H50,H51)))</f>
        <v>3639516.9153189496</v>
      </c>
      <c r="I53" s="23">
        <f>IF(I47&lt;=Inputs!$C$157,0,MIN(I47,IF(I52=1,I50,I51)))</f>
        <v>3639516.915318949</v>
      </c>
      <c r="J53" s="23">
        <f>IF(J47&lt;=Inputs!$C$157,0,MIN(J47,IF(J52=1,J50,J51)))</f>
        <v>3639516.915318949</v>
      </c>
      <c r="K53" s="23">
        <f>IF(K47&lt;=Inputs!$C$157,0,MIN(K47,IF(K52=1,K50,K51)))</f>
        <v>3639516.915318949</v>
      </c>
      <c r="L53" s="23">
        <f>IF(L47&lt;=Inputs!$C$157,0,MIN(L47,IF(L52=1,L50,L51)))</f>
        <v>3639516.9153189487</v>
      </c>
      <c r="M53" s="23">
        <f>IF(M47&lt;=Inputs!$C$157,0,MIN(M47,IF(M52=1,M50,M51)))</f>
        <v>3639516.9153189487</v>
      </c>
      <c r="N53" s="23">
        <f>IF(N47&lt;=Inputs!$C$157,0,MIN(N47,IF(N52=1,N50,N51)))</f>
        <v>3639516.9153189487</v>
      </c>
      <c r="O53" s="23">
        <f>IF(O47&lt;=Inputs!$C$157,0,MIN(O47,IF(O52=1,O50,O51)))</f>
        <v>3639516.915318949</v>
      </c>
      <c r="P53" s="23">
        <f>IF(P47&lt;=Inputs!$C$157,0,MIN(P47,IF(P52=1,P50,P51)))</f>
        <v>3639516.9153189487</v>
      </c>
      <c r="Q53" s="23">
        <f>IF(Q47&lt;=Inputs!$C$157,0,MIN(Q47,IF(Q52=1,Q50,Q51)))</f>
        <v>3639516.915318949</v>
      </c>
      <c r="R53" s="23">
        <f>IF(R47&lt;=Inputs!$C$157,0,MIN(R47,IF(R52=1,R50,R51)))</f>
        <v>3639516.915318949</v>
      </c>
      <c r="S53" s="23">
        <f>IF(S47&lt;=Inputs!$C$157,0,MIN(S47,IF(S52=1,S50,S51)))</f>
        <v>3639516.9153189487</v>
      </c>
      <c r="T53" s="23">
        <f>IF(T47&lt;=Inputs!$C$157,0,MIN(T47,IF(T52=1,T50,T51)))</f>
        <v>3639516.9153189487</v>
      </c>
      <c r="U53" s="23">
        <f>IF(U47&lt;=Inputs!$C$157,0,MIN(U47,IF(U52=1,U50,U51)))</f>
        <v>3639516.9153189487</v>
      </c>
      <c r="V53" s="23">
        <f>IF(V47&lt;=Inputs!$C$157,0,MIN(V47,IF(V52=1,V50,V51)))</f>
        <v>1819758.457659474</v>
      </c>
      <c r="W53" s="23">
        <f>IF(W47&lt;=Inputs!$C$157,0,MIN(W47,IF(W52=1,W50,W51)))</f>
        <v>0</v>
      </c>
      <c r="X53" s="23">
        <f>IF(X47&lt;=Inputs!$C$157,0,MIN(X47,IF(X52=1,X50,X51)))</f>
        <v>0</v>
      </c>
      <c r="Y53" s="23">
        <f>IF(Y47&lt;=Inputs!$C$157,0,MIN(Y47,IF(Y52=1,Y50,Y51)))</f>
        <v>0</v>
      </c>
      <c r="Z53" s="23">
        <f>IF(Z47&lt;=Inputs!$C$157,0,MIN(Z47,IF(Z52=1,Z50,Z51)))</f>
        <v>0</v>
      </c>
      <c r="AA53" s="23">
        <f>IF(AA47&lt;=Inputs!$C$157,0,MIN(AA47,IF(AA52=1,AA50,AA51)))</f>
        <v>0</v>
      </c>
      <c r="AB53" s="23">
        <f>IF(AB47&lt;=Inputs!$C$157,0,MIN(AB47,IF(AB52=1,AB50,AB51)))</f>
        <v>0</v>
      </c>
      <c r="AC53" s="23">
        <f>IF(AC47&lt;=Inputs!$C$157,0,MIN(AC47,IF(AC52=1,AC50,AC51)))</f>
        <v>0</v>
      </c>
      <c r="AD53" s="23">
        <f>IF(AD47&lt;=Inputs!$C$157,0,MIN(AD47,IF(AD52=1,AD50,AD51)))</f>
        <v>0</v>
      </c>
      <c r="AE53" s="23">
        <f>IF(AE47&lt;=Inputs!$C$157,0,MIN(AE47,IF(AE52=1,AE50,AE51)))</f>
        <v>0</v>
      </c>
    </row>
    <row r="54">
      <c r="A54" s="6" t="inlineStr">
        <is>
          <t xml:space="preserve">Book value at the year end</t>
        </is>
      </c>
      <c r="B54" s="10" t="inlineStr">
        <is>
          <t xml:space="preserve">€</t>
        </is>
      </c>
      <c r="E54" s="23">
        <f>$C$46</f>
        <v>58232270.645103194</v>
      </c>
      <c r="F54" s="23">
        <f>F47-F53</f>
        <v>56412512.18744372</v>
      </c>
      <c r="G54" s="23">
        <f>G47-G53</f>
        <v>52772995.27212477</v>
      </c>
      <c r="H54" s="23">
        <f>H47-H53</f>
        <v>49133478.35680582</v>
      </c>
      <c r="I54" s="23">
        <f>I47-I53</f>
        <v>45493961.441486865</v>
      </c>
      <c r="J54" s="23">
        <f>J47-J53</f>
        <v>41854444.526167914</v>
      </c>
      <c r="K54" s="23">
        <f>K47-K53</f>
        <v>38214927.61084896</v>
      </c>
      <c r="L54" s="23">
        <f>L47-L53</f>
        <v>34575410.69553001</v>
      </c>
      <c r="M54" s="23">
        <f>M47-M53</f>
        <v>30935893.780211065</v>
      </c>
      <c r="N54" s="23">
        <f>N47-N53</f>
        <v>27296376.864892118</v>
      </c>
      <c r="O54" s="23">
        <f>O47-O53</f>
        <v>23656859.949573167</v>
      </c>
      <c r="P54" s="23">
        <f>P47-P53</f>
        <v>20017343.03425422</v>
      </c>
      <c r="Q54" s="23">
        <f>Q47-Q53</f>
        <v>16377826.11893527</v>
      </c>
      <c r="R54" s="23">
        <f>R47-R53</f>
        <v>12738309.203616321</v>
      </c>
      <c r="S54" s="23">
        <f>S47-S53</f>
        <v>9098792.288297372</v>
      </c>
      <c r="T54" s="23">
        <f>T47-T53</f>
        <v>5459275.372978423</v>
      </c>
      <c r="U54" s="23">
        <f>U47-U53</f>
        <v>1819758.457659474</v>
      </c>
      <c r="V54" s="23">
        <f>V47-V53</f>
        <v>0</v>
      </c>
      <c r="W54" s="23">
        <f>W47-W53</f>
        <v>0</v>
      </c>
      <c r="X54" s="23">
        <f>X47-X53</f>
        <v>0</v>
      </c>
      <c r="Y54" s="23">
        <f>Y47-Y53</f>
        <v>0</v>
      </c>
      <c r="Z54" s="23">
        <f>Z47-Z53</f>
        <v>0</v>
      </c>
      <c r="AA54" s="23">
        <f>AA47-AA53</f>
        <v>0</v>
      </c>
      <c r="AB54" s="23">
        <f>AB47-AB53</f>
        <v>0</v>
      </c>
      <c r="AC54" s="23">
        <f>AC47-AC53</f>
        <v>0</v>
      </c>
      <c r="AD54" s="23">
        <f>AD47-AD53</f>
        <v>0</v>
      </c>
      <c r="AE54" s="23">
        <f>AE47-AE53</f>
        <v>0</v>
      </c>
    </row>
    <row r="55">
      <c r="A55" s="6" t="inlineStr">
        <is>
          <t xml:space="preserve">Months depreciated</t>
        </is>
      </c>
      <c r="F55" s="23">
        <f>F48+IF(F47&gt;Inputs!$C$157,Timing!F87,0)</f>
        <v>6</v>
      </c>
      <c r="G55" s="23">
        <f>G48+IF(G47&gt;Inputs!$C$157,Timing!G87,0)</f>
        <v>18</v>
      </c>
      <c r="H55" s="23">
        <f>H48+IF(H47&gt;Inputs!$C$157,Timing!H87,0)</f>
        <v>30</v>
      </c>
      <c r="I55" s="23">
        <f>I48+IF(I47&gt;Inputs!$C$157,Timing!I87,0)</f>
        <v>42</v>
      </c>
      <c r="J55" s="23">
        <f>J48+IF(J47&gt;Inputs!$C$157,Timing!J87,0)</f>
        <v>54</v>
      </c>
      <c r="K55" s="23">
        <f>K48+IF(K47&gt;Inputs!$C$157,Timing!K87,0)</f>
        <v>66</v>
      </c>
      <c r="L55" s="23">
        <f>L48+IF(L47&gt;Inputs!$C$157,Timing!L87,0)</f>
        <v>78</v>
      </c>
      <c r="M55" s="23">
        <f>M48+IF(M47&gt;Inputs!$C$157,Timing!M87,0)</f>
        <v>90</v>
      </c>
      <c r="N55" s="23">
        <f>N48+IF(N47&gt;Inputs!$C$157,Timing!N87,0)</f>
        <v>102</v>
      </c>
      <c r="O55" s="23">
        <f>O48+IF(O47&gt;Inputs!$C$157,Timing!O87,0)</f>
        <v>114</v>
      </c>
      <c r="P55" s="23">
        <f>P48+IF(P47&gt;Inputs!$C$157,Timing!P87,0)</f>
        <v>126</v>
      </c>
      <c r="Q55" s="23">
        <f>Q48+IF(Q47&gt;Inputs!$C$157,Timing!Q87,0)</f>
        <v>138</v>
      </c>
      <c r="R55" s="23">
        <f>R48+IF(R47&gt;Inputs!$C$157,Timing!R87,0)</f>
        <v>150</v>
      </c>
      <c r="S55" s="23">
        <f>S48+IF(S47&gt;Inputs!$C$157,Timing!S87,0)</f>
        <v>162</v>
      </c>
      <c r="T55" s="23">
        <f>T48+IF(T47&gt;Inputs!$C$157,Timing!T87,0)</f>
        <v>174</v>
      </c>
      <c r="U55" s="23">
        <f>U48+IF(U47&gt;Inputs!$C$157,Timing!U87,0)</f>
        <v>186</v>
      </c>
      <c r="V55" s="23">
        <f>V48+IF(V47&gt;Inputs!$C$157,Timing!V87,0)</f>
        <v>198</v>
      </c>
      <c r="W55" s="23">
        <f>W48+IF(W47&gt;Inputs!$C$157,Timing!W87,0)</f>
        <v>198</v>
      </c>
      <c r="X55" s="23">
        <f>X48+IF(X47&gt;Inputs!$C$157,Timing!X87,0)</f>
        <v>198</v>
      </c>
      <c r="Y55" s="23">
        <f>Y48+IF(Y47&gt;Inputs!$C$157,Timing!Y87,0)</f>
        <v>198</v>
      </c>
      <c r="Z55" s="23">
        <f>Z48+IF(Z47&gt;Inputs!$C$157,Timing!Z87,0)</f>
        <v>198</v>
      </c>
      <c r="AA55" s="23">
        <f>AA48+IF(AA47&gt;Inputs!$C$157,Timing!AA87,0)</f>
        <v>198</v>
      </c>
      <c r="AB55" s="23">
        <f>AB48+IF(AB47&gt;Inputs!$C$157,Timing!AB87,0)</f>
        <v>198</v>
      </c>
      <c r="AC55" s="23">
        <f>AC48+IF(AC47&gt;Inputs!$C$157,Timing!AC87,0)</f>
        <v>198</v>
      </c>
      <c r="AD55" s="23">
        <f>AD48+IF(AD47&gt;Inputs!$C$157,Timing!AD87,0)</f>
        <v>198</v>
      </c>
      <c r="AE55" s="23">
        <f>AE48+IF(AE47&gt;Inputs!$C$157,Timing!AE87,0)</f>
        <v>198</v>
      </c>
    </row>
    <row r="56">
      <c r="A56" s="6" t="inlineStr">
        <is>
          <t xml:space="preserve">Book value written off when the farm is dismantled</t>
        </is>
      </c>
      <c r="B56" s="10" t="inlineStr">
        <is>
          <t xml:space="preserve">€</t>
        </is>
      </c>
      <c r="F56" s="23">
        <f>IF(AND(Timing!F72=1,F54&gt;Inputs!$C$157),F54,0)</f>
        <v>0</v>
      </c>
      <c r="G56" s="23">
        <f>IF(AND(Timing!G72=1,G54&gt;Inputs!$C$157),G54,0)</f>
        <v>0</v>
      </c>
      <c r="H56" s="23">
        <f>IF(AND(Timing!H72=1,H54&gt;Inputs!$C$157),H54,0)</f>
        <v>0</v>
      </c>
      <c r="I56" s="23">
        <f>IF(AND(Timing!I72=1,I54&gt;Inputs!$C$157),I54,0)</f>
        <v>0</v>
      </c>
      <c r="J56" s="23">
        <f>IF(AND(Timing!J72=1,J54&gt;Inputs!$C$157),J54,0)</f>
        <v>0</v>
      </c>
      <c r="K56" s="23">
        <f>IF(AND(Timing!K72=1,K54&gt;Inputs!$C$157),K54,0)</f>
        <v>0</v>
      </c>
      <c r="L56" s="23">
        <f>IF(AND(Timing!L72=1,L54&gt;Inputs!$C$157),L54,0)</f>
        <v>0</v>
      </c>
      <c r="M56" s="23">
        <f>IF(AND(Timing!M72=1,M54&gt;Inputs!$C$157),M54,0)</f>
        <v>0</v>
      </c>
      <c r="N56" s="23">
        <f>IF(AND(Timing!N72=1,N54&gt;Inputs!$C$157),N54,0)</f>
        <v>0</v>
      </c>
      <c r="O56" s="23">
        <f>IF(AND(Timing!O72=1,O54&gt;Inputs!$C$157),O54,0)</f>
        <v>0</v>
      </c>
      <c r="P56" s="23">
        <f>IF(AND(Timing!P72=1,P54&gt;Inputs!$C$157),P54,0)</f>
        <v>0</v>
      </c>
      <c r="Q56" s="23">
        <f>IF(AND(Timing!Q72=1,Q54&gt;Inputs!$C$157),Q54,0)</f>
        <v>0</v>
      </c>
      <c r="R56" s="23">
        <f>IF(AND(Timing!R72=1,R54&gt;Inputs!$C$157),R54,0)</f>
        <v>0</v>
      </c>
      <c r="S56" s="23">
        <f>IF(AND(Timing!S72=1,S54&gt;Inputs!$C$157),S54,0)</f>
        <v>0</v>
      </c>
      <c r="T56" s="23">
        <f>IF(AND(Timing!T72=1,T54&gt;Inputs!$C$157),T54,0)</f>
        <v>0</v>
      </c>
      <c r="U56" s="23">
        <f>IF(AND(Timing!U72=1,U54&gt;Inputs!$C$157),U54,0)</f>
        <v>0</v>
      </c>
      <c r="V56" s="23">
        <f>IF(AND(Timing!V72=1,V54&gt;Inputs!$C$157),V54,0)</f>
        <v>0</v>
      </c>
      <c r="W56" s="23">
        <f>IF(AND(Timing!W72=1,W54&gt;Inputs!$C$157),W54,0)</f>
        <v>0</v>
      </c>
      <c r="X56" s="23">
        <f>IF(AND(Timing!X72=1,X54&gt;Inputs!$C$157),X54,0)</f>
        <v>0</v>
      </c>
      <c r="Y56" s="23">
        <f>IF(AND(Timing!Y72=1,Y54&gt;Inputs!$C$157),Y54,0)</f>
        <v>0</v>
      </c>
      <c r="Z56" s="23">
        <f>IF(AND(Timing!Z72=1,Z54&gt;Inputs!$C$157),Z54,0)</f>
        <v>0</v>
      </c>
      <c r="AA56" s="23">
        <f>IF(AND(Timing!AA72=1,AA54&gt;Inputs!$C$157),AA54,0)</f>
        <v>0</v>
      </c>
      <c r="AB56" s="23">
        <f>IF(AND(Timing!AB72=1,AB54&gt;Inputs!$C$157),AB54,0)</f>
        <v>0</v>
      </c>
      <c r="AC56" s="23">
        <f>IF(AND(Timing!AC72=1,AC54&gt;Inputs!$C$157),AC54,0)</f>
        <v>0</v>
      </c>
      <c r="AD56" s="23">
        <f>IF(AND(Timing!AD72=1,AD54&gt;Inputs!$C$157),AD54,0)</f>
        <v>0</v>
      </c>
      <c r="AE56" s="23">
        <f>IF(AND(Timing!AE72=1,AE54&gt;Inputs!$C$157),AE54,0)</f>
        <v>0</v>
      </c>
    </row>
    <row r="57">
      <c r="A57" s="41" t="inlineStr">
        <is>
          <t xml:space="preserve">Depreciation</t>
        </is>
      </c>
      <c r="B57" s="10" t="inlineStr">
        <is>
          <t xml:space="preserve">€</t>
        </is>
      </c>
      <c r="F57" s="42">
        <f>F53+F56</f>
        <v>1819758.4576594748</v>
      </c>
      <c r="G57" s="42">
        <f>G53+G56</f>
        <v>3639516.9153189496</v>
      </c>
      <c r="H57" s="42">
        <f>H53+H56</f>
        <v>3639516.9153189496</v>
      </c>
      <c r="I57" s="42">
        <f>I53+I56</f>
        <v>3639516.915318949</v>
      </c>
      <c r="J57" s="42">
        <f>J53+J56</f>
        <v>3639516.915318949</v>
      </c>
      <c r="K57" s="42">
        <f>K53+K56</f>
        <v>3639516.915318949</v>
      </c>
      <c r="L57" s="42">
        <f>L53+L56</f>
        <v>3639516.9153189487</v>
      </c>
      <c r="M57" s="42">
        <f>M53+M56</f>
        <v>3639516.9153189487</v>
      </c>
      <c r="N57" s="42">
        <f>N53+N56</f>
        <v>3639516.9153189487</v>
      </c>
      <c r="O57" s="42">
        <f>O53+O56</f>
        <v>3639516.915318949</v>
      </c>
      <c r="P57" s="42">
        <f>P53+P56</f>
        <v>3639516.9153189487</v>
      </c>
      <c r="Q57" s="42">
        <f>Q53+Q56</f>
        <v>3639516.915318949</v>
      </c>
      <c r="R57" s="42">
        <f>R53+R56</f>
        <v>3639516.915318949</v>
      </c>
      <c r="S57" s="42">
        <f>S53+S56</f>
        <v>3639516.9153189487</v>
      </c>
      <c r="T57" s="42">
        <f>T53+T56</f>
        <v>3639516.9153189487</v>
      </c>
      <c r="U57" s="42">
        <f>U53+U56</f>
        <v>3639516.9153189487</v>
      </c>
      <c r="V57" s="42">
        <f>V53+V56</f>
        <v>1819758.457659474</v>
      </c>
      <c r="W57" s="42">
        <f>W53+W56</f>
        <v>0</v>
      </c>
      <c r="X57" s="42">
        <f>X53+X56</f>
        <v>0</v>
      </c>
      <c r="Y57" s="42">
        <f>Y53+Y56</f>
        <v>0</v>
      </c>
      <c r="Z57" s="42">
        <f>Z53+Z56</f>
        <v>0</v>
      </c>
      <c r="AA57" s="42">
        <f>AA53+AA56</f>
        <v>0</v>
      </c>
      <c r="AB57" s="42">
        <f>AB53+AB56</f>
        <v>0</v>
      </c>
      <c r="AC57" s="42">
        <f>AC53+AC56</f>
        <v>0</v>
      </c>
      <c r="AD57" s="42">
        <f>AD53+AD56</f>
        <v>0</v>
      </c>
      <c r="AE57" s="42">
        <f>AE53+AE56</f>
        <v>0</v>
      </c>
    </row>
    <row r="58">
      <c r="A58" s="6" t="inlineStr">
        <is>
          <t xml:space="preserve">Interest</t>
        </is>
      </c>
      <c r="B58" s="10" t="inlineStr">
        <is>
          <t xml:space="preserve">€</t>
        </is>
      </c>
      <c r="F58" s="45">
        <f>Debt!F10</f>
        <v>551915.1400212483</v>
      </c>
      <c r="G58" s="45">
        <f>Debt!G10</f>
        <v>1103830.2800424965</v>
      </c>
      <c r="H58" s="45">
        <f>Debt!H10</f>
        <v>1079481.0826886182</v>
      </c>
      <c r="I58" s="45">
        <f>Debt!I10</f>
        <v>1014549.8897449417</v>
      </c>
      <c r="J58" s="45">
        <f>Debt!J10</f>
        <v>949618.6968012657</v>
      </c>
      <c r="K58" s="45">
        <f>Debt!K10</f>
        <v>884687.5038575892</v>
      </c>
      <c r="L58" s="45">
        <f>Debt!L10</f>
        <v>819756.3109139131</v>
      </c>
      <c r="M58" s="45">
        <f>Debt!M10</f>
        <v>754825.117970237</v>
      </c>
      <c r="N58" s="45">
        <f>Debt!N10</f>
        <v>689893.9250265607</v>
      </c>
      <c r="O58" s="45">
        <f>Debt!O10</f>
        <v>624962.7320828846</v>
      </c>
      <c r="P58" s="45">
        <f>Debt!P10</f>
        <v>560031.5391392084</v>
      </c>
      <c r="Q58" s="45">
        <f>Debt!Q10</f>
        <v>495100.34619553224</v>
      </c>
      <c r="R58" s="45">
        <f>Debt!R10</f>
        <v>430169.1532518559</v>
      </c>
      <c r="S58" s="45">
        <f>Debt!S10</f>
        <v>365237.9603081797</v>
      </c>
      <c r="T58" s="45">
        <f>Debt!T10</f>
        <v>300306.7673645036</v>
      </c>
      <c r="U58" s="45">
        <f>Debt!U10</f>
        <v>235375.57442082735</v>
      </c>
      <c r="V58" s="45">
        <f>Debt!V10</f>
        <v>170444.38147715112</v>
      </c>
      <c r="W58" s="45">
        <f>Debt!W10</f>
        <v>105513.18853347484</v>
      </c>
      <c r="X58" s="45">
        <f>Debt!X10</f>
        <v>40581.99558979853</v>
      </c>
      <c r="Y58" s="45">
        <f>Debt!Y10</f>
        <v>0</v>
      </c>
      <c r="Z58" s="45">
        <f>Debt!Z10</f>
        <v>0</v>
      </c>
      <c r="AA58" s="45">
        <f>Debt!AA10</f>
        <v>0</v>
      </c>
      <c r="AB58" s="45">
        <f>Debt!AB10</f>
        <v>0</v>
      </c>
      <c r="AC58" s="45">
        <f>Debt!AC10</f>
        <v>0</v>
      </c>
      <c r="AD58" s="45">
        <f>Debt!AD10</f>
        <v>0</v>
      </c>
      <c r="AE58" s="45">
        <f>Debt!AE10</f>
        <v>0</v>
      </c>
    </row>
    <row r="59">
      <c r="A59" s="41" t="inlineStr">
        <is>
          <t xml:space="preserve">Profit before tax</t>
        </is>
      </c>
      <c r="B59" s="10" t="inlineStr">
        <is>
          <t xml:space="preserve">€</t>
        </is>
      </c>
      <c r="F59" s="42">
        <f>Operations!F107-F57-F58-F10</f>
        <v>-642458.243147861</v>
      </c>
      <c r="G59" s="42">
        <f>Operations!G107-G57-G58-G10</f>
        <v>-2078536.3614774141</v>
      </c>
      <c r="H59" s="42">
        <f>Operations!H107-H57-H58-H10</f>
        <v>-2133915.5562656247</v>
      </c>
      <c r="I59" s="42">
        <f>Operations!I107-I57-I58-I10</f>
        <v>-2024508.4397510507</v>
      </c>
      <c r="J59" s="42">
        <f>Operations!J107-J57-J58-J10</f>
        <v>-1914734.8432902263</v>
      </c>
      <c r="K59" s="42">
        <f>Operations!K107-K57-K58-K10</f>
        <v>-1804385.2487401718</v>
      </c>
      <c r="L59" s="42">
        <f>Operations!L107-L57-L58-L10</f>
        <v>-1693709.99742832</v>
      </c>
      <c r="M59" s="42">
        <f>Operations!M107-M57-M58-M10</f>
        <v>-1582667.265268769</v>
      </c>
      <c r="N59" s="42">
        <f>Operations!N107-N57-N58-N10</f>
        <v>-1471418.282711092</v>
      </c>
      <c r="O59" s="42">
        <f>Operations!O107-O57-O58-O10</f>
        <v>-1359634.5265846415</v>
      </c>
      <c r="P59" s="42">
        <f>Operations!P107-P57-P58-P10</f>
        <v>-1371761.8115622713</v>
      </c>
      <c r="Q59" s="42">
        <f>Operations!Q107-Q57-Q58-Q10</f>
        <v>-1262117.3769027418</v>
      </c>
      <c r="R59" s="42">
        <f>Operations!R107-R57-R58-R10</f>
        <v>-1152568.556753507</v>
      </c>
      <c r="S59" s="42">
        <f>Operations!S107-S57-S58-S10</f>
        <v>-1042610.9736526293</v>
      </c>
      <c r="T59" s="42">
        <f>Operations!T107-T57-T58-T10</f>
        <v>-932858.4826383155</v>
      </c>
      <c r="U59" s="42">
        <f>Operations!U107-U57-U58-U10</f>
        <v>-823210.3387852821</v>
      </c>
      <c r="V59" s="42">
        <f>Operations!V107-V57-V58-V10</f>
        <v>1105712.3891977305</v>
      </c>
      <c r="W59" s="42">
        <f>Operations!W107-W57-W58-W10</f>
        <v>3034915.9143906385</v>
      </c>
      <c r="X59" s="42">
        <f>Operations!X107-X57-X58-X10</f>
        <v>3143711.5872012964</v>
      </c>
      <c r="Y59" s="42">
        <f>Operations!Y107-Y57-Y58-Y10</f>
        <v>3227663.7057853676</v>
      </c>
      <c r="Z59" s="42">
        <f>Operations!Z107-Z57-Z58-Z10</f>
        <v>3189325.233885943</v>
      </c>
      <c r="AA59" s="42">
        <f>Operations!AA107-AA57-AA58-AA10</f>
        <v>3230106.31551819</v>
      </c>
      <c r="AB59" s="42">
        <f>Operations!AB107-AB57-AB58-AB10</f>
        <v>3269549.7937057335</v>
      </c>
      <c r="AC59" s="42">
        <f>Operations!AC107-AC57-AC58-AC10</f>
        <v>3307890.822653532</v>
      </c>
      <c r="AD59" s="42">
        <f>Operations!AD107-AD57-AD58-AD10</f>
        <v>3276208.8842076105</v>
      </c>
      <c r="AE59" s="42">
        <f>Operations!AE107-AE57-AE58-AE10</f>
        <v>1721324.0033420855</v>
      </c>
    </row>
    <row r="60">
      <c r="A60" s="6" t="inlineStr">
        <is>
          <t xml:space="preserve">Trade tax: add-back of interest and land lease</t>
        </is>
      </c>
      <c r="B60" s="10" t="inlineStr">
        <is>
          <t xml:space="preserve">€</t>
        </is>
      </c>
      <c r="F60" s="23">
        <f>Inputs!$C$116*MAX(0,F58+Inputs!$C$118*Operations!F100-Inputs!$C$117)</f>
        <v>119898.6949994198</v>
      </c>
      <c r="G60" s="23">
        <f>Inputs!$C$116*MAX(0,G58+Inputs!$C$118*Operations!G100-Inputs!$C$117)</f>
        <v>278980.3532322516</v>
      </c>
      <c r="H60" s="23">
        <f>Inputs!$C$116*MAX(0,H58+Inputs!$C$118*Operations!H100-Inputs!$C$117)</f>
        <v>272095.91176192876</v>
      </c>
      <c r="I60" s="23">
        <f>Inputs!$C$116*MAX(0,I58+Inputs!$C$118*Operations!I100-Inputs!$C$117)</f>
        <v>256801.08603998198</v>
      </c>
      <c r="J60" s="23">
        <f>Inputs!$C$116*MAX(0,J58+Inputs!$C$118*Operations!J100-Inputs!$C$117)</f>
        <v>241523.10630438628</v>
      </c>
      <c r="K60" s="23">
        <f>Inputs!$C$116*MAX(0,K58+Inputs!$C$118*Operations!K100-Inputs!$C$117)</f>
        <v>226262.27510905627</v>
      </c>
      <c r="L60" s="23">
        <f>Inputs!$C$116*MAX(0,L58+Inputs!$C$118*Operations!L100-Inputs!$C$117)</f>
        <v>211018.9004417753</v>
      </c>
      <c r="M60" s="23">
        <f>Inputs!$C$116*MAX(0,M58+Inputs!$C$118*Operations!M100-Inputs!$C$117)</f>
        <v>195793.2958217871</v>
      </c>
      <c r="N60" s="23">
        <f>Inputs!$C$116*MAX(0,N58+Inputs!$C$118*Operations!N100-Inputs!$C$117)</f>
        <v>180585.78039914093</v>
      </c>
      <c r="O60" s="23">
        <f>Inputs!$C$116*MAX(0,O58+Inputs!$C$118*Operations!O100-Inputs!$C$117)</f>
        <v>165396.67905582127</v>
      </c>
      <c r="P60" s="23">
        <f>Inputs!$C$116*MAX(0,P58+Inputs!$C$118*Operations!P100-Inputs!$C$117)</f>
        <v>150226.32250869257</v>
      </c>
      <c r="Q60" s="23">
        <f>Inputs!$C$116*MAX(0,Q58+Inputs!$C$118*Operations!Q100-Inputs!$C$117)</f>
        <v>135075.0474142946</v>
      </c>
      <c r="R60" s="23">
        <f>Inputs!$C$116*MAX(0,R58+Inputs!$C$118*Operations!R100-Inputs!$C$117)</f>
        <v>119943.19647551831</v>
      </c>
      <c r="S60" s="23">
        <f>Inputs!$C$116*MAX(0,S58+Inputs!$C$118*Operations!S100-Inputs!$C$117)</f>
        <v>104831.11855019876</v>
      </c>
      <c r="T60" s="23">
        <f>Inputs!$C$116*MAX(0,T58+Inputs!$C$118*Operations!T100-Inputs!$C$117)</f>
        <v>89739.16876165755</v>
      </c>
      <c r="U60" s="23">
        <f>Inputs!$C$116*MAX(0,U58+Inputs!$C$118*Operations!U100-Inputs!$C$117)</f>
        <v>74667.70861123124</v>
      </c>
      <c r="V60" s="23">
        <f>Inputs!$C$116*MAX(0,V58+Inputs!$C$118*Operations!V100-Inputs!$C$117)</f>
        <v>59617.106092820366</v>
      </c>
      <c r="W60" s="23">
        <f>Inputs!$C$116*MAX(0,W58+Inputs!$C$118*Operations!W100-Inputs!$C$117)</f>
        <v>44587.735809495935</v>
      </c>
      <c r="X60" s="23">
        <f>Inputs!$C$116*MAX(0,X58+Inputs!$C$118*Operations!X100-Inputs!$C$117)</f>
        <v>29579.979092200127</v>
      </c>
      <c r="Y60" s="23">
        <f>Inputs!$C$116*MAX(0,Y58+Inputs!$C$118*Operations!Y100-Inputs!$C$117)</f>
        <v>20681.523459048214</v>
      </c>
      <c r="Z60" s="23">
        <f>Inputs!$C$116*MAX(0,Z58+Inputs!$C$118*Operations!Z100-Inputs!$C$117)</f>
        <v>21950.963620372713</v>
      </c>
      <c r="AA60" s="23">
        <f>Inputs!$C$116*MAX(0,AA58+Inputs!$C$118*Operations!AA100-Inputs!$C$117)</f>
        <v>23243.202926994607</v>
      </c>
      <c r="AB60" s="23">
        <f>Inputs!$C$116*MAX(0,AB58+Inputs!$C$118*Operations!AB100-Inputs!$C$117)</f>
        <v>24558.650851563434</v>
      </c>
      <c r="AC60" s="23">
        <f>Inputs!$C$116*MAX(0,AC58+Inputs!$C$118*Operations!AC100-Inputs!$C$117)</f>
        <v>25897.724220857534</v>
      </c>
      <c r="AD60" s="23">
        <f>Inputs!$C$116*MAX(0,AD58+Inputs!$C$118*Operations!AD100-Inputs!$C$117)</f>
        <v>27260.847347864124</v>
      </c>
      <c r="AE60" s="23">
        <f>Inputs!$C$116*MAX(0,AE58+Inputs!$C$118*Operations!AE100-Inputs!$C$117)</f>
        <v>0</v>
      </c>
    </row>
    <row r="61">
      <c r="A61" s="6" t="inlineStr">
        <is>
          <t xml:space="preserve">Trade income before losses</t>
        </is>
      </c>
      <c r="B61" s="10" t="inlineStr">
        <is>
          <t xml:space="preserve">€</t>
        </is>
      </c>
      <c r="F61" s="23">
        <f>F59+F60</f>
        <v>-522559.5481484412</v>
      </c>
      <c r="G61" s="23">
        <f>G59+G60</f>
        <v>-1799556.0082451627</v>
      </c>
      <c r="H61" s="23">
        <f>H59+H60</f>
        <v>-1861819.644503696</v>
      </c>
      <c r="I61" s="23">
        <f>I59+I60</f>
        <v>-1767707.3537110686</v>
      </c>
      <c r="J61" s="23">
        <f>J59+J60</f>
        <v>-1673211.73698584</v>
      </c>
      <c r="K61" s="23">
        <f>K59+K60</f>
        <v>-1578122.9736311156</v>
      </c>
      <c r="L61" s="23">
        <f>L59+L60</f>
        <v>-1482691.0969865448</v>
      </c>
      <c r="M61" s="23">
        <f>M59+M60</f>
        <v>-1386873.969446982</v>
      </c>
      <c r="N61" s="23">
        <f>N59+N60</f>
        <v>-1290832.502311951</v>
      </c>
      <c r="O61" s="23">
        <f>O59+O60</f>
        <v>-1194237.8475288204</v>
      </c>
      <c r="P61" s="23">
        <f>P59+P60</f>
        <v>-1221535.4890535788</v>
      </c>
      <c r="Q61" s="23">
        <f>Q59+Q60</f>
        <v>-1127042.3294884472</v>
      </c>
      <c r="R61" s="23">
        <f>R59+R60</f>
        <v>-1032625.3602779886</v>
      </c>
      <c r="S61" s="23">
        <f>S59+S60</f>
        <v>-937779.8551024306</v>
      </c>
      <c r="T61" s="23">
        <f>T59+T60</f>
        <v>-843119.313876658</v>
      </c>
      <c r="U61" s="23">
        <f>U59+U60</f>
        <v>-748542.6301740508</v>
      </c>
      <c r="V61" s="23">
        <f>V59+V60</f>
        <v>1165329.4952905509</v>
      </c>
      <c r="W61" s="23">
        <f>W59+W60</f>
        <v>3079503.6502001346</v>
      </c>
      <c r="X61" s="23">
        <f>X59+X60</f>
        <v>3173291.5662934966</v>
      </c>
      <c r="Y61" s="23">
        <f>Y59+Y60</f>
        <v>3248345.2292444156</v>
      </c>
      <c r="Z61" s="23">
        <f>Z59+Z60</f>
        <v>3211276.1975063155</v>
      </c>
      <c r="AA61" s="23">
        <f>AA59+AA60</f>
        <v>3253349.518445185</v>
      </c>
      <c r="AB61" s="23">
        <f>AB59+AB60</f>
        <v>3294108.444557297</v>
      </c>
      <c r="AC61" s="23">
        <f>AC59+AC60</f>
        <v>3333788.5468743895</v>
      </c>
      <c r="AD61" s="23">
        <f>AD59+AD60</f>
        <v>3303469.7315554745</v>
      </c>
      <c r="AE61" s="23">
        <f>AE59+AE60</f>
        <v>1721324.0033420855</v>
      </c>
    </row>
    <row r="62">
      <c r="A62" s="6" t="inlineStr">
        <is>
          <t xml:space="preserve">Trade loss carry-forward at the start</t>
        </is>
      </c>
      <c r="B62" s="10" t="inlineStr">
        <is>
          <t xml:space="preserve">€</t>
        </is>
      </c>
      <c r="E62" s="9">
        <v>0</v>
      </c>
      <c r="F62" s="23">
        <f>E64</f>
        <v>0</v>
      </c>
      <c r="G62" s="23">
        <f>F64</f>
        <v>522559.5481484412</v>
      </c>
      <c r="H62" s="23">
        <f>G64</f>
        <v>2322115.556393604</v>
      </c>
      <c r="I62" s="23">
        <f>H64</f>
        <v>4183935.2008972997</v>
      </c>
      <c r="J62" s="23">
        <f>I64</f>
        <v>5951642.554608368</v>
      </c>
      <c r="K62" s="23">
        <f>J64</f>
        <v>7624854.291594208</v>
      </c>
      <c r="L62" s="23">
        <f>K64</f>
        <v>9202977.265225325</v>
      </c>
      <c r="M62" s="23">
        <f>L64</f>
        <v>10685668.36221187</v>
      </c>
      <c r="N62" s="23">
        <f>M64</f>
        <v>12072542.331658851</v>
      </c>
      <c r="O62" s="23">
        <f>N64</f>
        <v>13363374.833970802</v>
      </c>
      <c r="P62" s="23">
        <f>O64</f>
        <v>14557612.681499623</v>
      </c>
      <c r="Q62" s="23">
        <f>P64</f>
        <v>15779148.170553202</v>
      </c>
      <c r="R62" s="23">
        <f>Q64</f>
        <v>16906190.50004165</v>
      </c>
      <c r="S62" s="23">
        <f>R64</f>
        <v>17938815.860319637</v>
      </c>
      <c r="T62" s="23">
        <f>S64</f>
        <v>18876595.715422068</v>
      </c>
      <c r="U62" s="23">
        <f>T64</f>
        <v>19719715.029298726</v>
      </c>
      <c r="V62" s="23">
        <f>U64</f>
        <v>20468257.65947278</v>
      </c>
      <c r="W62" s="23">
        <f>V64</f>
        <v>19369059.96229845</v>
      </c>
      <c r="X62" s="23">
        <f>W64</f>
        <v>17121357.772178367</v>
      </c>
      <c r="Y62" s="23">
        <f>X64</f>
        <v>14817382.832402268</v>
      </c>
      <c r="Z62" s="23">
        <f>Y64</f>
        <v>12468375.69485562</v>
      </c>
      <c r="AA62" s="23">
        <f>Z64</f>
        <v>10141609.976351831</v>
      </c>
      <c r="AB62" s="23">
        <f>AA64</f>
        <v>7789600.26528472</v>
      </c>
      <c r="AC62" s="23">
        <f>AB64</f>
        <v>5413135.198550342</v>
      </c>
      <c r="AD62" s="23">
        <f>AC64</f>
        <v>3012862.070425708</v>
      </c>
      <c r="AE62" s="23">
        <f>AD64</f>
        <v>630780.2314924235</v>
      </c>
    </row>
    <row r="63">
      <c r="A63" s="6" t="inlineStr">
        <is>
          <t xml:space="preserve">Trade losses used (€1m in full, 60 % above)</t>
        </is>
      </c>
      <c r="B63" s="10" t="inlineStr">
        <is>
          <t xml:space="preserve">€</t>
        </is>
      </c>
      <c r="F63" s="23">
        <f>IF(F61&gt;0,MIN(F62,MIN(F61,Inputs!$C$119)+Inputs!$C$120*MAX(0,F61-Inputs!$C$119)),0)</f>
        <v>0</v>
      </c>
      <c r="G63" s="23">
        <f>IF(G61&gt;0,MIN(G62,MIN(G61,Inputs!$C$119)+Inputs!$C$120*MAX(0,G61-Inputs!$C$119)),0)</f>
        <v>0</v>
      </c>
      <c r="H63" s="23">
        <f>IF(H61&gt;0,MIN(H62,MIN(H61,Inputs!$C$119)+Inputs!$C$120*MAX(0,H61-Inputs!$C$119)),0)</f>
        <v>0</v>
      </c>
      <c r="I63" s="23">
        <f>IF(I61&gt;0,MIN(I62,MIN(I61,Inputs!$C$119)+Inputs!$C$120*MAX(0,I61-Inputs!$C$119)),0)</f>
        <v>0</v>
      </c>
      <c r="J63" s="23">
        <f>IF(J61&gt;0,MIN(J62,MIN(J61,Inputs!$C$119)+Inputs!$C$120*MAX(0,J61-Inputs!$C$119)),0)</f>
        <v>0</v>
      </c>
      <c r="K63" s="23">
        <f>IF(K61&gt;0,MIN(K62,MIN(K61,Inputs!$C$119)+Inputs!$C$120*MAX(0,K61-Inputs!$C$119)),0)</f>
        <v>0</v>
      </c>
      <c r="L63" s="23">
        <f>IF(L61&gt;0,MIN(L62,MIN(L61,Inputs!$C$119)+Inputs!$C$120*MAX(0,L61-Inputs!$C$119)),0)</f>
        <v>0</v>
      </c>
      <c r="M63" s="23">
        <f>IF(M61&gt;0,MIN(M62,MIN(M61,Inputs!$C$119)+Inputs!$C$120*MAX(0,M61-Inputs!$C$119)),0)</f>
        <v>0</v>
      </c>
      <c r="N63" s="23">
        <f>IF(N61&gt;0,MIN(N62,MIN(N61,Inputs!$C$119)+Inputs!$C$120*MAX(0,N61-Inputs!$C$119)),0)</f>
        <v>0</v>
      </c>
      <c r="O63" s="23">
        <f>IF(O61&gt;0,MIN(O62,MIN(O61,Inputs!$C$119)+Inputs!$C$120*MAX(0,O61-Inputs!$C$119)),0)</f>
        <v>0</v>
      </c>
      <c r="P63" s="23">
        <f>IF(P61&gt;0,MIN(P62,MIN(P61,Inputs!$C$119)+Inputs!$C$120*MAX(0,P61-Inputs!$C$119)),0)</f>
        <v>0</v>
      </c>
      <c r="Q63" s="23">
        <f>IF(Q61&gt;0,MIN(Q62,MIN(Q61,Inputs!$C$119)+Inputs!$C$120*MAX(0,Q61-Inputs!$C$119)),0)</f>
        <v>0</v>
      </c>
      <c r="R63" s="23">
        <f>IF(R61&gt;0,MIN(R62,MIN(R61,Inputs!$C$119)+Inputs!$C$120*MAX(0,R61-Inputs!$C$119)),0)</f>
        <v>0</v>
      </c>
      <c r="S63" s="23">
        <f>IF(S61&gt;0,MIN(S62,MIN(S61,Inputs!$C$119)+Inputs!$C$120*MAX(0,S61-Inputs!$C$119)),0)</f>
        <v>0</v>
      </c>
      <c r="T63" s="23">
        <f>IF(T61&gt;0,MIN(T62,MIN(T61,Inputs!$C$119)+Inputs!$C$120*MAX(0,T61-Inputs!$C$119)),0)</f>
        <v>0</v>
      </c>
      <c r="U63" s="23">
        <f>IF(U61&gt;0,MIN(U62,MIN(U61,Inputs!$C$119)+Inputs!$C$120*MAX(0,U61-Inputs!$C$119)),0)</f>
        <v>0</v>
      </c>
      <c r="V63" s="23">
        <f>IF(V61&gt;0,MIN(V62,MIN(V61,Inputs!$C$119)+Inputs!$C$120*MAX(0,V61-Inputs!$C$119)),0)</f>
        <v>1099197.6971743293</v>
      </c>
      <c r="W63" s="23">
        <f>IF(W61&gt;0,MIN(W62,MIN(W61,Inputs!$C$119)+Inputs!$C$120*MAX(0,W61-Inputs!$C$119)),0)</f>
        <v>2247702.1901200823</v>
      </c>
      <c r="X63" s="23">
        <f>IF(X61&gt;0,MIN(X62,MIN(X61,Inputs!$C$119)+Inputs!$C$120*MAX(0,X61-Inputs!$C$119)),0)</f>
        <v>2303974.9397760984</v>
      </c>
      <c r="Y63" s="23">
        <f>IF(Y61&gt;0,MIN(Y62,MIN(Y61,Inputs!$C$119)+Inputs!$C$120*MAX(0,Y61-Inputs!$C$119)),0)</f>
        <v>2349007.137546649</v>
      </c>
      <c r="Z63" s="23">
        <f>IF(Z61&gt;0,MIN(Z62,MIN(Z61,Inputs!$C$119)+Inputs!$C$120*MAX(0,Z61-Inputs!$C$119)),0)</f>
        <v>2326765.718503788</v>
      </c>
      <c r="AA63" s="23">
        <f>IF(AA61&gt;0,MIN(AA62,MIN(AA61,Inputs!$C$119)+Inputs!$C$120*MAX(0,AA61-Inputs!$C$119)),0)</f>
        <v>2352009.711067111</v>
      </c>
      <c r="AB63" s="23">
        <f>IF(AB61&gt;0,MIN(AB62,MIN(AB61,Inputs!$C$119)+Inputs!$C$120*MAX(0,AB61-Inputs!$C$119)),0)</f>
        <v>2376465.066734378</v>
      </c>
      <c r="AC63" s="23">
        <f>IF(AC61&gt;0,MIN(AC62,MIN(AC61,Inputs!$C$119)+Inputs!$C$120*MAX(0,AC61-Inputs!$C$119)),0)</f>
        <v>2400273.128124634</v>
      </c>
      <c r="AD63" s="23">
        <f>IF(AD61&gt;0,MIN(AD62,MIN(AD61,Inputs!$C$119)+Inputs!$C$120*MAX(0,AD61-Inputs!$C$119)),0)</f>
        <v>2382081.8389332844</v>
      </c>
      <c r="AE63" s="23">
        <f>IF(AE61&gt;0,MIN(AE62,MIN(AE61,Inputs!$C$119)+Inputs!$C$120*MAX(0,AE61-Inputs!$C$119)),0)</f>
        <v>630780.2314924235</v>
      </c>
    </row>
    <row r="64">
      <c r="A64" s="6" t="inlineStr">
        <is>
          <t xml:space="preserve">Trade loss carry-forward at the year end</t>
        </is>
      </c>
      <c r="B64" s="10" t="inlineStr">
        <is>
          <t xml:space="preserve">€</t>
        </is>
      </c>
      <c r="F64" s="23">
        <f>F62-F63+MAX(0,-F61)</f>
        <v>522559.5481484412</v>
      </c>
      <c r="G64" s="23">
        <f>G62-G63+MAX(0,-G61)</f>
        <v>2322115.556393604</v>
      </c>
      <c r="H64" s="23">
        <f>H62-H63+MAX(0,-H61)</f>
        <v>4183935.2008972997</v>
      </c>
      <c r="I64" s="23">
        <f>I62-I63+MAX(0,-I61)</f>
        <v>5951642.554608368</v>
      </c>
      <c r="J64" s="23">
        <f>J62-J63+MAX(0,-J61)</f>
        <v>7624854.291594208</v>
      </c>
      <c r="K64" s="23">
        <f>K62-K63+MAX(0,-K61)</f>
        <v>9202977.265225325</v>
      </c>
      <c r="L64" s="23">
        <f>L62-L63+MAX(0,-L61)</f>
        <v>10685668.36221187</v>
      </c>
      <c r="M64" s="23">
        <f>M62-M63+MAX(0,-M61)</f>
        <v>12072542.331658851</v>
      </c>
      <c r="N64" s="23">
        <f>N62-N63+MAX(0,-N61)</f>
        <v>13363374.833970802</v>
      </c>
      <c r="O64" s="23">
        <f>O62-O63+MAX(0,-O61)</f>
        <v>14557612.681499623</v>
      </c>
      <c r="P64" s="23">
        <f>P62-P63+MAX(0,-P61)</f>
        <v>15779148.170553202</v>
      </c>
      <c r="Q64" s="23">
        <f>Q62-Q63+MAX(0,-Q61)</f>
        <v>16906190.50004165</v>
      </c>
      <c r="R64" s="23">
        <f>R62-R63+MAX(0,-R61)</f>
        <v>17938815.860319637</v>
      </c>
      <c r="S64" s="23">
        <f>S62-S63+MAX(0,-S61)</f>
        <v>18876595.715422068</v>
      </c>
      <c r="T64" s="23">
        <f>T62-T63+MAX(0,-T61)</f>
        <v>19719715.029298726</v>
      </c>
      <c r="U64" s="23">
        <f>U62-U63+MAX(0,-U61)</f>
        <v>20468257.65947278</v>
      </c>
      <c r="V64" s="23">
        <f>V62-V63+MAX(0,-V61)</f>
        <v>19369059.96229845</v>
      </c>
      <c r="W64" s="23">
        <f>W62-W63+MAX(0,-W61)</f>
        <v>17121357.772178367</v>
      </c>
      <c r="X64" s="23">
        <f>X62-X63+MAX(0,-X61)</f>
        <v>14817382.832402268</v>
      </c>
      <c r="Y64" s="23">
        <f>Y62-Y63+MAX(0,-Y61)</f>
        <v>12468375.69485562</v>
      </c>
      <c r="Z64" s="23">
        <f>Z62-Z63+MAX(0,-Z61)</f>
        <v>10141609.976351831</v>
      </c>
      <c r="AA64" s="23">
        <f>AA62-AA63+MAX(0,-AA61)</f>
        <v>7789600.26528472</v>
      </c>
      <c r="AB64" s="23">
        <f>AB62-AB63+MAX(0,-AB61)</f>
        <v>5413135.198550342</v>
      </c>
      <c r="AC64" s="23">
        <f>AC62-AC63+MAX(0,-AC61)</f>
        <v>3012862.070425708</v>
      </c>
      <c r="AD64" s="23">
        <f>AD62-AD63+MAX(0,-AD61)</f>
        <v>630780.2314924235</v>
      </c>
      <c r="AE64" s="23">
        <f>AE62-AE63+MAX(0,-AE61)</f>
        <v>0</v>
      </c>
    </row>
    <row r="65">
      <c r="A65" s="6" t="inlineStr">
        <is>
          <t xml:space="preserve">Trade tax base (rounded down to €100; KG allowance)</t>
        </is>
      </c>
      <c r="B65" s="10" t="inlineStr">
        <is>
          <t xml:space="preserve">€</t>
        </is>
      </c>
      <c r="F65" s="23">
        <f>IF(Inputs!$C$91="KG",MAX(0,ROUNDDOWN(MAX(0,F61-F63)/100,0)*100-Inputs!$C$115),ROUNDDOWN(MAX(0,F61-F63)/100,0)*100)</f>
        <v>0</v>
      </c>
      <c r="G65" s="23">
        <f>IF(Inputs!$C$91="KG",MAX(0,ROUNDDOWN(MAX(0,G61-G63)/100,0)*100-Inputs!$C$115),ROUNDDOWN(MAX(0,G61-G63)/100,0)*100)</f>
        <v>0</v>
      </c>
      <c r="H65" s="23">
        <f>IF(Inputs!$C$91="KG",MAX(0,ROUNDDOWN(MAX(0,H61-H63)/100,0)*100-Inputs!$C$115),ROUNDDOWN(MAX(0,H61-H63)/100,0)*100)</f>
        <v>0</v>
      </c>
      <c r="I65" s="23">
        <f>IF(Inputs!$C$91="KG",MAX(0,ROUNDDOWN(MAX(0,I61-I63)/100,0)*100-Inputs!$C$115),ROUNDDOWN(MAX(0,I61-I63)/100,0)*100)</f>
        <v>0</v>
      </c>
      <c r="J65" s="23">
        <f>IF(Inputs!$C$91="KG",MAX(0,ROUNDDOWN(MAX(0,J61-J63)/100,0)*100-Inputs!$C$115),ROUNDDOWN(MAX(0,J61-J63)/100,0)*100)</f>
        <v>0</v>
      </c>
      <c r="K65" s="23">
        <f>IF(Inputs!$C$91="KG",MAX(0,ROUNDDOWN(MAX(0,K61-K63)/100,0)*100-Inputs!$C$115),ROUNDDOWN(MAX(0,K61-K63)/100,0)*100)</f>
        <v>0</v>
      </c>
      <c r="L65" s="23">
        <f>IF(Inputs!$C$91="KG",MAX(0,ROUNDDOWN(MAX(0,L61-L63)/100,0)*100-Inputs!$C$115),ROUNDDOWN(MAX(0,L61-L63)/100,0)*100)</f>
        <v>0</v>
      </c>
      <c r="M65" s="23">
        <f>IF(Inputs!$C$91="KG",MAX(0,ROUNDDOWN(MAX(0,M61-M63)/100,0)*100-Inputs!$C$115),ROUNDDOWN(MAX(0,M61-M63)/100,0)*100)</f>
        <v>0</v>
      </c>
      <c r="N65" s="23">
        <f>IF(Inputs!$C$91="KG",MAX(0,ROUNDDOWN(MAX(0,N61-N63)/100,0)*100-Inputs!$C$115),ROUNDDOWN(MAX(0,N61-N63)/100,0)*100)</f>
        <v>0</v>
      </c>
      <c r="O65" s="23">
        <f>IF(Inputs!$C$91="KG",MAX(0,ROUNDDOWN(MAX(0,O61-O63)/100,0)*100-Inputs!$C$115),ROUNDDOWN(MAX(0,O61-O63)/100,0)*100)</f>
        <v>0</v>
      </c>
      <c r="P65" s="23">
        <f>IF(Inputs!$C$91="KG",MAX(0,ROUNDDOWN(MAX(0,P61-P63)/100,0)*100-Inputs!$C$115),ROUNDDOWN(MAX(0,P61-P63)/100,0)*100)</f>
        <v>0</v>
      </c>
      <c r="Q65" s="23">
        <f>IF(Inputs!$C$91="KG",MAX(0,ROUNDDOWN(MAX(0,Q61-Q63)/100,0)*100-Inputs!$C$115),ROUNDDOWN(MAX(0,Q61-Q63)/100,0)*100)</f>
        <v>0</v>
      </c>
      <c r="R65" s="23">
        <f>IF(Inputs!$C$91="KG",MAX(0,ROUNDDOWN(MAX(0,R61-R63)/100,0)*100-Inputs!$C$115),ROUNDDOWN(MAX(0,R61-R63)/100,0)*100)</f>
        <v>0</v>
      </c>
      <c r="S65" s="23">
        <f>IF(Inputs!$C$91="KG",MAX(0,ROUNDDOWN(MAX(0,S61-S63)/100,0)*100-Inputs!$C$115),ROUNDDOWN(MAX(0,S61-S63)/100,0)*100)</f>
        <v>0</v>
      </c>
      <c r="T65" s="23">
        <f>IF(Inputs!$C$91="KG",MAX(0,ROUNDDOWN(MAX(0,T61-T63)/100,0)*100-Inputs!$C$115),ROUNDDOWN(MAX(0,T61-T63)/100,0)*100)</f>
        <v>0</v>
      </c>
      <c r="U65" s="23">
        <f>IF(Inputs!$C$91="KG",MAX(0,ROUNDDOWN(MAX(0,U61-U63)/100,0)*100-Inputs!$C$115),ROUNDDOWN(MAX(0,U61-U63)/100,0)*100)</f>
        <v>0</v>
      </c>
      <c r="V65" s="23">
        <f>IF(Inputs!$C$91="KG",MAX(0,ROUNDDOWN(MAX(0,V61-V63)/100,0)*100-Inputs!$C$115),ROUNDDOWN(MAX(0,V61-V63)/100,0)*100)</f>
        <v>41600</v>
      </c>
      <c r="W65" s="23">
        <f>IF(Inputs!$C$91="KG",MAX(0,ROUNDDOWN(MAX(0,W61-W63)/100,0)*100-Inputs!$C$115),ROUNDDOWN(MAX(0,W61-W63)/100,0)*100)</f>
        <v>807300</v>
      </c>
      <c r="X65" s="23">
        <f>IF(Inputs!$C$91="KG",MAX(0,ROUNDDOWN(MAX(0,X61-X63)/100,0)*100-Inputs!$C$115),ROUNDDOWN(MAX(0,X61-X63)/100,0)*100)</f>
        <v>844800</v>
      </c>
      <c r="Y65" s="23">
        <f>IF(Inputs!$C$91="KG",MAX(0,ROUNDDOWN(MAX(0,Y61-Y63)/100,0)*100-Inputs!$C$115),ROUNDDOWN(MAX(0,Y61-Y63)/100,0)*100)</f>
        <v>874800</v>
      </c>
      <c r="Z65" s="23">
        <f>IF(Inputs!$C$91="KG",MAX(0,ROUNDDOWN(MAX(0,Z61-Z63)/100,0)*100-Inputs!$C$115),ROUNDDOWN(MAX(0,Z61-Z63)/100,0)*100)</f>
        <v>860000</v>
      </c>
      <c r="AA65" s="23">
        <f>IF(Inputs!$C$91="KG",MAX(0,ROUNDDOWN(MAX(0,AA61-AA63)/100,0)*100-Inputs!$C$115),ROUNDDOWN(MAX(0,AA61-AA63)/100,0)*100)</f>
        <v>876800</v>
      </c>
      <c r="AB65" s="23">
        <f>IF(Inputs!$C$91="KG",MAX(0,ROUNDDOWN(MAX(0,AB61-AB63)/100,0)*100-Inputs!$C$115),ROUNDDOWN(MAX(0,AB61-AB63)/100,0)*100)</f>
        <v>893100</v>
      </c>
      <c r="AC65" s="23">
        <f>IF(Inputs!$C$91="KG",MAX(0,ROUNDDOWN(MAX(0,AC61-AC63)/100,0)*100-Inputs!$C$115),ROUNDDOWN(MAX(0,AC61-AC63)/100,0)*100)</f>
        <v>909000</v>
      </c>
      <c r="AD65" s="23">
        <f>IF(Inputs!$C$91="KG",MAX(0,ROUNDDOWN(MAX(0,AD61-AD63)/100,0)*100-Inputs!$C$115),ROUNDDOWN(MAX(0,AD61-AD63)/100,0)*100)</f>
        <v>896800</v>
      </c>
      <c r="AE65" s="23">
        <f>IF(Inputs!$C$91="KG",MAX(0,ROUNDDOWN(MAX(0,AE61-AE63)/100,0)*100-Inputs!$C$115),ROUNDDOWN(MAX(0,AE61-AE63)/100,0)*100)</f>
        <v>1066000</v>
      </c>
    </row>
    <row r="66">
      <c r="A66" s="6" t="inlineStr">
        <is>
          <t xml:space="preserve">Trade tax</t>
        </is>
      </c>
      <c r="B66" s="10" t="inlineStr">
        <is>
          <t xml:space="preserve">€</t>
        </is>
      </c>
      <c r="F66" s="23">
        <f>F65*Inputs!$C$114*Inputs!$C$92</f>
        <v>0</v>
      </c>
      <c r="G66" s="23">
        <f>G65*Inputs!$C$114*Inputs!$C$92</f>
        <v>0</v>
      </c>
      <c r="H66" s="23">
        <f>H65*Inputs!$C$114*Inputs!$C$92</f>
        <v>0</v>
      </c>
      <c r="I66" s="23">
        <f>I65*Inputs!$C$114*Inputs!$C$92</f>
        <v>0</v>
      </c>
      <c r="J66" s="23">
        <f>J65*Inputs!$C$114*Inputs!$C$92</f>
        <v>0</v>
      </c>
      <c r="K66" s="23">
        <f>K65*Inputs!$C$114*Inputs!$C$92</f>
        <v>0</v>
      </c>
      <c r="L66" s="23">
        <f>L65*Inputs!$C$114*Inputs!$C$92</f>
        <v>0</v>
      </c>
      <c r="M66" s="23">
        <f>M65*Inputs!$C$114*Inputs!$C$92</f>
        <v>0</v>
      </c>
      <c r="N66" s="23">
        <f>N65*Inputs!$C$114*Inputs!$C$92</f>
        <v>0</v>
      </c>
      <c r="O66" s="23">
        <f>O65*Inputs!$C$114*Inputs!$C$92</f>
        <v>0</v>
      </c>
      <c r="P66" s="23">
        <f>P65*Inputs!$C$114*Inputs!$C$92</f>
        <v>0</v>
      </c>
      <c r="Q66" s="23">
        <f>Q65*Inputs!$C$114*Inputs!$C$92</f>
        <v>0</v>
      </c>
      <c r="R66" s="23">
        <f>R65*Inputs!$C$114*Inputs!$C$92</f>
        <v>0</v>
      </c>
      <c r="S66" s="23">
        <f>S65*Inputs!$C$114*Inputs!$C$92</f>
        <v>0</v>
      </c>
      <c r="T66" s="23">
        <f>T65*Inputs!$C$114*Inputs!$C$92</f>
        <v>0</v>
      </c>
      <c r="U66" s="23">
        <f>U65*Inputs!$C$114*Inputs!$C$92</f>
        <v>0</v>
      </c>
      <c r="V66" s="23">
        <f>V65*Inputs!$C$114*Inputs!$C$92</f>
        <v>5824.000000000001</v>
      </c>
      <c r="W66" s="23">
        <f>W65*Inputs!$C$114*Inputs!$C$92</f>
        <v>113022.00000000001</v>
      </c>
      <c r="X66" s="23">
        <f>X65*Inputs!$C$114*Inputs!$C$92</f>
        <v>118272.00000000001</v>
      </c>
      <c r="Y66" s="23">
        <f>Y65*Inputs!$C$114*Inputs!$C$92</f>
        <v>122472.00000000001</v>
      </c>
      <c r="Z66" s="23">
        <f>Z65*Inputs!$C$114*Inputs!$C$92</f>
        <v>120400.00000000001</v>
      </c>
      <c r="AA66" s="23">
        <f>AA65*Inputs!$C$114*Inputs!$C$92</f>
        <v>122752.00000000001</v>
      </c>
      <c r="AB66" s="23">
        <f>AB65*Inputs!$C$114*Inputs!$C$92</f>
        <v>125034.00000000001</v>
      </c>
      <c r="AC66" s="23">
        <f>AC65*Inputs!$C$114*Inputs!$C$92</f>
        <v>127260.00000000001</v>
      </c>
      <c r="AD66" s="23">
        <f>AD65*Inputs!$C$114*Inputs!$C$92</f>
        <v>125552.00000000001</v>
      </c>
      <c r="AE66" s="23">
        <f>AE65*Inputs!$C$114*Inputs!$C$92</f>
        <v>149240</v>
      </c>
    </row>
    <row r="67">
      <c r="A67" s="6" t="inlineStr">
        <is>
          <t xml:space="preserve">Corporate loss carry-forward at the start (GmbH)</t>
        </is>
      </c>
      <c r="B67" s="10" t="inlineStr">
        <is>
          <t xml:space="preserve">€</t>
        </is>
      </c>
      <c r="E67" s="9">
        <v>0</v>
      </c>
      <c r="F67" s="23">
        <f>E70</f>
        <v>0</v>
      </c>
      <c r="G67" s="23">
        <f>F70</f>
        <v>0</v>
      </c>
      <c r="H67" s="23">
        <f>G70</f>
        <v>0</v>
      </c>
      <c r="I67" s="23">
        <f>H70</f>
        <v>0</v>
      </c>
      <c r="J67" s="23">
        <f>I70</f>
        <v>0</v>
      </c>
      <c r="K67" s="23">
        <f>J70</f>
        <v>0</v>
      </c>
      <c r="L67" s="23">
        <f>K70</f>
        <v>0</v>
      </c>
      <c r="M67" s="23">
        <f>L70</f>
        <v>0</v>
      </c>
      <c r="N67" s="23">
        <f>M70</f>
        <v>0</v>
      </c>
      <c r="O67" s="23">
        <f>N70</f>
        <v>0</v>
      </c>
      <c r="P67" s="23">
        <f>O70</f>
        <v>0</v>
      </c>
      <c r="Q67" s="23">
        <f>P70</f>
        <v>0</v>
      </c>
      <c r="R67" s="23">
        <f>Q70</f>
        <v>0</v>
      </c>
      <c r="S67" s="23">
        <f>R70</f>
        <v>0</v>
      </c>
      <c r="T67" s="23">
        <f>S70</f>
        <v>0</v>
      </c>
      <c r="U67" s="23">
        <f>T70</f>
        <v>0</v>
      </c>
      <c r="V67" s="23">
        <f>U70</f>
        <v>0</v>
      </c>
      <c r="W67" s="23">
        <f>V70</f>
        <v>0</v>
      </c>
      <c r="X67" s="23">
        <f>W70</f>
        <v>0</v>
      </c>
      <c r="Y67" s="23">
        <f>X70</f>
        <v>0</v>
      </c>
      <c r="Z67" s="23">
        <f>Y70</f>
        <v>0</v>
      </c>
      <c r="AA67" s="23">
        <f>Z70</f>
        <v>0</v>
      </c>
      <c r="AB67" s="23">
        <f>AA70</f>
        <v>0</v>
      </c>
      <c r="AC67" s="23">
        <f>AB70</f>
        <v>0</v>
      </c>
      <c r="AD67" s="23">
        <f>AC70</f>
        <v>0</v>
      </c>
      <c r="AE67" s="23">
        <f>AD70</f>
        <v>0</v>
      </c>
    </row>
    <row r="68">
      <c r="A68" s="6" t="inlineStr">
        <is>
          <t xml:space="preserve">Corporate tax: share of profit above €1m that losses may offset</t>
        </is>
      </c>
      <c r="F68" s="24">
        <f>IF(Timing!F59&lt;=Inputs!$C$123,Inputs!$C$121,Inputs!$C$122)</f>
        <v>0.6</v>
      </c>
      <c r="G68" s="24">
        <f>IF(Timing!G59&lt;=Inputs!$C$123,Inputs!$C$121,Inputs!$C$122)</f>
        <v>0.6</v>
      </c>
      <c r="H68" s="24">
        <f>IF(Timing!H59&lt;=Inputs!$C$123,Inputs!$C$121,Inputs!$C$122)</f>
        <v>0.6</v>
      </c>
      <c r="I68" s="24">
        <f>IF(Timing!I59&lt;=Inputs!$C$123,Inputs!$C$121,Inputs!$C$122)</f>
        <v>0.6</v>
      </c>
      <c r="J68" s="24">
        <f>IF(Timing!J59&lt;=Inputs!$C$123,Inputs!$C$121,Inputs!$C$122)</f>
        <v>0.6</v>
      </c>
      <c r="K68" s="24">
        <f>IF(Timing!K59&lt;=Inputs!$C$123,Inputs!$C$121,Inputs!$C$122)</f>
        <v>0.6</v>
      </c>
      <c r="L68" s="24">
        <f>IF(Timing!L59&lt;=Inputs!$C$123,Inputs!$C$121,Inputs!$C$122)</f>
        <v>0.6</v>
      </c>
      <c r="M68" s="24">
        <f>IF(Timing!M59&lt;=Inputs!$C$123,Inputs!$C$121,Inputs!$C$122)</f>
        <v>0.6</v>
      </c>
      <c r="N68" s="24">
        <f>IF(Timing!N59&lt;=Inputs!$C$123,Inputs!$C$121,Inputs!$C$122)</f>
        <v>0.6</v>
      </c>
      <c r="O68" s="24">
        <f>IF(Timing!O59&lt;=Inputs!$C$123,Inputs!$C$121,Inputs!$C$122)</f>
        <v>0.6</v>
      </c>
      <c r="P68" s="24">
        <f>IF(Timing!P59&lt;=Inputs!$C$123,Inputs!$C$121,Inputs!$C$122)</f>
        <v>0.6</v>
      </c>
      <c r="Q68" s="24">
        <f>IF(Timing!Q59&lt;=Inputs!$C$123,Inputs!$C$121,Inputs!$C$122)</f>
        <v>0.6</v>
      </c>
      <c r="R68" s="24">
        <f>IF(Timing!R59&lt;=Inputs!$C$123,Inputs!$C$121,Inputs!$C$122)</f>
        <v>0.6</v>
      </c>
      <c r="S68" s="24">
        <f>IF(Timing!S59&lt;=Inputs!$C$123,Inputs!$C$121,Inputs!$C$122)</f>
        <v>0.6</v>
      </c>
      <c r="T68" s="24">
        <f>IF(Timing!T59&lt;=Inputs!$C$123,Inputs!$C$121,Inputs!$C$122)</f>
        <v>0.6</v>
      </c>
      <c r="U68" s="24">
        <f>IF(Timing!U59&lt;=Inputs!$C$123,Inputs!$C$121,Inputs!$C$122)</f>
        <v>0.6</v>
      </c>
      <c r="V68" s="24">
        <f>IF(Timing!V59&lt;=Inputs!$C$123,Inputs!$C$121,Inputs!$C$122)</f>
        <v>0.6</v>
      </c>
      <c r="W68" s="24">
        <f>IF(Timing!W59&lt;=Inputs!$C$123,Inputs!$C$121,Inputs!$C$122)</f>
        <v>0.6</v>
      </c>
      <c r="X68" s="24">
        <f>IF(Timing!X59&lt;=Inputs!$C$123,Inputs!$C$121,Inputs!$C$122)</f>
        <v>0.6</v>
      </c>
      <c r="Y68" s="24">
        <f>IF(Timing!Y59&lt;=Inputs!$C$123,Inputs!$C$121,Inputs!$C$122)</f>
        <v>0.6</v>
      </c>
      <c r="Z68" s="24">
        <f>IF(Timing!Z59&lt;=Inputs!$C$123,Inputs!$C$121,Inputs!$C$122)</f>
        <v>0.6</v>
      </c>
      <c r="AA68" s="24">
        <f>IF(Timing!AA59&lt;=Inputs!$C$123,Inputs!$C$121,Inputs!$C$122)</f>
        <v>0.6</v>
      </c>
      <c r="AB68" s="24">
        <f>IF(Timing!AB59&lt;=Inputs!$C$123,Inputs!$C$121,Inputs!$C$122)</f>
        <v>0.6</v>
      </c>
      <c r="AC68" s="24">
        <f>IF(Timing!AC59&lt;=Inputs!$C$123,Inputs!$C$121,Inputs!$C$122)</f>
        <v>0.6</v>
      </c>
      <c r="AD68" s="24">
        <f>IF(Timing!AD59&lt;=Inputs!$C$123,Inputs!$C$121,Inputs!$C$122)</f>
        <v>0.6</v>
      </c>
      <c r="AE68" s="24">
        <f>IF(Timing!AE59&lt;=Inputs!$C$123,Inputs!$C$121,Inputs!$C$122)</f>
        <v>0.6</v>
      </c>
    </row>
    <row r="69">
      <c r="A69" s="6" t="inlineStr">
        <is>
          <t xml:space="preserve">Corporate losses used</t>
        </is>
      </c>
      <c r="B69" s="10" t="inlineStr">
        <is>
          <t xml:space="preserve">€</t>
        </is>
      </c>
      <c r="F69" s="23">
        <f>IF(AND(Inputs!$C$91="GmbH",F59&gt;0),MIN(F67,MIN(F59,Inputs!$C$119)+F68*MAX(0,F59-Inputs!$C$119)),0)</f>
        <v>0</v>
      </c>
      <c r="G69" s="23">
        <f>IF(AND(Inputs!$C$91="GmbH",G59&gt;0),MIN(G67,MIN(G59,Inputs!$C$119)+G68*MAX(0,G59-Inputs!$C$119)),0)</f>
        <v>0</v>
      </c>
      <c r="H69" s="23">
        <f>IF(AND(Inputs!$C$91="GmbH",H59&gt;0),MIN(H67,MIN(H59,Inputs!$C$119)+H68*MAX(0,H59-Inputs!$C$119)),0)</f>
        <v>0</v>
      </c>
      <c r="I69" s="23">
        <f>IF(AND(Inputs!$C$91="GmbH",I59&gt;0),MIN(I67,MIN(I59,Inputs!$C$119)+I68*MAX(0,I59-Inputs!$C$119)),0)</f>
        <v>0</v>
      </c>
      <c r="J69" s="23">
        <f>IF(AND(Inputs!$C$91="GmbH",J59&gt;0),MIN(J67,MIN(J59,Inputs!$C$119)+J68*MAX(0,J59-Inputs!$C$119)),0)</f>
        <v>0</v>
      </c>
      <c r="K69" s="23">
        <f>IF(AND(Inputs!$C$91="GmbH",K59&gt;0),MIN(K67,MIN(K59,Inputs!$C$119)+K68*MAX(0,K59-Inputs!$C$119)),0)</f>
        <v>0</v>
      </c>
      <c r="L69" s="23">
        <f>IF(AND(Inputs!$C$91="GmbH",L59&gt;0),MIN(L67,MIN(L59,Inputs!$C$119)+L68*MAX(0,L59-Inputs!$C$119)),0)</f>
        <v>0</v>
      </c>
      <c r="M69" s="23">
        <f>IF(AND(Inputs!$C$91="GmbH",M59&gt;0),MIN(M67,MIN(M59,Inputs!$C$119)+M68*MAX(0,M59-Inputs!$C$119)),0)</f>
        <v>0</v>
      </c>
      <c r="N69" s="23">
        <f>IF(AND(Inputs!$C$91="GmbH",N59&gt;0),MIN(N67,MIN(N59,Inputs!$C$119)+N68*MAX(0,N59-Inputs!$C$119)),0)</f>
        <v>0</v>
      </c>
      <c r="O69" s="23">
        <f>IF(AND(Inputs!$C$91="GmbH",O59&gt;0),MIN(O67,MIN(O59,Inputs!$C$119)+O68*MAX(0,O59-Inputs!$C$119)),0)</f>
        <v>0</v>
      </c>
      <c r="P69" s="23">
        <f>IF(AND(Inputs!$C$91="GmbH",P59&gt;0),MIN(P67,MIN(P59,Inputs!$C$119)+P68*MAX(0,P59-Inputs!$C$119)),0)</f>
        <v>0</v>
      </c>
      <c r="Q69" s="23">
        <f>IF(AND(Inputs!$C$91="GmbH",Q59&gt;0),MIN(Q67,MIN(Q59,Inputs!$C$119)+Q68*MAX(0,Q59-Inputs!$C$119)),0)</f>
        <v>0</v>
      </c>
      <c r="R69" s="23">
        <f>IF(AND(Inputs!$C$91="GmbH",R59&gt;0),MIN(R67,MIN(R59,Inputs!$C$119)+R68*MAX(0,R59-Inputs!$C$119)),0)</f>
        <v>0</v>
      </c>
      <c r="S69" s="23">
        <f>IF(AND(Inputs!$C$91="GmbH",S59&gt;0),MIN(S67,MIN(S59,Inputs!$C$119)+S68*MAX(0,S59-Inputs!$C$119)),0)</f>
        <v>0</v>
      </c>
      <c r="T69" s="23">
        <f>IF(AND(Inputs!$C$91="GmbH",T59&gt;0),MIN(T67,MIN(T59,Inputs!$C$119)+T68*MAX(0,T59-Inputs!$C$119)),0)</f>
        <v>0</v>
      </c>
      <c r="U69" s="23">
        <f>IF(AND(Inputs!$C$91="GmbH",U59&gt;0),MIN(U67,MIN(U59,Inputs!$C$119)+U68*MAX(0,U59-Inputs!$C$119)),0)</f>
        <v>0</v>
      </c>
      <c r="V69" s="23">
        <f>IF(AND(Inputs!$C$91="GmbH",V59&gt;0),MIN(V67,MIN(V59,Inputs!$C$119)+V68*MAX(0,V59-Inputs!$C$119)),0)</f>
        <v>0</v>
      </c>
      <c r="W69" s="23">
        <f>IF(AND(Inputs!$C$91="GmbH",W59&gt;0),MIN(W67,MIN(W59,Inputs!$C$119)+W68*MAX(0,W59-Inputs!$C$119)),0)</f>
        <v>0</v>
      </c>
      <c r="X69" s="23">
        <f>IF(AND(Inputs!$C$91="GmbH",X59&gt;0),MIN(X67,MIN(X59,Inputs!$C$119)+X68*MAX(0,X59-Inputs!$C$119)),0)</f>
        <v>0</v>
      </c>
      <c r="Y69" s="23">
        <f>IF(AND(Inputs!$C$91="GmbH",Y59&gt;0),MIN(Y67,MIN(Y59,Inputs!$C$119)+Y68*MAX(0,Y59-Inputs!$C$119)),0)</f>
        <v>0</v>
      </c>
      <c r="Z69" s="23">
        <f>IF(AND(Inputs!$C$91="GmbH",Z59&gt;0),MIN(Z67,MIN(Z59,Inputs!$C$119)+Z68*MAX(0,Z59-Inputs!$C$119)),0)</f>
        <v>0</v>
      </c>
      <c r="AA69" s="23">
        <f>IF(AND(Inputs!$C$91="GmbH",AA59&gt;0),MIN(AA67,MIN(AA59,Inputs!$C$119)+AA68*MAX(0,AA59-Inputs!$C$119)),0)</f>
        <v>0</v>
      </c>
      <c r="AB69" s="23">
        <f>IF(AND(Inputs!$C$91="GmbH",AB59&gt;0),MIN(AB67,MIN(AB59,Inputs!$C$119)+AB68*MAX(0,AB59-Inputs!$C$119)),0)</f>
        <v>0</v>
      </c>
      <c r="AC69" s="23">
        <f>IF(AND(Inputs!$C$91="GmbH",AC59&gt;0),MIN(AC67,MIN(AC59,Inputs!$C$119)+AC68*MAX(0,AC59-Inputs!$C$119)),0)</f>
        <v>0</v>
      </c>
      <c r="AD69" s="23">
        <f>IF(AND(Inputs!$C$91="GmbH",AD59&gt;0),MIN(AD67,MIN(AD59,Inputs!$C$119)+AD68*MAX(0,AD59-Inputs!$C$119)),0)</f>
        <v>0</v>
      </c>
      <c r="AE69" s="23">
        <f>IF(AND(Inputs!$C$91="GmbH",AE59&gt;0),MIN(AE67,MIN(AE59,Inputs!$C$119)+AE68*MAX(0,AE59-Inputs!$C$119)),0)</f>
        <v>0</v>
      </c>
    </row>
    <row r="70">
      <c r="A70" s="6" t="inlineStr">
        <is>
          <t xml:space="preserve">Corporate loss carry-forward at the year end</t>
        </is>
      </c>
      <c r="B70" s="10" t="inlineStr">
        <is>
          <t xml:space="preserve">€</t>
        </is>
      </c>
      <c r="F70" s="23">
        <f>IF(Inputs!$C$91="GmbH",F67-F69+MAX(0,-F59),0)</f>
        <v>0</v>
      </c>
      <c r="G70" s="23">
        <f>IF(Inputs!$C$91="GmbH",G67-G69+MAX(0,-G59),0)</f>
        <v>0</v>
      </c>
      <c r="H70" s="23">
        <f>IF(Inputs!$C$91="GmbH",H67-H69+MAX(0,-H59),0)</f>
        <v>0</v>
      </c>
      <c r="I70" s="23">
        <f>IF(Inputs!$C$91="GmbH",I67-I69+MAX(0,-I59),0)</f>
        <v>0</v>
      </c>
      <c r="J70" s="23">
        <f>IF(Inputs!$C$91="GmbH",J67-J69+MAX(0,-J59),0)</f>
        <v>0</v>
      </c>
      <c r="K70" s="23">
        <f>IF(Inputs!$C$91="GmbH",K67-K69+MAX(0,-K59),0)</f>
        <v>0</v>
      </c>
      <c r="L70" s="23">
        <f>IF(Inputs!$C$91="GmbH",L67-L69+MAX(0,-L59),0)</f>
        <v>0</v>
      </c>
      <c r="M70" s="23">
        <f>IF(Inputs!$C$91="GmbH",M67-M69+MAX(0,-M59),0)</f>
        <v>0</v>
      </c>
      <c r="N70" s="23">
        <f>IF(Inputs!$C$91="GmbH",N67-N69+MAX(0,-N59),0)</f>
        <v>0</v>
      </c>
      <c r="O70" s="23">
        <f>IF(Inputs!$C$91="GmbH",O67-O69+MAX(0,-O59),0)</f>
        <v>0</v>
      </c>
      <c r="P70" s="23">
        <f>IF(Inputs!$C$91="GmbH",P67-P69+MAX(0,-P59),0)</f>
        <v>0</v>
      </c>
      <c r="Q70" s="23">
        <f>IF(Inputs!$C$91="GmbH",Q67-Q69+MAX(0,-Q59),0)</f>
        <v>0</v>
      </c>
      <c r="R70" s="23">
        <f>IF(Inputs!$C$91="GmbH",R67-R69+MAX(0,-R59),0)</f>
        <v>0</v>
      </c>
      <c r="S70" s="23">
        <f>IF(Inputs!$C$91="GmbH",S67-S69+MAX(0,-S59),0)</f>
        <v>0</v>
      </c>
      <c r="T70" s="23">
        <f>IF(Inputs!$C$91="GmbH",T67-T69+MAX(0,-T59),0)</f>
        <v>0</v>
      </c>
      <c r="U70" s="23">
        <f>IF(Inputs!$C$91="GmbH",U67-U69+MAX(0,-U59),0)</f>
        <v>0</v>
      </c>
      <c r="V70" s="23">
        <f>IF(Inputs!$C$91="GmbH",V67-V69+MAX(0,-V59),0)</f>
        <v>0</v>
      </c>
      <c r="W70" s="23">
        <f>IF(Inputs!$C$91="GmbH",W67-W69+MAX(0,-W59),0)</f>
        <v>0</v>
      </c>
      <c r="X70" s="23">
        <f>IF(Inputs!$C$91="GmbH",X67-X69+MAX(0,-X59),0)</f>
        <v>0</v>
      </c>
      <c r="Y70" s="23">
        <f>IF(Inputs!$C$91="GmbH",Y67-Y69+MAX(0,-Y59),0)</f>
        <v>0</v>
      </c>
      <c r="Z70" s="23">
        <f>IF(Inputs!$C$91="GmbH",Z67-Z69+MAX(0,-Z59),0)</f>
        <v>0</v>
      </c>
      <c r="AA70" s="23">
        <f>IF(Inputs!$C$91="GmbH",AA67-AA69+MAX(0,-AA59),0)</f>
        <v>0</v>
      </c>
      <c r="AB70" s="23">
        <f>IF(Inputs!$C$91="GmbH",AB67-AB69+MAX(0,-AB59),0)</f>
        <v>0</v>
      </c>
      <c r="AC70" s="23">
        <f>IF(Inputs!$C$91="GmbH",AC67-AC69+MAX(0,-AC59),0)</f>
        <v>0</v>
      </c>
      <c r="AD70" s="23">
        <f>IF(Inputs!$C$91="GmbH",AD67-AD69+MAX(0,-AD59),0)</f>
        <v>0</v>
      </c>
      <c r="AE70" s="23">
        <f>IF(Inputs!$C$91="GmbH",AE67-AE69+MAX(0,-AE59),0)</f>
        <v>0</v>
      </c>
    </row>
    <row r="71">
      <c r="A71" s="6" t="inlineStr">
        <is>
          <t xml:space="preserve">Corporate taxable income</t>
        </is>
      </c>
      <c r="B71" s="10" t="inlineStr">
        <is>
          <t xml:space="preserve">€</t>
        </is>
      </c>
      <c r="F71" s="23">
        <f>IF(Inputs!$C$91="GmbH",MAX(0,F59-F69),0)</f>
        <v>0</v>
      </c>
      <c r="G71" s="23">
        <f>IF(Inputs!$C$91="GmbH",MAX(0,G59-G69),0)</f>
        <v>0</v>
      </c>
      <c r="H71" s="23">
        <f>IF(Inputs!$C$91="GmbH",MAX(0,H59-H69),0)</f>
        <v>0</v>
      </c>
      <c r="I71" s="23">
        <f>IF(Inputs!$C$91="GmbH",MAX(0,I59-I69),0)</f>
        <v>0</v>
      </c>
      <c r="J71" s="23">
        <f>IF(Inputs!$C$91="GmbH",MAX(0,J59-J69),0)</f>
        <v>0</v>
      </c>
      <c r="K71" s="23">
        <f>IF(Inputs!$C$91="GmbH",MAX(0,K59-K69),0)</f>
        <v>0</v>
      </c>
      <c r="L71" s="23">
        <f>IF(Inputs!$C$91="GmbH",MAX(0,L59-L69),0)</f>
        <v>0</v>
      </c>
      <c r="M71" s="23">
        <f>IF(Inputs!$C$91="GmbH",MAX(0,M59-M69),0)</f>
        <v>0</v>
      </c>
      <c r="N71" s="23">
        <f>IF(Inputs!$C$91="GmbH",MAX(0,N59-N69),0)</f>
        <v>0</v>
      </c>
      <c r="O71" s="23">
        <f>IF(Inputs!$C$91="GmbH",MAX(0,O59-O69),0)</f>
        <v>0</v>
      </c>
      <c r="P71" s="23">
        <f>IF(Inputs!$C$91="GmbH",MAX(0,P59-P69),0)</f>
        <v>0</v>
      </c>
      <c r="Q71" s="23">
        <f>IF(Inputs!$C$91="GmbH",MAX(0,Q59-Q69),0)</f>
        <v>0</v>
      </c>
      <c r="R71" s="23">
        <f>IF(Inputs!$C$91="GmbH",MAX(0,R59-R69),0)</f>
        <v>0</v>
      </c>
      <c r="S71" s="23">
        <f>IF(Inputs!$C$91="GmbH",MAX(0,S59-S69),0)</f>
        <v>0</v>
      </c>
      <c r="T71" s="23">
        <f>IF(Inputs!$C$91="GmbH",MAX(0,T59-T69),0)</f>
        <v>0</v>
      </c>
      <c r="U71" s="23">
        <f>IF(Inputs!$C$91="GmbH",MAX(0,U59-U69),0)</f>
        <v>0</v>
      </c>
      <c r="V71" s="23">
        <f>IF(Inputs!$C$91="GmbH",MAX(0,V59-V69),0)</f>
        <v>0</v>
      </c>
      <c r="W71" s="23">
        <f>IF(Inputs!$C$91="GmbH",MAX(0,W59-W69),0)</f>
        <v>0</v>
      </c>
      <c r="X71" s="23">
        <f>IF(Inputs!$C$91="GmbH",MAX(0,X59-X69),0)</f>
        <v>0</v>
      </c>
      <c r="Y71" s="23">
        <f>IF(Inputs!$C$91="GmbH",MAX(0,Y59-Y69),0)</f>
        <v>0</v>
      </c>
      <c r="Z71" s="23">
        <f>IF(Inputs!$C$91="GmbH",MAX(0,Z59-Z69),0)</f>
        <v>0</v>
      </c>
      <c r="AA71" s="23">
        <f>IF(Inputs!$C$91="GmbH",MAX(0,AA59-AA69),0)</f>
        <v>0</v>
      </c>
      <c r="AB71" s="23">
        <f>IF(Inputs!$C$91="GmbH",MAX(0,AB59-AB69),0)</f>
        <v>0</v>
      </c>
      <c r="AC71" s="23">
        <f>IF(Inputs!$C$91="GmbH",MAX(0,AC59-AC69),0)</f>
        <v>0</v>
      </c>
      <c r="AD71" s="23">
        <f>IF(Inputs!$C$91="GmbH",MAX(0,AD59-AD69),0)</f>
        <v>0</v>
      </c>
      <c r="AE71" s="23">
        <f>IF(Inputs!$C$91="GmbH",MAX(0,AE59-AE69),0)</f>
        <v>0</v>
      </c>
    </row>
    <row r="72">
      <c r="A72" s="6" t="inlineStr">
        <is>
          <t xml:space="preserve">Corporate tax rate (§ 23 KStG)</t>
        </is>
      </c>
      <c r="F72" s="24">
        <f>IF(Inputs!$C$91="GmbH",MAX(Inputs!$C$125,Inputs!$C$124-Inputs!$C$126*MAX(0,Timing!F59-Inputs!$C$127)),0)</f>
        <v>0</v>
      </c>
      <c r="G72" s="24">
        <f>IF(Inputs!$C$91="GmbH",MAX(Inputs!$C$125,Inputs!$C$124-Inputs!$C$126*MAX(0,Timing!G59-Inputs!$C$127)),0)</f>
        <v>0</v>
      </c>
      <c r="H72" s="24">
        <f>IF(Inputs!$C$91="GmbH",MAX(Inputs!$C$125,Inputs!$C$124-Inputs!$C$126*MAX(0,Timing!H59-Inputs!$C$127)),0)</f>
        <v>0</v>
      </c>
      <c r="I72" s="24">
        <f>IF(Inputs!$C$91="GmbH",MAX(Inputs!$C$125,Inputs!$C$124-Inputs!$C$126*MAX(0,Timing!I59-Inputs!$C$127)),0)</f>
        <v>0</v>
      </c>
      <c r="J72" s="24">
        <f>IF(Inputs!$C$91="GmbH",MAX(Inputs!$C$125,Inputs!$C$124-Inputs!$C$126*MAX(0,Timing!J59-Inputs!$C$127)),0)</f>
        <v>0</v>
      </c>
      <c r="K72" s="24">
        <f>IF(Inputs!$C$91="GmbH",MAX(Inputs!$C$125,Inputs!$C$124-Inputs!$C$126*MAX(0,Timing!K59-Inputs!$C$127)),0)</f>
        <v>0</v>
      </c>
      <c r="L72" s="24">
        <f>IF(Inputs!$C$91="GmbH",MAX(Inputs!$C$125,Inputs!$C$124-Inputs!$C$126*MAX(0,Timing!L59-Inputs!$C$127)),0)</f>
        <v>0</v>
      </c>
      <c r="M72" s="24">
        <f>IF(Inputs!$C$91="GmbH",MAX(Inputs!$C$125,Inputs!$C$124-Inputs!$C$126*MAX(0,Timing!M59-Inputs!$C$127)),0)</f>
        <v>0</v>
      </c>
      <c r="N72" s="24">
        <f>IF(Inputs!$C$91="GmbH",MAX(Inputs!$C$125,Inputs!$C$124-Inputs!$C$126*MAX(0,Timing!N59-Inputs!$C$127)),0)</f>
        <v>0</v>
      </c>
      <c r="O72" s="24">
        <f>IF(Inputs!$C$91="GmbH",MAX(Inputs!$C$125,Inputs!$C$124-Inputs!$C$126*MAX(0,Timing!O59-Inputs!$C$127)),0)</f>
        <v>0</v>
      </c>
      <c r="P72" s="24">
        <f>IF(Inputs!$C$91="GmbH",MAX(Inputs!$C$125,Inputs!$C$124-Inputs!$C$126*MAX(0,Timing!P59-Inputs!$C$127)),0)</f>
        <v>0</v>
      </c>
      <c r="Q72" s="24">
        <f>IF(Inputs!$C$91="GmbH",MAX(Inputs!$C$125,Inputs!$C$124-Inputs!$C$126*MAX(0,Timing!Q59-Inputs!$C$127)),0)</f>
        <v>0</v>
      </c>
      <c r="R72" s="24">
        <f>IF(Inputs!$C$91="GmbH",MAX(Inputs!$C$125,Inputs!$C$124-Inputs!$C$126*MAX(0,Timing!R59-Inputs!$C$127)),0)</f>
        <v>0</v>
      </c>
      <c r="S72" s="24">
        <f>IF(Inputs!$C$91="GmbH",MAX(Inputs!$C$125,Inputs!$C$124-Inputs!$C$126*MAX(0,Timing!S59-Inputs!$C$127)),0)</f>
        <v>0</v>
      </c>
      <c r="T72" s="24">
        <f>IF(Inputs!$C$91="GmbH",MAX(Inputs!$C$125,Inputs!$C$124-Inputs!$C$126*MAX(0,Timing!T59-Inputs!$C$127)),0)</f>
        <v>0</v>
      </c>
      <c r="U72" s="24">
        <f>IF(Inputs!$C$91="GmbH",MAX(Inputs!$C$125,Inputs!$C$124-Inputs!$C$126*MAX(0,Timing!U59-Inputs!$C$127)),0)</f>
        <v>0</v>
      </c>
      <c r="V72" s="24">
        <f>IF(Inputs!$C$91="GmbH",MAX(Inputs!$C$125,Inputs!$C$124-Inputs!$C$126*MAX(0,Timing!V59-Inputs!$C$127)),0)</f>
        <v>0</v>
      </c>
      <c r="W72" s="24">
        <f>IF(Inputs!$C$91="GmbH",MAX(Inputs!$C$125,Inputs!$C$124-Inputs!$C$126*MAX(0,Timing!W59-Inputs!$C$127)),0)</f>
        <v>0</v>
      </c>
      <c r="X72" s="24">
        <f>IF(Inputs!$C$91="GmbH",MAX(Inputs!$C$125,Inputs!$C$124-Inputs!$C$126*MAX(0,Timing!X59-Inputs!$C$127)),0)</f>
        <v>0</v>
      </c>
      <c r="Y72" s="24">
        <f>IF(Inputs!$C$91="GmbH",MAX(Inputs!$C$125,Inputs!$C$124-Inputs!$C$126*MAX(0,Timing!Y59-Inputs!$C$127)),0)</f>
        <v>0</v>
      </c>
      <c r="Z72" s="24">
        <f>IF(Inputs!$C$91="GmbH",MAX(Inputs!$C$125,Inputs!$C$124-Inputs!$C$126*MAX(0,Timing!Z59-Inputs!$C$127)),0)</f>
        <v>0</v>
      </c>
      <c r="AA72" s="24">
        <f>IF(Inputs!$C$91="GmbH",MAX(Inputs!$C$125,Inputs!$C$124-Inputs!$C$126*MAX(0,Timing!AA59-Inputs!$C$127)),0)</f>
        <v>0</v>
      </c>
      <c r="AB72" s="24">
        <f>IF(Inputs!$C$91="GmbH",MAX(Inputs!$C$125,Inputs!$C$124-Inputs!$C$126*MAX(0,Timing!AB59-Inputs!$C$127)),0)</f>
        <v>0</v>
      </c>
      <c r="AC72" s="24">
        <f>IF(Inputs!$C$91="GmbH",MAX(Inputs!$C$125,Inputs!$C$124-Inputs!$C$126*MAX(0,Timing!AC59-Inputs!$C$127)),0)</f>
        <v>0</v>
      </c>
      <c r="AD72" s="24">
        <f>IF(Inputs!$C$91="GmbH",MAX(Inputs!$C$125,Inputs!$C$124-Inputs!$C$126*MAX(0,Timing!AD59-Inputs!$C$127)),0)</f>
        <v>0</v>
      </c>
      <c r="AE72" s="24">
        <f>IF(Inputs!$C$91="GmbH",MAX(Inputs!$C$125,Inputs!$C$124-Inputs!$C$126*MAX(0,Timing!AE59-Inputs!$C$127)),0)</f>
        <v>0</v>
      </c>
    </row>
    <row r="73">
      <c r="A73" s="6" t="inlineStr">
        <is>
          <t xml:space="preserve">Corporate tax</t>
        </is>
      </c>
      <c r="B73" s="10" t="inlineStr">
        <is>
          <t xml:space="preserve">€</t>
        </is>
      </c>
      <c r="F73" s="23">
        <f>F71*F72</f>
        <v>0</v>
      </c>
      <c r="G73" s="23">
        <f>G71*G72</f>
        <v>0</v>
      </c>
      <c r="H73" s="23">
        <f>H71*H72</f>
        <v>0</v>
      </c>
      <c r="I73" s="23">
        <f>I71*I72</f>
        <v>0</v>
      </c>
      <c r="J73" s="23">
        <f>J71*J72</f>
        <v>0</v>
      </c>
      <c r="K73" s="23">
        <f>K71*K72</f>
        <v>0</v>
      </c>
      <c r="L73" s="23">
        <f>L71*L72</f>
        <v>0</v>
      </c>
      <c r="M73" s="23">
        <f>M71*M72</f>
        <v>0</v>
      </c>
      <c r="N73" s="23">
        <f>N71*N72</f>
        <v>0</v>
      </c>
      <c r="O73" s="23">
        <f>O71*O72</f>
        <v>0</v>
      </c>
      <c r="P73" s="23">
        <f>P71*P72</f>
        <v>0</v>
      </c>
      <c r="Q73" s="23">
        <f>Q71*Q72</f>
        <v>0</v>
      </c>
      <c r="R73" s="23">
        <f>R71*R72</f>
        <v>0</v>
      </c>
      <c r="S73" s="23">
        <f>S71*S72</f>
        <v>0</v>
      </c>
      <c r="T73" s="23">
        <f>T71*T72</f>
        <v>0</v>
      </c>
      <c r="U73" s="23">
        <f>U71*U72</f>
        <v>0</v>
      </c>
      <c r="V73" s="23">
        <f>V71*V72</f>
        <v>0</v>
      </c>
      <c r="W73" s="23">
        <f>W71*W72</f>
        <v>0</v>
      </c>
      <c r="X73" s="23">
        <f>X71*X72</f>
        <v>0</v>
      </c>
      <c r="Y73" s="23">
        <f>Y71*Y72</f>
        <v>0</v>
      </c>
      <c r="Z73" s="23">
        <f>Z71*Z72</f>
        <v>0</v>
      </c>
      <c r="AA73" s="23">
        <f>AA71*AA72</f>
        <v>0</v>
      </c>
      <c r="AB73" s="23">
        <f>AB71*AB72</f>
        <v>0</v>
      </c>
      <c r="AC73" s="23">
        <f>AC71*AC72</f>
        <v>0</v>
      </c>
      <c r="AD73" s="23">
        <f>AD71*AD72</f>
        <v>0</v>
      </c>
      <c r="AE73" s="23">
        <f>AE71*AE72</f>
        <v>0</v>
      </c>
    </row>
    <row r="74">
      <c r="A74" s="6" t="inlineStr">
        <is>
          <t xml:space="preserve">Solidarity surcharge</t>
        </is>
      </c>
      <c r="B74" s="10" t="inlineStr">
        <is>
          <t xml:space="preserve">€</t>
        </is>
      </c>
      <c r="F74" s="23">
        <f>F73*Inputs!$C$128</f>
        <v>0</v>
      </c>
      <c r="G74" s="23">
        <f>G73*Inputs!$C$128</f>
        <v>0</v>
      </c>
      <c r="H74" s="23">
        <f>H73*Inputs!$C$128</f>
        <v>0</v>
      </c>
      <c r="I74" s="23">
        <f>I73*Inputs!$C$128</f>
        <v>0</v>
      </c>
      <c r="J74" s="23">
        <f>J73*Inputs!$C$128</f>
        <v>0</v>
      </c>
      <c r="K74" s="23">
        <f>K73*Inputs!$C$128</f>
        <v>0</v>
      </c>
      <c r="L74" s="23">
        <f>L73*Inputs!$C$128</f>
        <v>0</v>
      </c>
      <c r="M74" s="23">
        <f>M73*Inputs!$C$128</f>
        <v>0</v>
      </c>
      <c r="N74" s="23">
        <f>N73*Inputs!$C$128</f>
        <v>0</v>
      </c>
      <c r="O74" s="23">
        <f>O73*Inputs!$C$128</f>
        <v>0</v>
      </c>
      <c r="P74" s="23">
        <f>P73*Inputs!$C$128</f>
        <v>0</v>
      </c>
      <c r="Q74" s="23">
        <f>Q73*Inputs!$C$128</f>
        <v>0</v>
      </c>
      <c r="R74" s="23">
        <f>R73*Inputs!$C$128</f>
        <v>0</v>
      </c>
      <c r="S74" s="23">
        <f>S73*Inputs!$C$128</f>
        <v>0</v>
      </c>
      <c r="T74" s="23">
        <f>T73*Inputs!$C$128</f>
        <v>0</v>
      </c>
      <c r="U74" s="23">
        <f>U73*Inputs!$C$128</f>
        <v>0</v>
      </c>
      <c r="V74" s="23">
        <f>V73*Inputs!$C$128</f>
        <v>0</v>
      </c>
      <c r="W74" s="23">
        <f>W73*Inputs!$C$128</f>
        <v>0</v>
      </c>
      <c r="X74" s="23">
        <f>X73*Inputs!$C$128</f>
        <v>0</v>
      </c>
      <c r="Y74" s="23">
        <f>Y73*Inputs!$C$128</f>
        <v>0</v>
      </c>
      <c r="Z74" s="23">
        <f>Z73*Inputs!$C$128</f>
        <v>0</v>
      </c>
      <c r="AA74" s="23">
        <f>AA73*Inputs!$C$128</f>
        <v>0</v>
      </c>
      <c r="AB74" s="23">
        <f>AB73*Inputs!$C$128</f>
        <v>0</v>
      </c>
      <c r="AC74" s="23">
        <f>AC73*Inputs!$C$128</f>
        <v>0</v>
      </c>
      <c r="AD74" s="23">
        <f>AD73*Inputs!$C$128</f>
        <v>0</v>
      </c>
      <c r="AE74" s="23">
        <f>AE73*Inputs!$C$128</f>
        <v>0</v>
      </c>
    </row>
    <row r="75">
      <c r="A75" s="41" t="inlineStr">
        <is>
          <t xml:space="preserve">Taxes</t>
        </is>
      </c>
      <c r="B75" s="10" t="inlineStr">
        <is>
          <t xml:space="preserve">€</t>
        </is>
      </c>
      <c r="F75" s="42">
        <f>F66+F73+F74</f>
        <v>0</v>
      </c>
      <c r="G75" s="42">
        <f>G66+G73+G74</f>
        <v>0</v>
      </c>
      <c r="H75" s="42">
        <f>H66+H73+H74</f>
        <v>0</v>
      </c>
      <c r="I75" s="42">
        <f>I66+I73+I74</f>
        <v>0</v>
      </c>
      <c r="J75" s="42">
        <f>J66+J73+J74</f>
        <v>0</v>
      </c>
      <c r="K75" s="42">
        <f>K66+K73+K74</f>
        <v>0</v>
      </c>
      <c r="L75" s="42">
        <f>L66+L73+L74</f>
        <v>0</v>
      </c>
      <c r="M75" s="42">
        <f>M66+M73+M74</f>
        <v>0</v>
      </c>
      <c r="N75" s="42">
        <f>N66+N73+N74</f>
        <v>0</v>
      </c>
      <c r="O75" s="42">
        <f>O66+O73+O74</f>
        <v>0</v>
      </c>
      <c r="P75" s="42">
        <f>P66+P73+P74</f>
        <v>0</v>
      </c>
      <c r="Q75" s="42">
        <f>Q66+Q73+Q74</f>
        <v>0</v>
      </c>
      <c r="R75" s="42">
        <f>R66+R73+R74</f>
        <v>0</v>
      </c>
      <c r="S75" s="42">
        <f>S66+S73+S74</f>
        <v>0</v>
      </c>
      <c r="T75" s="42">
        <f>T66+T73+T74</f>
        <v>0</v>
      </c>
      <c r="U75" s="42">
        <f>U66+U73+U74</f>
        <v>0</v>
      </c>
      <c r="V75" s="42">
        <f>V66+V73+V74</f>
        <v>5824.000000000001</v>
      </c>
      <c r="W75" s="42">
        <f>W66+W73+W74</f>
        <v>113022.00000000001</v>
      </c>
      <c r="X75" s="42">
        <f>X66+X73+X74</f>
        <v>118272.00000000001</v>
      </c>
      <c r="Y75" s="42">
        <f>Y66+Y73+Y74</f>
        <v>122472.00000000001</v>
      </c>
      <c r="Z75" s="42">
        <f>Z66+Z73+Z74</f>
        <v>120400.00000000001</v>
      </c>
      <c r="AA75" s="42">
        <f>AA66+AA73+AA74</f>
        <v>122752.00000000001</v>
      </c>
      <c r="AB75" s="42">
        <f>AB66+AB73+AB74</f>
        <v>125034.00000000001</v>
      </c>
      <c r="AC75" s="42">
        <f>AC66+AC73+AC74</f>
        <v>127260.00000000001</v>
      </c>
      <c r="AD75" s="42">
        <f>AD66+AD73+AD74</f>
        <v>125552.00000000001</v>
      </c>
      <c r="AE75" s="42">
        <f>AE66+AE73+AE74</f>
        <v>149240</v>
      </c>
    </row>
    <row r="76">
      <c r="A76" s="41" t="inlineStr">
        <is>
          <t xml:space="preserve">CFADS: EBITDA − change in working capital − taxes</t>
        </is>
      </c>
      <c r="B76" s="10" t="inlineStr">
        <is>
          <t xml:space="preserve">€</t>
        </is>
      </c>
      <c r="F76" s="42">
        <f>Operations!F107-Operations!F115-F75</f>
        <v>1819858.0164096118</v>
      </c>
      <c r="G76" s="42">
        <f>Operations!G107-Operations!G115-G75</f>
        <v>2752279.36882814</v>
      </c>
      <c r="H76" s="42">
        <f>Operations!H107-Operations!H115-H75</f>
        <v>2613045.198841259</v>
      </c>
      <c r="I76" s="42">
        <f>Operations!I107-Operations!I115-I75</f>
        <v>2649404.0898150406</v>
      </c>
      <c r="J76" s="42">
        <f>Operations!J107-Operations!J115-J75</f>
        <v>2698850.2530895</v>
      </c>
      <c r="K76" s="42">
        <f>Operations!K107-Operations!K115-K75</f>
        <v>2746208.4137992132</v>
      </c>
      <c r="L76" s="42">
        <f>Operations!L107-Operations!L115-L75</f>
        <v>2797326.2937037777</v>
      </c>
      <c r="M76" s="42">
        <f>Operations!M107-Operations!M115-M75</f>
        <v>2848329.2524112696</v>
      </c>
      <c r="N76" s="42">
        <f>Operations!N107-Operations!N115-N75</f>
        <v>2901248.2057057065</v>
      </c>
      <c r="O76" s="42">
        <f>Operations!O107-Operations!O115-O75</f>
        <v>2951921.99858815</v>
      </c>
      <c r="P76" s="42">
        <f>Operations!P107-Operations!P115-P75</f>
        <v>2882580.7700172984</v>
      </c>
      <c r="Q76" s="42">
        <f>Operations!Q107-Operations!Q115-Q75</f>
        <v>2934681.0404340075</v>
      </c>
      <c r="R76" s="42">
        <f>Operations!R107-Operations!R115-R75</f>
        <v>2988785.8270561746</v>
      </c>
      <c r="S76" s="42">
        <f>Operations!S107-Operations!S115-S75</f>
        <v>3040425.8288412853</v>
      </c>
      <c r="T76" s="42">
        <f>Operations!T107-Operations!T115-T75</f>
        <v>3096342.5771106076</v>
      </c>
      <c r="U76" s="42">
        <f>Operations!U107-Operations!U115-U75</f>
        <v>3152067.273454574</v>
      </c>
      <c r="V76" s="42">
        <f>Operations!V107-Operations!V115-V75</f>
        <v>3204116.459438563</v>
      </c>
      <c r="W76" s="42">
        <f>Operations!W107-Operations!W115-W75</f>
        <v>3152140.925603638</v>
      </c>
      <c r="X76" s="42">
        <f>Operations!X107-Operations!X115-X75</f>
        <v>3206701.63750975</v>
      </c>
      <c r="Y76" s="42">
        <f>Operations!Y107-Operations!Y115-Y75</f>
        <v>3262101.922194229</v>
      </c>
      <c r="Z76" s="42">
        <f>Operations!Z107-Operations!Z115-Z75</f>
        <v>3245428.8959404724</v>
      </c>
      <c r="AA76" s="42">
        <f>Operations!AA107-Operations!AA115-AA75</f>
        <v>3300516.2643818287</v>
      </c>
      <c r="AB76" s="42">
        <f>Operations!AB107-Operations!AB115-AB75</f>
        <v>3360563.7635839735</v>
      </c>
      <c r="AC76" s="42">
        <f>Operations!AC107-Operations!AC115-AC75</f>
        <v>3420403.849693592</v>
      </c>
      <c r="AD76" s="42">
        <f>Operations!AD107-Operations!AD115-AD75</f>
        <v>3486612.4277893924</v>
      </c>
      <c r="AE76" s="42">
        <f>Operations!AE107-Operations!AE115-AE75</f>
        <v>2184286.936258025</v>
      </c>
    </row>
    <row r="78">
      <c r="A78" s="5" t="inlineStr">
        <is>
          <t xml:space="preserve">P90 10-yr</t>
        </is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>
      <c r="A79" s="6" t="inlineStr">
        <is>
          <t xml:space="preserve">Depreciable base: capex and capitalised financing costs</t>
        </is>
      </c>
      <c r="B79" s="10" t="inlineStr">
        <is>
          <t xml:space="preserve">€</t>
        </is>
      </c>
      <c r="C79" s="45">
        <f>Construction!$C$48</f>
        <v>58232270.645103194</v>
      </c>
    </row>
    <row r="80">
      <c r="A80" s="6" t="inlineStr">
        <is>
          <t xml:space="preserve">Book value at the start of the year</t>
        </is>
      </c>
      <c r="B80" s="10" t="inlineStr">
        <is>
          <t xml:space="preserve">€</t>
        </is>
      </c>
      <c r="F80" s="23">
        <f>E87</f>
        <v>58232270.645103194</v>
      </c>
      <c r="G80" s="23">
        <f>F87</f>
        <v>56412512.18744372</v>
      </c>
      <c r="H80" s="23">
        <f>G87</f>
        <v>52772995.27212477</v>
      </c>
      <c r="I80" s="23">
        <f>H87</f>
        <v>49133478.35680582</v>
      </c>
      <c r="J80" s="23">
        <f>I87</f>
        <v>45493961.441486865</v>
      </c>
      <c r="K80" s="23">
        <f>J87</f>
        <v>41854444.526167914</v>
      </c>
      <c r="L80" s="23">
        <f>K87</f>
        <v>38214927.61084896</v>
      </c>
      <c r="M80" s="23">
        <f>L87</f>
        <v>34575410.69553001</v>
      </c>
      <c r="N80" s="23">
        <f>M87</f>
        <v>30935893.780211065</v>
      </c>
      <c r="O80" s="23">
        <f>N87</f>
        <v>27296376.864892118</v>
      </c>
      <c r="P80" s="23">
        <f>O87</f>
        <v>23656859.949573167</v>
      </c>
      <c r="Q80" s="23">
        <f>P87</f>
        <v>20017343.03425422</v>
      </c>
      <c r="R80" s="23">
        <f>Q87</f>
        <v>16377826.11893527</v>
      </c>
      <c r="S80" s="23">
        <f>R87</f>
        <v>12738309.203616321</v>
      </c>
      <c r="T80" s="23">
        <f>S87</f>
        <v>9098792.288297372</v>
      </c>
      <c r="U80" s="23">
        <f>T87</f>
        <v>5459275.372978423</v>
      </c>
      <c r="V80" s="23">
        <f>U87</f>
        <v>1819758.457659474</v>
      </c>
      <c r="W80" s="23">
        <f>V87</f>
        <v>0</v>
      </c>
      <c r="X80" s="23">
        <f>W87</f>
        <v>0</v>
      </c>
      <c r="Y80" s="23">
        <f>X87</f>
        <v>0</v>
      </c>
      <c r="Z80" s="23">
        <f>Y87</f>
        <v>0</v>
      </c>
      <c r="AA80" s="23">
        <f>Z87</f>
        <v>0</v>
      </c>
      <c r="AB80" s="23">
        <f>AA87</f>
        <v>0</v>
      </c>
      <c r="AC80" s="23">
        <f>AB87</f>
        <v>0</v>
      </c>
      <c r="AD80" s="23">
        <f>AC87</f>
        <v>0</v>
      </c>
      <c r="AE80" s="23">
        <f>AD87</f>
        <v>0</v>
      </c>
    </row>
    <row r="81">
      <c r="A81" s="6" t="inlineStr">
        <is>
          <t xml:space="preserve">Months depreciated before the year</t>
        </is>
      </c>
      <c r="E81" s="9">
        <v>0</v>
      </c>
      <c r="F81" s="23">
        <f>E88</f>
        <v>0</v>
      </c>
      <c r="G81" s="23">
        <f>F88</f>
        <v>6</v>
      </c>
      <c r="H81" s="23">
        <f>G88</f>
        <v>18</v>
      </c>
      <c r="I81" s="23">
        <f>H88</f>
        <v>30</v>
      </c>
      <c r="J81" s="23">
        <f>I88</f>
        <v>42</v>
      </c>
      <c r="K81" s="23">
        <f>J88</f>
        <v>54</v>
      </c>
      <c r="L81" s="23">
        <f>K88</f>
        <v>66</v>
      </c>
      <c r="M81" s="23">
        <f>L88</f>
        <v>78</v>
      </c>
      <c r="N81" s="23">
        <f>M88</f>
        <v>90</v>
      </c>
      <c r="O81" s="23">
        <f>N88</f>
        <v>102</v>
      </c>
      <c r="P81" s="23">
        <f>O88</f>
        <v>114</v>
      </c>
      <c r="Q81" s="23">
        <f>P88</f>
        <v>126</v>
      </c>
      <c r="R81" s="23">
        <f>Q88</f>
        <v>138</v>
      </c>
      <c r="S81" s="23">
        <f>R88</f>
        <v>150</v>
      </c>
      <c r="T81" s="23">
        <f>S88</f>
        <v>162</v>
      </c>
      <c r="U81" s="23">
        <f>T88</f>
        <v>174</v>
      </c>
      <c r="V81" s="23">
        <f>U88</f>
        <v>186</v>
      </c>
      <c r="W81" s="23">
        <f>V88</f>
        <v>198</v>
      </c>
      <c r="X81" s="23">
        <f>W88</f>
        <v>198</v>
      </c>
      <c r="Y81" s="23">
        <f>X88</f>
        <v>198</v>
      </c>
      <c r="Z81" s="23">
        <f>Y88</f>
        <v>198</v>
      </c>
      <c r="AA81" s="23">
        <f>Z88</f>
        <v>198</v>
      </c>
      <c r="AB81" s="23">
        <f>AA88</f>
        <v>198</v>
      </c>
      <c r="AC81" s="23">
        <f>AB88</f>
        <v>198</v>
      </c>
      <c r="AD81" s="23">
        <f>AC88</f>
        <v>198</v>
      </c>
      <c r="AE81" s="23">
        <f>AD88</f>
        <v>198</v>
      </c>
    </row>
    <row r="82">
      <c r="A82" s="6" t="inlineStr">
        <is>
          <t xml:space="preserve">Remaining useful life</t>
        </is>
      </c>
      <c r="B82" s="10" t="inlineStr">
        <is>
          <t xml:space="preserve">years</t>
        </is>
      </c>
      <c r="F82" s="21">
        <f>Inputs!$C$93-F81/12</f>
        <v>16</v>
      </c>
      <c r="G82" s="21">
        <f>Inputs!$C$93-G81/12</f>
        <v>15.5</v>
      </c>
      <c r="H82" s="21">
        <f>Inputs!$C$93-H81/12</f>
        <v>14.5</v>
      </c>
      <c r="I82" s="21">
        <f>Inputs!$C$93-I81/12</f>
        <v>13.5</v>
      </c>
      <c r="J82" s="21">
        <f>Inputs!$C$93-J81/12</f>
        <v>12.5</v>
      </c>
      <c r="K82" s="21">
        <f>Inputs!$C$93-K81/12</f>
        <v>11.5</v>
      </c>
      <c r="L82" s="21">
        <f>Inputs!$C$93-L81/12</f>
        <v>10.5</v>
      </c>
      <c r="M82" s="21">
        <f>Inputs!$C$93-M81/12</f>
        <v>9.5</v>
      </c>
      <c r="N82" s="21">
        <f>Inputs!$C$93-N81/12</f>
        <v>8.5</v>
      </c>
      <c r="O82" s="21">
        <f>Inputs!$C$93-O81/12</f>
        <v>7.5</v>
      </c>
      <c r="P82" s="21">
        <f>Inputs!$C$93-P81/12</f>
        <v>6.5</v>
      </c>
      <c r="Q82" s="21">
        <f>Inputs!$C$93-Q81/12</f>
        <v>5.5</v>
      </c>
      <c r="R82" s="21">
        <f>Inputs!$C$93-R81/12</f>
        <v>4.5</v>
      </c>
      <c r="S82" s="21">
        <f>Inputs!$C$93-S81/12</f>
        <v>3.5</v>
      </c>
      <c r="T82" s="21">
        <f>Inputs!$C$93-T81/12</f>
        <v>2.5</v>
      </c>
      <c r="U82" s="21">
        <f>Inputs!$C$93-U81/12</f>
        <v>1.5</v>
      </c>
      <c r="V82" s="21">
        <f>Inputs!$C$93-V81/12</f>
        <v>0.5</v>
      </c>
      <c r="W82" s="21">
        <f>Inputs!$C$93-W81/12</f>
        <v>-0.5</v>
      </c>
      <c r="X82" s="21">
        <f>Inputs!$C$93-X81/12</f>
        <v>-0.5</v>
      </c>
      <c r="Y82" s="21">
        <f>Inputs!$C$93-Y81/12</f>
        <v>-0.5</v>
      </c>
      <c r="Z82" s="21">
        <f>Inputs!$C$93-Z81/12</f>
        <v>-0.5</v>
      </c>
      <c r="AA82" s="21">
        <f>Inputs!$C$93-AA81/12</f>
        <v>-0.5</v>
      </c>
      <c r="AB82" s="21">
        <f>Inputs!$C$93-AB81/12</f>
        <v>-0.5</v>
      </c>
      <c r="AC82" s="21">
        <f>Inputs!$C$93-AC81/12</f>
        <v>-0.5</v>
      </c>
      <c r="AD82" s="21">
        <f>Inputs!$C$93-AD81/12</f>
        <v>-0.5</v>
      </c>
      <c r="AE82" s="21">
        <f>Inputs!$C$93-AE81/12</f>
        <v>-0.5</v>
      </c>
    </row>
    <row r="83">
      <c r="A83" s="6" t="inlineStr">
        <is>
          <t xml:space="preserve">Straight-line amount</t>
        </is>
      </c>
      <c r="B83" s="10" t="inlineStr">
        <is>
          <t xml:space="preserve">€</t>
        </is>
      </c>
      <c r="F83" s="23">
        <f>IF(F82&gt;0,F80/F82*Timing!F87/12,F80)</f>
        <v>1819758.4576594748</v>
      </c>
      <c r="G83" s="23">
        <f>IF(G82&gt;0,G80/G82*Timing!G87/12,G80)</f>
        <v>3639516.9153189496</v>
      </c>
      <c r="H83" s="23">
        <f>IF(H82&gt;0,H80/H82*Timing!H87/12,H80)</f>
        <v>3639516.9153189496</v>
      </c>
      <c r="I83" s="23">
        <f>IF(I82&gt;0,I80/I82*Timing!I87/12,I80)</f>
        <v>3639516.915318949</v>
      </c>
      <c r="J83" s="23">
        <f>IF(J82&gt;0,J80/J82*Timing!J87/12,J80)</f>
        <v>3639516.915318949</v>
      </c>
      <c r="K83" s="23">
        <f>IF(K82&gt;0,K80/K82*Timing!K87/12,K80)</f>
        <v>3639516.915318949</v>
      </c>
      <c r="L83" s="23">
        <f>IF(L82&gt;0,L80/L82*Timing!L87/12,L80)</f>
        <v>3639516.9153189487</v>
      </c>
      <c r="M83" s="23">
        <f>IF(M82&gt;0,M80/M82*Timing!M87/12,M80)</f>
        <v>3639516.9153189487</v>
      </c>
      <c r="N83" s="23">
        <f>IF(N82&gt;0,N80/N82*Timing!N87/12,N80)</f>
        <v>3639516.9153189487</v>
      </c>
      <c r="O83" s="23">
        <f>IF(O82&gt;0,O80/O82*Timing!O87/12,O80)</f>
        <v>3639516.915318949</v>
      </c>
      <c r="P83" s="23">
        <f>IF(P82&gt;0,P80/P82*Timing!P87/12,P80)</f>
        <v>3639516.9153189487</v>
      </c>
      <c r="Q83" s="23">
        <f>IF(Q82&gt;0,Q80/Q82*Timing!Q87/12,Q80)</f>
        <v>3639516.915318949</v>
      </c>
      <c r="R83" s="23">
        <f>IF(R82&gt;0,R80/R82*Timing!R87/12,R80)</f>
        <v>3639516.915318949</v>
      </c>
      <c r="S83" s="23">
        <f>IF(S82&gt;0,S80/S82*Timing!S87/12,S80)</f>
        <v>3639516.9153189487</v>
      </c>
      <c r="T83" s="23">
        <f>IF(T82&gt;0,T80/T82*Timing!T87/12,T80)</f>
        <v>3639516.9153189487</v>
      </c>
      <c r="U83" s="23">
        <f>IF(U82&gt;0,U80/U82*Timing!U87/12,U80)</f>
        <v>3639516.9153189487</v>
      </c>
      <c r="V83" s="23">
        <f>IF(V82&gt;0,V80/V82*Timing!V87/12,V80)</f>
        <v>3639516.915318948</v>
      </c>
      <c r="W83" s="23">
        <f>IF(W82&gt;0,W80/W82*Timing!W87/12,W80)</f>
        <v>0</v>
      </c>
      <c r="X83" s="23">
        <f>IF(X82&gt;0,X80/X82*Timing!X87/12,X80)</f>
        <v>0</v>
      </c>
      <c r="Y83" s="23">
        <f>IF(Y82&gt;0,Y80/Y82*Timing!Y87/12,Y80)</f>
        <v>0</v>
      </c>
      <c r="Z83" s="23">
        <f>IF(Z82&gt;0,Z80/Z82*Timing!Z87/12,Z80)</f>
        <v>0</v>
      </c>
      <c r="AA83" s="23">
        <f>IF(AA82&gt;0,AA80/AA82*Timing!AA87/12,AA80)</f>
        <v>0</v>
      </c>
      <c r="AB83" s="23">
        <f>IF(AB82&gt;0,AB80/AB82*Timing!AB87/12,AB80)</f>
        <v>0</v>
      </c>
      <c r="AC83" s="23">
        <f>IF(AC82&gt;0,AC80/AC82*Timing!AC87/12,AC80)</f>
        <v>0</v>
      </c>
      <c r="AD83" s="23">
        <f>IF(AD82&gt;0,AD80/AD82*Timing!AD87/12,AD80)</f>
        <v>0</v>
      </c>
      <c r="AE83" s="23">
        <f>IF(AE82&gt;0,AE80/AE82*Timing!AE87/12,AE80)</f>
        <v>0</v>
      </c>
    </row>
    <row r="84">
      <c r="A84" s="6" t="inlineStr">
        <is>
          <t xml:space="preserve">Declining-balance amount</t>
        </is>
      </c>
      <c r="B84" s="10" t="inlineStr">
        <is>
          <t xml:space="preserve">€</t>
        </is>
      </c>
      <c r="F84" s="23">
        <f>F80*Timing!$C$36*Timing!F87/12</f>
        <v>5459275.372978425</v>
      </c>
      <c r="G84" s="23">
        <f>G80*Timing!$C$36*Timing!G87/12</f>
        <v>10577346.035145696</v>
      </c>
      <c r="H84" s="23">
        <f>H80*Timing!$C$36*Timing!H87/12</f>
        <v>9894936.613523394</v>
      </c>
      <c r="I84" s="23">
        <f>I80*Timing!$C$36*Timing!I87/12</f>
        <v>9212527.191901091</v>
      </c>
      <c r="J84" s="23">
        <f>J80*Timing!$C$36*Timing!J87/12</f>
        <v>8530117.770278787</v>
      </c>
      <c r="K84" s="23">
        <f>K80*Timing!$C$36*Timing!K87/12</f>
        <v>7847708.348656484</v>
      </c>
      <c r="L84" s="23">
        <f>L80*Timing!$C$36*Timing!L87/12</f>
        <v>7165298.927034181</v>
      </c>
      <c r="M84" s="23">
        <f>M80*Timing!$C$36*Timing!M87/12</f>
        <v>6482889.505411877</v>
      </c>
      <c r="N84" s="23">
        <f>N80*Timing!$C$36*Timing!N87/12</f>
        <v>5800480.083789575</v>
      </c>
      <c r="O84" s="23">
        <f>O80*Timing!$C$36*Timing!O87/12</f>
        <v>5118070.662167272</v>
      </c>
      <c r="P84" s="23">
        <f>P80*Timing!$C$36*Timing!P87/12</f>
        <v>4435661.240544969</v>
      </c>
      <c r="Q84" s="23">
        <f>Q80*Timing!$C$36*Timing!Q87/12</f>
        <v>3753251.818922666</v>
      </c>
      <c r="R84" s="23">
        <f>R80*Timing!$C$36*Timing!R87/12</f>
        <v>3070842.397300363</v>
      </c>
      <c r="S84" s="23">
        <f>S80*Timing!$C$36*Timing!S87/12</f>
        <v>2388432.97567806</v>
      </c>
      <c r="T84" s="23">
        <f>T80*Timing!$C$36*Timing!T87/12</f>
        <v>1706023.5540557574</v>
      </c>
      <c r="U84" s="23">
        <f>U80*Timing!$C$36*Timing!U87/12</f>
        <v>1023614.1324334543</v>
      </c>
      <c r="V84" s="23">
        <f>V80*Timing!$C$36*Timing!V87/12</f>
        <v>341204.7108111514</v>
      </c>
      <c r="W84" s="23">
        <f>W80*Timing!$C$36*Timing!W87/12</f>
        <v>0</v>
      </c>
      <c r="X84" s="23">
        <f>X80*Timing!$C$36*Timing!X87/12</f>
        <v>0</v>
      </c>
      <c r="Y84" s="23">
        <f>Y80*Timing!$C$36*Timing!Y87/12</f>
        <v>0</v>
      </c>
      <c r="Z84" s="23">
        <f>Z80*Timing!$C$36*Timing!Z87/12</f>
        <v>0</v>
      </c>
      <c r="AA84" s="23">
        <f>AA80*Timing!$C$36*Timing!AA87/12</f>
        <v>0</v>
      </c>
      <c r="AB84" s="23">
        <f>AB80*Timing!$C$36*Timing!AB87/12</f>
        <v>0</v>
      </c>
      <c r="AC84" s="23">
        <f>AC80*Timing!$C$36*Timing!AC87/12</f>
        <v>0</v>
      </c>
      <c r="AD84" s="23">
        <f>AD80*Timing!$C$36*Timing!AD87/12</f>
        <v>0</v>
      </c>
      <c r="AE84" s="23">
        <f>AE80*Timing!$C$36*Timing!AE87/12</f>
        <v>0</v>
      </c>
    </row>
    <row r="85">
      <c r="A85" s="6" t="inlineStr">
        <is>
          <t xml:space="preserve">Straight-line from this year (1 = yes)</t>
        </is>
      </c>
      <c r="E85" s="9">
        <v>0</v>
      </c>
      <c r="F85" s="23">
        <f>IF(OR(Timing!$C$35=0,E85=1,F83&gt;=F84),1,0)</f>
        <v>1</v>
      </c>
      <c r="G85" s="23">
        <f>IF(OR(Timing!$C$35=0,F85=1,G83&gt;=G84),1,0)</f>
        <v>1</v>
      </c>
      <c r="H85" s="23">
        <f>IF(OR(Timing!$C$35=0,G85=1,H83&gt;=H84),1,0)</f>
        <v>1</v>
      </c>
      <c r="I85" s="23">
        <f>IF(OR(Timing!$C$35=0,H85=1,I83&gt;=I84),1,0)</f>
        <v>1</v>
      </c>
      <c r="J85" s="23">
        <f>IF(OR(Timing!$C$35=0,I85=1,J83&gt;=J84),1,0)</f>
        <v>1</v>
      </c>
      <c r="K85" s="23">
        <f>IF(OR(Timing!$C$35=0,J85=1,K83&gt;=K84),1,0)</f>
        <v>1</v>
      </c>
      <c r="L85" s="23">
        <f>IF(OR(Timing!$C$35=0,K85=1,L83&gt;=L84),1,0)</f>
        <v>1</v>
      </c>
      <c r="M85" s="23">
        <f>IF(OR(Timing!$C$35=0,L85=1,M83&gt;=M84),1,0)</f>
        <v>1</v>
      </c>
      <c r="N85" s="23">
        <f>IF(OR(Timing!$C$35=0,M85=1,N83&gt;=N84),1,0)</f>
        <v>1</v>
      </c>
      <c r="O85" s="23">
        <f>IF(OR(Timing!$C$35=0,N85=1,O83&gt;=O84),1,0)</f>
        <v>1</v>
      </c>
      <c r="P85" s="23">
        <f>IF(OR(Timing!$C$35=0,O85=1,P83&gt;=P84),1,0)</f>
        <v>1</v>
      </c>
      <c r="Q85" s="23">
        <f>IF(OR(Timing!$C$35=0,P85=1,Q83&gt;=Q84),1,0)</f>
        <v>1</v>
      </c>
      <c r="R85" s="23">
        <f>IF(OR(Timing!$C$35=0,Q85=1,R83&gt;=R84),1,0)</f>
        <v>1</v>
      </c>
      <c r="S85" s="23">
        <f>IF(OR(Timing!$C$35=0,R85=1,S83&gt;=S84),1,0)</f>
        <v>1</v>
      </c>
      <c r="T85" s="23">
        <f>IF(OR(Timing!$C$35=0,S85=1,T83&gt;=T84),1,0)</f>
        <v>1</v>
      </c>
      <c r="U85" s="23">
        <f>IF(OR(Timing!$C$35=0,T85=1,U83&gt;=U84),1,0)</f>
        <v>1</v>
      </c>
      <c r="V85" s="23">
        <f>IF(OR(Timing!$C$35=0,U85=1,V83&gt;=V84),1,0)</f>
        <v>1</v>
      </c>
      <c r="W85" s="23">
        <f>IF(OR(Timing!$C$35=0,V85=1,W83&gt;=W84),1,0)</f>
        <v>1</v>
      </c>
      <c r="X85" s="23">
        <f>IF(OR(Timing!$C$35=0,W85=1,X83&gt;=X84),1,0)</f>
        <v>1</v>
      </c>
      <c r="Y85" s="23">
        <f>IF(OR(Timing!$C$35=0,X85=1,Y83&gt;=Y84),1,0)</f>
        <v>1</v>
      </c>
      <c r="Z85" s="23">
        <f>IF(OR(Timing!$C$35=0,Y85=1,Z83&gt;=Z84),1,0)</f>
        <v>1</v>
      </c>
      <c r="AA85" s="23">
        <f>IF(OR(Timing!$C$35=0,Z85=1,AA83&gt;=AA84),1,0)</f>
        <v>1</v>
      </c>
      <c r="AB85" s="23">
        <f>IF(OR(Timing!$C$35=0,AA85=1,AB83&gt;=AB84),1,0)</f>
        <v>1</v>
      </c>
      <c r="AC85" s="23">
        <f>IF(OR(Timing!$C$35=0,AB85=1,AC83&gt;=AC84),1,0)</f>
        <v>1</v>
      </c>
      <c r="AD85" s="23">
        <f>IF(OR(Timing!$C$35=0,AC85=1,AD83&gt;=AD84),1,0)</f>
        <v>1</v>
      </c>
      <c r="AE85" s="23">
        <f>IF(OR(Timing!$C$35=0,AD85=1,AE83&gt;=AE84),1,0)</f>
        <v>1</v>
      </c>
    </row>
    <row r="86">
      <c r="A86" s="6" t="inlineStr">
        <is>
          <t xml:space="preserve">Depreciation by schedule</t>
        </is>
      </c>
      <c r="B86" s="10" t="inlineStr">
        <is>
          <t xml:space="preserve">€</t>
        </is>
      </c>
      <c r="F86" s="23">
        <f>IF(F80&lt;=Inputs!$C$157,0,MIN(F80,IF(F85=1,F83,F84)))</f>
        <v>1819758.4576594748</v>
      </c>
      <c r="G86" s="23">
        <f>IF(G80&lt;=Inputs!$C$157,0,MIN(G80,IF(G85=1,G83,G84)))</f>
        <v>3639516.9153189496</v>
      </c>
      <c r="H86" s="23">
        <f>IF(H80&lt;=Inputs!$C$157,0,MIN(H80,IF(H85=1,H83,H84)))</f>
        <v>3639516.9153189496</v>
      </c>
      <c r="I86" s="23">
        <f>IF(I80&lt;=Inputs!$C$157,0,MIN(I80,IF(I85=1,I83,I84)))</f>
        <v>3639516.915318949</v>
      </c>
      <c r="J86" s="23">
        <f>IF(J80&lt;=Inputs!$C$157,0,MIN(J80,IF(J85=1,J83,J84)))</f>
        <v>3639516.915318949</v>
      </c>
      <c r="K86" s="23">
        <f>IF(K80&lt;=Inputs!$C$157,0,MIN(K80,IF(K85=1,K83,K84)))</f>
        <v>3639516.915318949</v>
      </c>
      <c r="L86" s="23">
        <f>IF(L80&lt;=Inputs!$C$157,0,MIN(L80,IF(L85=1,L83,L84)))</f>
        <v>3639516.9153189487</v>
      </c>
      <c r="M86" s="23">
        <f>IF(M80&lt;=Inputs!$C$157,0,MIN(M80,IF(M85=1,M83,M84)))</f>
        <v>3639516.9153189487</v>
      </c>
      <c r="N86" s="23">
        <f>IF(N80&lt;=Inputs!$C$157,0,MIN(N80,IF(N85=1,N83,N84)))</f>
        <v>3639516.9153189487</v>
      </c>
      <c r="O86" s="23">
        <f>IF(O80&lt;=Inputs!$C$157,0,MIN(O80,IF(O85=1,O83,O84)))</f>
        <v>3639516.915318949</v>
      </c>
      <c r="P86" s="23">
        <f>IF(P80&lt;=Inputs!$C$157,0,MIN(P80,IF(P85=1,P83,P84)))</f>
        <v>3639516.9153189487</v>
      </c>
      <c r="Q86" s="23">
        <f>IF(Q80&lt;=Inputs!$C$157,0,MIN(Q80,IF(Q85=1,Q83,Q84)))</f>
        <v>3639516.915318949</v>
      </c>
      <c r="R86" s="23">
        <f>IF(R80&lt;=Inputs!$C$157,0,MIN(R80,IF(R85=1,R83,R84)))</f>
        <v>3639516.915318949</v>
      </c>
      <c r="S86" s="23">
        <f>IF(S80&lt;=Inputs!$C$157,0,MIN(S80,IF(S85=1,S83,S84)))</f>
        <v>3639516.9153189487</v>
      </c>
      <c r="T86" s="23">
        <f>IF(T80&lt;=Inputs!$C$157,0,MIN(T80,IF(T85=1,T83,T84)))</f>
        <v>3639516.9153189487</v>
      </c>
      <c r="U86" s="23">
        <f>IF(U80&lt;=Inputs!$C$157,0,MIN(U80,IF(U85=1,U83,U84)))</f>
        <v>3639516.9153189487</v>
      </c>
      <c r="V86" s="23">
        <f>IF(V80&lt;=Inputs!$C$157,0,MIN(V80,IF(V85=1,V83,V84)))</f>
        <v>1819758.457659474</v>
      </c>
      <c r="W86" s="23">
        <f>IF(W80&lt;=Inputs!$C$157,0,MIN(W80,IF(W85=1,W83,W84)))</f>
        <v>0</v>
      </c>
      <c r="X86" s="23">
        <f>IF(X80&lt;=Inputs!$C$157,0,MIN(X80,IF(X85=1,X83,X84)))</f>
        <v>0</v>
      </c>
      <c r="Y86" s="23">
        <f>IF(Y80&lt;=Inputs!$C$157,0,MIN(Y80,IF(Y85=1,Y83,Y84)))</f>
        <v>0</v>
      </c>
      <c r="Z86" s="23">
        <f>IF(Z80&lt;=Inputs!$C$157,0,MIN(Z80,IF(Z85=1,Z83,Z84)))</f>
        <v>0</v>
      </c>
      <c r="AA86" s="23">
        <f>IF(AA80&lt;=Inputs!$C$157,0,MIN(AA80,IF(AA85=1,AA83,AA84)))</f>
        <v>0</v>
      </c>
      <c r="AB86" s="23">
        <f>IF(AB80&lt;=Inputs!$C$157,0,MIN(AB80,IF(AB85=1,AB83,AB84)))</f>
        <v>0</v>
      </c>
      <c r="AC86" s="23">
        <f>IF(AC80&lt;=Inputs!$C$157,0,MIN(AC80,IF(AC85=1,AC83,AC84)))</f>
        <v>0</v>
      </c>
      <c r="AD86" s="23">
        <f>IF(AD80&lt;=Inputs!$C$157,0,MIN(AD80,IF(AD85=1,AD83,AD84)))</f>
        <v>0</v>
      </c>
      <c r="AE86" s="23">
        <f>IF(AE80&lt;=Inputs!$C$157,0,MIN(AE80,IF(AE85=1,AE83,AE84)))</f>
        <v>0</v>
      </c>
    </row>
    <row r="87">
      <c r="A87" s="6" t="inlineStr">
        <is>
          <t xml:space="preserve">Book value at the year end</t>
        </is>
      </c>
      <c r="B87" s="10" t="inlineStr">
        <is>
          <t xml:space="preserve">€</t>
        </is>
      </c>
      <c r="E87" s="23">
        <f>$C$79</f>
        <v>58232270.645103194</v>
      </c>
      <c r="F87" s="23">
        <f>F80-F86</f>
        <v>56412512.18744372</v>
      </c>
      <c r="G87" s="23">
        <f>G80-G86</f>
        <v>52772995.27212477</v>
      </c>
      <c r="H87" s="23">
        <f>H80-H86</f>
        <v>49133478.35680582</v>
      </c>
      <c r="I87" s="23">
        <f>I80-I86</f>
        <v>45493961.441486865</v>
      </c>
      <c r="J87" s="23">
        <f>J80-J86</f>
        <v>41854444.526167914</v>
      </c>
      <c r="K87" s="23">
        <f>K80-K86</f>
        <v>38214927.61084896</v>
      </c>
      <c r="L87" s="23">
        <f>L80-L86</f>
        <v>34575410.69553001</v>
      </c>
      <c r="M87" s="23">
        <f>M80-M86</f>
        <v>30935893.780211065</v>
      </c>
      <c r="N87" s="23">
        <f>N80-N86</f>
        <v>27296376.864892118</v>
      </c>
      <c r="O87" s="23">
        <f>O80-O86</f>
        <v>23656859.949573167</v>
      </c>
      <c r="P87" s="23">
        <f>P80-P86</f>
        <v>20017343.03425422</v>
      </c>
      <c r="Q87" s="23">
        <f>Q80-Q86</f>
        <v>16377826.11893527</v>
      </c>
      <c r="R87" s="23">
        <f>R80-R86</f>
        <v>12738309.203616321</v>
      </c>
      <c r="S87" s="23">
        <f>S80-S86</f>
        <v>9098792.288297372</v>
      </c>
      <c r="T87" s="23">
        <f>T80-T86</f>
        <v>5459275.372978423</v>
      </c>
      <c r="U87" s="23">
        <f>U80-U86</f>
        <v>1819758.457659474</v>
      </c>
      <c r="V87" s="23">
        <f>V80-V86</f>
        <v>0</v>
      </c>
      <c r="W87" s="23">
        <f>W80-W86</f>
        <v>0</v>
      </c>
      <c r="X87" s="23">
        <f>X80-X86</f>
        <v>0</v>
      </c>
      <c r="Y87" s="23">
        <f>Y80-Y86</f>
        <v>0</v>
      </c>
      <c r="Z87" s="23">
        <f>Z80-Z86</f>
        <v>0</v>
      </c>
      <c r="AA87" s="23">
        <f>AA80-AA86</f>
        <v>0</v>
      </c>
      <c r="AB87" s="23">
        <f>AB80-AB86</f>
        <v>0</v>
      </c>
      <c r="AC87" s="23">
        <f>AC80-AC86</f>
        <v>0</v>
      </c>
      <c r="AD87" s="23">
        <f>AD80-AD86</f>
        <v>0</v>
      </c>
      <c r="AE87" s="23">
        <f>AE80-AE86</f>
        <v>0</v>
      </c>
    </row>
    <row r="88">
      <c r="A88" s="6" t="inlineStr">
        <is>
          <t xml:space="preserve">Months depreciated</t>
        </is>
      </c>
      <c r="F88" s="23">
        <f>F81+IF(F80&gt;Inputs!$C$157,Timing!F87,0)</f>
        <v>6</v>
      </c>
      <c r="G88" s="23">
        <f>G81+IF(G80&gt;Inputs!$C$157,Timing!G87,0)</f>
        <v>18</v>
      </c>
      <c r="H88" s="23">
        <f>H81+IF(H80&gt;Inputs!$C$157,Timing!H87,0)</f>
        <v>30</v>
      </c>
      <c r="I88" s="23">
        <f>I81+IF(I80&gt;Inputs!$C$157,Timing!I87,0)</f>
        <v>42</v>
      </c>
      <c r="J88" s="23">
        <f>J81+IF(J80&gt;Inputs!$C$157,Timing!J87,0)</f>
        <v>54</v>
      </c>
      <c r="K88" s="23">
        <f>K81+IF(K80&gt;Inputs!$C$157,Timing!K87,0)</f>
        <v>66</v>
      </c>
      <c r="L88" s="23">
        <f>L81+IF(L80&gt;Inputs!$C$157,Timing!L87,0)</f>
        <v>78</v>
      </c>
      <c r="M88" s="23">
        <f>M81+IF(M80&gt;Inputs!$C$157,Timing!M87,0)</f>
        <v>90</v>
      </c>
      <c r="N88" s="23">
        <f>N81+IF(N80&gt;Inputs!$C$157,Timing!N87,0)</f>
        <v>102</v>
      </c>
      <c r="O88" s="23">
        <f>O81+IF(O80&gt;Inputs!$C$157,Timing!O87,0)</f>
        <v>114</v>
      </c>
      <c r="P88" s="23">
        <f>P81+IF(P80&gt;Inputs!$C$157,Timing!P87,0)</f>
        <v>126</v>
      </c>
      <c r="Q88" s="23">
        <f>Q81+IF(Q80&gt;Inputs!$C$157,Timing!Q87,0)</f>
        <v>138</v>
      </c>
      <c r="R88" s="23">
        <f>R81+IF(R80&gt;Inputs!$C$157,Timing!R87,0)</f>
        <v>150</v>
      </c>
      <c r="S88" s="23">
        <f>S81+IF(S80&gt;Inputs!$C$157,Timing!S87,0)</f>
        <v>162</v>
      </c>
      <c r="T88" s="23">
        <f>T81+IF(T80&gt;Inputs!$C$157,Timing!T87,0)</f>
        <v>174</v>
      </c>
      <c r="U88" s="23">
        <f>U81+IF(U80&gt;Inputs!$C$157,Timing!U87,0)</f>
        <v>186</v>
      </c>
      <c r="V88" s="23">
        <f>V81+IF(V80&gt;Inputs!$C$157,Timing!V87,0)</f>
        <v>198</v>
      </c>
      <c r="W88" s="23">
        <f>W81+IF(W80&gt;Inputs!$C$157,Timing!W87,0)</f>
        <v>198</v>
      </c>
      <c r="X88" s="23">
        <f>X81+IF(X80&gt;Inputs!$C$157,Timing!X87,0)</f>
        <v>198</v>
      </c>
      <c r="Y88" s="23">
        <f>Y81+IF(Y80&gt;Inputs!$C$157,Timing!Y87,0)</f>
        <v>198</v>
      </c>
      <c r="Z88" s="23">
        <f>Z81+IF(Z80&gt;Inputs!$C$157,Timing!Z87,0)</f>
        <v>198</v>
      </c>
      <c r="AA88" s="23">
        <f>AA81+IF(AA80&gt;Inputs!$C$157,Timing!AA87,0)</f>
        <v>198</v>
      </c>
      <c r="AB88" s="23">
        <f>AB81+IF(AB80&gt;Inputs!$C$157,Timing!AB87,0)</f>
        <v>198</v>
      </c>
      <c r="AC88" s="23">
        <f>AC81+IF(AC80&gt;Inputs!$C$157,Timing!AC87,0)</f>
        <v>198</v>
      </c>
      <c r="AD88" s="23">
        <f>AD81+IF(AD80&gt;Inputs!$C$157,Timing!AD87,0)</f>
        <v>198</v>
      </c>
      <c r="AE88" s="23">
        <f>AE81+IF(AE80&gt;Inputs!$C$157,Timing!AE87,0)</f>
        <v>198</v>
      </c>
    </row>
    <row r="89">
      <c r="A89" s="6" t="inlineStr">
        <is>
          <t xml:space="preserve">Book value written off when the farm is dismantled</t>
        </is>
      </c>
      <c r="B89" s="10" t="inlineStr">
        <is>
          <t xml:space="preserve">€</t>
        </is>
      </c>
      <c r="F89" s="23">
        <f>IF(AND(Timing!F72=1,F87&gt;Inputs!$C$157),F87,0)</f>
        <v>0</v>
      </c>
      <c r="G89" s="23">
        <f>IF(AND(Timing!G72=1,G87&gt;Inputs!$C$157),G87,0)</f>
        <v>0</v>
      </c>
      <c r="H89" s="23">
        <f>IF(AND(Timing!H72=1,H87&gt;Inputs!$C$157),H87,0)</f>
        <v>0</v>
      </c>
      <c r="I89" s="23">
        <f>IF(AND(Timing!I72=1,I87&gt;Inputs!$C$157),I87,0)</f>
        <v>0</v>
      </c>
      <c r="J89" s="23">
        <f>IF(AND(Timing!J72=1,J87&gt;Inputs!$C$157),J87,0)</f>
        <v>0</v>
      </c>
      <c r="K89" s="23">
        <f>IF(AND(Timing!K72=1,K87&gt;Inputs!$C$157),K87,0)</f>
        <v>0</v>
      </c>
      <c r="L89" s="23">
        <f>IF(AND(Timing!L72=1,L87&gt;Inputs!$C$157),L87,0)</f>
        <v>0</v>
      </c>
      <c r="M89" s="23">
        <f>IF(AND(Timing!M72=1,M87&gt;Inputs!$C$157),M87,0)</f>
        <v>0</v>
      </c>
      <c r="N89" s="23">
        <f>IF(AND(Timing!N72=1,N87&gt;Inputs!$C$157),N87,0)</f>
        <v>0</v>
      </c>
      <c r="O89" s="23">
        <f>IF(AND(Timing!O72=1,O87&gt;Inputs!$C$157),O87,0)</f>
        <v>0</v>
      </c>
      <c r="P89" s="23">
        <f>IF(AND(Timing!P72=1,P87&gt;Inputs!$C$157),P87,0)</f>
        <v>0</v>
      </c>
      <c r="Q89" s="23">
        <f>IF(AND(Timing!Q72=1,Q87&gt;Inputs!$C$157),Q87,0)</f>
        <v>0</v>
      </c>
      <c r="R89" s="23">
        <f>IF(AND(Timing!R72=1,R87&gt;Inputs!$C$157),R87,0)</f>
        <v>0</v>
      </c>
      <c r="S89" s="23">
        <f>IF(AND(Timing!S72=1,S87&gt;Inputs!$C$157),S87,0)</f>
        <v>0</v>
      </c>
      <c r="T89" s="23">
        <f>IF(AND(Timing!T72=1,T87&gt;Inputs!$C$157),T87,0)</f>
        <v>0</v>
      </c>
      <c r="U89" s="23">
        <f>IF(AND(Timing!U72=1,U87&gt;Inputs!$C$157),U87,0)</f>
        <v>0</v>
      </c>
      <c r="V89" s="23">
        <f>IF(AND(Timing!V72=1,V87&gt;Inputs!$C$157),V87,0)</f>
        <v>0</v>
      </c>
      <c r="W89" s="23">
        <f>IF(AND(Timing!W72=1,W87&gt;Inputs!$C$157),W87,0)</f>
        <v>0</v>
      </c>
      <c r="X89" s="23">
        <f>IF(AND(Timing!X72=1,X87&gt;Inputs!$C$157),X87,0)</f>
        <v>0</v>
      </c>
      <c r="Y89" s="23">
        <f>IF(AND(Timing!Y72=1,Y87&gt;Inputs!$C$157),Y87,0)</f>
        <v>0</v>
      </c>
      <c r="Z89" s="23">
        <f>IF(AND(Timing!Z72=1,Z87&gt;Inputs!$C$157),Z87,0)</f>
        <v>0</v>
      </c>
      <c r="AA89" s="23">
        <f>IF(AND(Timing!AA72=1,AA87&gt;Inputs!$C$157),AA87,0)</f>
        <v>0</v>
      </c>
      <c r="AB89" s="23">
        <f>IF(AND(Timing!AB72=1,AB87&gt;Inputs!$C$157),AB87,0)</f>
        <v>0</v>
      </c>
      <c r="AC89" s="23">
        <f>IF(AND(Timing!AC72=1,AC87&gt;Inputs!$C$157),AC87,0)</f>
        <v>0</v>
      </c>
      <c r="AD89" s="23">
        <f>IF(AND(Timing!AD72=1,AD87&gt;Inputs!$C$157),AD87,0)</f>
        <v>0</v>
      </c>
      <c r="AE89" s="23">
        <f>IF(AND(Timing!AE72=1,AE87&gt;Inputs!$C$157),AE87,0)</f>
        <v>0</v>
      </c>
    </row>
    <row r="90">
      <c r="A90" s="41" t="inlineStr">
        <is>
          <t xml:space="preserve">Depreciation</t>
        </is>
      </c>
      <c r="B90" s="10" t="inlineStr">
        <is>
          <t xml:space="preserve">€</t>
        </is>
      </c>
      <c r="F90" s="42">
        <f>F86+F89</f>
        <v>1819758.4576594748</v>
      </c>
      <c r="G90" s="42">
        <f>G86+G89</f>
        <v>3639516.9153189496</v>
      </c>
      <c r="H90" s="42">
        <f>H86+H89</f>
        <v>3639516.9153189496</v>
      </c>
      <c r="I90" s="42">
        <f>I86+I89</f>
        <v>3639516.915318949</v>
      </c>
      <c r="J90" s="42">
        <f>J86+J89</f>
        <v>3639516.915318949</v>
      </c>
      <c r="K90" s="42">
        <f>K86+K89</f>
        <v>3639516.915318949</v>
      </c>
      <c r="L90" s="42">
        <f>L86+L89</f>
        <v>3639516.9153189487</v>
      </c>
      <c r="M90" s="42">
        <f>M86+M89</f>
        <v>3639516.9153189487</v>
      </c>
      <c r="N90" s="42">
        <f>N86+N89</f>
        <v>3639516.9153189487</v>
      </c>
      <c r="O90" s="42">
        <f>O86+O89</f>
        <v>3639516.915318949</v>
      </c>
      <c r="P90" s="42">
        <f>P86+P89</f>
        <v>3639516.9153189487</v>
      </c>
      <c r="Q90" s="42">
        <f>Q86+Q89</f>
        <v>3639516.915318949</v>
      </c>
      <c r="R90" s="42">
        <f>R86+R89</f>
        <v>3639516.915318949</v>
      </c>
      <c r="S90" s="42">
        <f>S86+S89</f>
        <v>3639516.9153189487</v>
      </c>
      <c r="T90" s="42">
        <f>T86+T89</f>
        <v>3639516.9153189487</v>
      </c>
      <c r="U90" s="42">
        <f>U86+U89</f>
        <v>3639516.9153189487</v>
      </c>
      <c r="V90" s="42">
        <f>V86+V89</f>
        <v>1819758.457659474</v>
      </c>
      <c r="W90" s="42">
        <f>W86+W89</f>
        <v>0</v>
      </c>
      <c r="X90" s="42">
        <f>X86+X89</f>
        <v>0</v>
      </c>
      <c r="Y90" s="42">
        <f>Y86+Y89</f>
        <v>0</v>
      </c>
      <c r="Z90" s="42">
        <f>Z86+Z89</f>
        <v>0</v>
      </c>
      <c r="AA90" s="42">
        <f>AA86+AA89</f>
        <v>0</v>
      </c>
      <c r="AB90" s="42">
        <f>AB86+AB89</f>
        <v>0</v>
      </c>
      <c r="AC90" s="42">
        <f>AC86+AC89</f>
        <v>0</v>
      </c>
      <c r="AD90" s="42">
        <f>AD86+AD89</f>
        <v>0</v>
      </c>
      <c r="AE90" s="42">
        <f>AE86+AE89</f>
        <v>0</v>
      </c>
    </row>
    <row r="91">
      <c r="A91" s="6" t="inlineStr">
        <is>
          <t xml:space="preserve">Interest</t>
        </is>
      </c>
      <c r="B91" s="10" t="inlineStr">
        <is>
          <t xml:space="preserve">€</t>
        </is>
      </c>
      <c r="F91" s="45">
        <f>Debt!F10</f>
        <v>551915.1400212483</v>
      </c>
      <c r="G91" s="45">
        <f>Debt!G10</f>
        <v>1103830.2800424965</v>
      </c>
      <c r="H91" s="45">
        <f>Debt!H10</f>
        <v>1079481.0826886182</v>
      </c>
      <c r="I91" s="45">
        <f>Debt!I10</f>
        <v>1014549.8897449417</v>
      </c>
      <c r="J91" s="45">
        <f>Debt!J10</f>
        <v>949618.6968012657</v>
      </c>
      <c r="K91" s="45">
        <f>Debt!K10</f>
        <v>884687.5038575892</v>
      </c>
      <c r="L91" s="45">
        <f>Debt!L10</f>
        <v>819756.3109139131</v>
      </c>
      <c r="M91" s="45">
        <f>Debt!M10</f>
        <v>754825.117970237</v>
      </c>
      <c r="N91" s="45">
        <f>Debt!N10</f>
        <v>689893.9250265607</v>
      </c>
      <c r="O91" s="45">
        <f>Debt!O10</f>
        <v>624962.7320828846</v>
      </c>
      <c r="P91" s="45">
        <f>Debt!P10</f>
        <v>560031.5391392084</v>
      </c>
      <c r="Q91" s="45">
        <f>Debt!Q10</f>
        <v>495100.34619553224</v>
      </c>
      <c r="R91" s="45">
        <f>Debt!R10</f>
        <v>430169.1532518559</v>
      </c>
      <c r="S91" s="45">
        <f>Debt!S10</f>
        <v>365237.9603081797</v>
      </c>
      <c r="T91" s="45">
        <f>Debt!T10</f>
        <v>300306.7673645036</v>
      </c>
      <c r="U91" s="45">
        <f>Debt!U10</f>
        <v>235375.57442082735</v>
      </c>
      <c r="V91" s="45">
        <f>Debt!V10</f>
        <v>170444.38147715112</v>
      </c>
      <c r="W91" s="45">
        <f>Debt!W10</f>
        <v>105513.18853347484</v>
      </c>
      <c r="X91" s="45">
        <f>Debt!X10</f>
        <v>40581.99558979853</v>
      </c>
      <c r="Y91" s="45">
        <f>Debt!Y10</f>
        <v>0</v>
      </c>
      <c r="Z91" s="45">
        <f>Debt!Z10</f>
        <v>0</v>
      </c>
      <c r="AA91" s="45">
        <f>Debt!AA10</f>
        <v>0</v>
      </c>
      <c r="AB91" s="45">
        <f>Debt!AB10</f>
        <v>0</v>
      </c>
      <c r="AC91" s="45">
        <f>Debt!AC10</f>
        <v>0</v>
      </c>
      <c r="AD91" s="45">
        <f>Debt!AD10</f>
        <v>0</v>
      </c>
      <c r="AE91" s="45">
        <f>Debt!AE10</f>
        <v>0</v>
      </c>
    </row>
    <row r="92">
      <c r="A92" s="41" t="inlineStr">
        <is>
          <t xml:space="preserve">Profit before tax</t>
        </is>
      </c>
      <c r="B92" s="10" t="inlineStr">
        <is>
          <t xml:space="preserve">€</t>
        </is>
      </c>
      <c r="F92" s="42">
        <f>Operations!F162-F90-F91-F10</f>
        <v>-559307.5745777076</v>
      </c>
      <c r="G92" s="42">
        <f>Operations!G162-G90-G91-G10</f>
        <v>-1942109.8407950443</v>
      </c>
      <c r="H92" s="42">
        <f>Operations!H162-H90-H91-H10</f>
        <v>-1999768.4500870719</v>
      </c>
      <c r="I92" s="42">
        <f>Operations!I162-I90-I91-I10</f>
        <v>-1887854.197771164</v>
      </c>
      <c r="J92" s="42">
        <f>Operations!J162-J90-J91-J10</f>
        <v>-1775528.6330575629</v>
      </c>
      <c r="K92" s="42">
        <f>Operations!K162-K90-K91-K10</f>
        <v>-1328706.0796255625</v>
      </c>
      <c r="L92" s="42">
        <f>Operations!L162-L90-L91-L10</f>
        <v>-1549262.1165393272</v>
      </c>
      <c r="M92" s="42">
        <f>Operations!M162-M90-M91-M10</f>
        <v>-1435528.027149477</v>
      </c>
      <c r="N92" s="42">
        <f>Operations!N162-N90-N91-N10</f>
        <v>-1321539.5447322237</v>
      </c>
      <c r="O92" s="42">
        <f>Operations!O162-O90-O91-O10</f>
        <v>-1206967.281087005</v>
      </c>
      <c r="P92" s="42">
        <f>Operations!P162-P90-P91-P10</f>
        <v>-1216256.1703215982</v>
      </c>
      <c r="Q92" s="42">
        <f>Operations!Q162-Q90-Q91-Q10</f>
        <v>-1103722.5553155164</v>
      </c>
      <c r="R92" s="42">
        <f>Operations!R162-R90-R91-R10</f>
        <v>-991232.857738764</v>
      </c>
      <c r="S92" s="42">
        <f>Operations!S162-S90-S91-S10</f>
        <v>-878281.7712646351</v>
      </c>
      <c r="T92" s="42">
        <f>Operations!T162-T90-T91-T10</f>
        <v>-765482.2053849243</v>
      </c>
      <c r="U92" s="42">
        <f>Operations!U162-U90-U91-U10</f>
        <v>-652732.4526466897</v>
      </c>
      <c r="V92" s="42">
        <f>Operations!V162-V90-V91-V10</f>
        <v>1279347.3980552088</v>
      </c>
      <c r="W92" s="42">
        <f>Operations!W162-W90-W91-W10</f>
        <v>3211764.557211266</v>
      </c>
      <c r="X92" s="42">
        <f>Operations!X162-X90-X91-X10</f>
        <v>3323831.3905526428</v>
      </c>
      <c r="Y92" s="42">
        <f>Operations!Y162-Y90-Y91-Y10</f>
        <v>3411113.229792754</v>
      </c>
      <c r="Z92" s="42">
        <f>Operations!Z162-Z90-Z91-Z10</f>
        <v>3376164.090794377</v>
      </c>
      <c r="AA92" s="42">
        <f>Operations!AA162-AA90-AA91-AA10</f>
        <v>3420395.188587673</v>
      </c>
      <c r="AB92" s="42">
        <f>Operations!AB162-AB90-AB91-AB10</f>
        <v>3463350.456445937</v>
      </c>
      <c r="AC92" s="42">
        <f>Operations!AC162-AC90-AC91-AC10</f>
        <v>3505266.158403921</v>
      </c>
      <c r="AD92" s="42">
        <f>Operations!AD162-AD90-AD91-AD10</f>
        <v>3477222.906069233</v>
      </c>
      <c r="AE92" s="42">
        <f>Operations!AE162-AE90-AE91-AE10</f>
        <v>1822841.6325850182</v>
      </c>
    </row>
    <row r="93">
      <c r="A93" s="6" t="inlineStr">
        <is>
          <t xml:space="preserve">Trade tax: add-back of interest and land lease</t>
        </is>
      </c>
      <c r="B93" s="10" t="inlineStr">
        <is>
          <t xml:space="preserve">€</t>
        </is>
      </c>
      <c r="F93" s="23">
        <f>Inputs!$C$116*MAX(0,F91+Inputs!$C$118*Operations!F155-Inputs!$C$117)</f>
        <v>121122.10256505394</v>
      </c>
      <c r="G93" s="23">
        <f>Inputs!$C$116*MAX(0,G91+Inputs!$C$118*Operations!G155-Inputs!$C$117)</f>
        <v>281012.5793305173</v>
      </c>
      <c r="H93" s="23">
        <f>Inputs!$C$116*MAX(0,H91+Inputs!$C$118*Operations!H155-Inputs!$C$117)</f>
        <v>274097.5854646779</v>
      </c>
      <c r="I93" s="23">
        <f>Inputs!$C$116*MAX(0,I91+Inputs!$C$118*Operations!I155-Inputs!$C$117)</f>
        <v>258838.70980243245</v>
      </c>
      <c r="J93" s="23">
        <f>Inputs!$C$116*MAX(0,J91+Inputs!$C$118*Operations!J155-Inputs!$C$117)</f>
        <v>243597.3257896104</v>
      </c>
      <c r="K93" s="23">
        <f>Inputs!$C$116*MAX(0,K91+Inputs!$C$118*Operations!K155-Inputs!$C$117)</f>
        <v>233010.9052511722</v>
      </c>
      <c r="L93" s="23">
        <f>Inputs!$C$116*MAX(0,L91+Inputs!$C$118*Operations!L155-Inputs!$C$117)</f>
        <v>213168.29495446454</v>
      </c>
      <c r="M93" s="23">
        <f>Inputs!$C$116*MAX(0,M91+Inputs!$C$118*Operations!M155-Inputs!$C$117)</f>
        <v>197981.29345992423</v>
      </c>
      <c r="N93" s="23">
        <f>Inputs!$C$116*MAX(0,N91+Inputs!$C$118*Operations!N155-Inputs!$C$117)</f>
        <v>182813.074474859</v>
      </c>
      <c r="O93" s="23">
        <f>Inputs!$C$116*MAX(0,O91+Inputs!$C$118*Operations!O155-Inputs!$C$117)</f>
        <v>167663.97533313924</v>
      </c>
      <c r="P93" s="23">
        <f>Inputs!$C$116*MAX(0,P91+Inputs!$C$118*Operations!P155-Inputs!$C$117)</f>
        <v>152534.33942715116</v>
      </c>
      <c r="Q93" s="23">
        <f>Inputs!$C$116*MAX(0,Q91+Inputs!$C$118*Operations!Q155-Inputs!$C$117)</f>
        <v>137424.51631660873</v>
      </c>
      <c r="R93" s="23">
        <f>Inputs!$C$116*MAX(0,R91+Inputs!$C$118*Operations!R155-Inputs!$C$117)</f>
        <v>122334.86183931801</v>
      </c>
      <c r="S93" s="23">
        <f>Inputs!$C$116*MAX(0,S91+Inputs!$C$118*Operations!S155-Inputs!$C$117)</f>
        <v>107265.73822393228</v>
      </c>
      <c r="T93" s="23">
        <f>Inputs!$C$116*MAX(0,T91+Inputs!$C$118*Operations!T155-Inputs!$C$117)</f>
        <v>92217.51420473133</v>
      </c>
      <c r="U93" s="23">
        <f>Inputs!$C$116*MAX(0,U91+Inputs!$C$118*Operations!U155-Inputs!$C$117)</f>
        <v>77190.56513846261</v>
      </c>
      <c r="V93" s="23">
        <f>Inputs!$C$116*MAX(0,V91+Inputs!$C$118*Operations!V155-Inputs!$C$117)</f>
        <v>62185.273123280844</v>
      </c>
      <c r="W93" s="23">
        <f>Inputs!$C$116*MAX(0,W91+Inputs!$C$118*Operations!W155-Inputs!$C$117)</f>
        <v>47202.02711982347</v>
      </c>
      <c r="X93" s="23">
        <f>Inputs!$C$116*MAX(0,X91+Inputs!$C$118*Operations!X155-Inputs!$C$117)</f>
        <v>32241.223074461144</v>
      </c>
      <c r="Y93" s="23">
        <f>Inputs!$C$116*MAX(0,Y91+Inputs!$C$118*Operations!Y155-Inputs!$C$117)</f>
        <v>23390.563383230634</v>
      </c>
      <c r="Z93" s="23">
        <f>Inputs!$C$116*MAX(0,Z91+Inputs!$C$118*Operations!Z155-Inputs!$C$117)</f>
        <v>24708.65790159347</v>
      </c>
      <c r="AA93" s="23">
        <f>Inputs!$C$116*MAX(0,AA91+Inputs!$C$118*Operations!AA155-Inputs!$C$117)</f>
        <v>26050.42539750607</v>
      </c>
      <c r="AB93" s="23">
        <f>Inputs!$C$116*MAX(0,AB91+Inputs!$C$118*Operations!AB155-Inputs!$C$117)</f>
        <v>27416.291037645293</v>
      </c>
      <c r="AC93" s="23">
        <f>Inputs!$C$116*MAX(0,AC91+Inputs!$C$118*Operations!AC155-Inputs!$C$117)</f>
        <v>28806.687624681406</v>
      </c>
      <c r="AD93" s="23">
        <f>Inputs!$C$116*MAX(0,AD91+Inputs!$C$118*Operations!AD155-Inputs!$C$117)</f>
        <v>30222.05573442069</v>
      </c>
      <c r="AE93" s="23">
        <f>Inputs!$C$116*MAX(0,AE91+Inputs!$C$118*Operations!AE155-Inputs!$C$117)</f>
        <v>0</v>
      </c>
    </row>
    <row r="94">
      <c r="A94" s="6" t="inlineStr">
        <is>
          <t xml:space="preserve">Trade income before losses</t>
        </is>
      </c>
      <c r="B94" s="10" t="inlineStr">
        <is>
          <t xml:space="preserve">€</t>
        </is>
      </c>
      <c r="F94" s="23">
        <f>F92+F93</f>
        <v>-438185.4720126536</v>
      </c>
      <c r="G94" s="23">
        <f>G92+G93</f>
        <v>-1661097.2614645269</v>
      </c>
      <c r="H94" s="23">
        <f>H92+H93</f>
        <v>-1725670.864622394</v>
      </c>
      <c r="I94" s="23">
        <f>I92+I93</f>
        <v>-1629015.4879687314</v>
      </c>
      <c r="J94" s="23">
        <f>J92+J93</f>
        <v>-1531931.3072679525</v>
      </c>
      <c r="K94" s="23">
        <f>K92+K93</f>
        <v>-1095695.1743743904</v>
      </c>
      <c r="L94" s="23">
        <f>L92+L93</f>
        <v>-1336093.8215848627</v>
      </c>
      <c r="M94" s="23">
        <f>M92+M93</f>
        <v>-1237546.7336895529</v>
      </c>
      <c r="N94" s="23">
        <f>N92+N93</f>
        <v>-1138726.4702573647</v>
      </c>
      <c r="O94" s="23">
        <f>O92+O93</f>
        <v>-1039303.3057538657</v>
      </c>
      <c r="P94" s="23">
        <f>P92+P93</f>
        <v>-1063721.830894447</v>
      </c>
      <c r="Q94" s="23">
        <f>Q92+Q93</f>
        <v>-966298.0389989077</v>
      </c>
      <c r="R94" s="23">
        <f>R92+R93</f>
        <v>-868897.9958994461</v>
      </c>
      <c r="S94" s="23">
        <f>S92+S93</f>
        <v>-771016.0330407028</v>
      </c>
      <c r="T94" s="23">
        <f>T92+T93</f>
        <v>-673264.691180193</v>
      </c>
      <c r="U94" s="23">
        <f>U92+U93</f>
        <v>-575541.8875082271</v>
      </c>
      <c r="V94" s="23">
        <f>V92+V93</f>
        <v>1341532.6711784897</v>
      </c>
      <c r="W94" s="23">
        <f>W92+W93</f>
        <v>3258966.584331089</v>
      </c>
      <c r="X94" s="23">
        <f>X92+X93</f>
        <v>3356072.613627104</v>
      </c>
      <c r="Y94" s="23">
        <f>Y92+Y93</f>
        <v>3434503.7931759846</v>
      </c>
      <c r="Z94" s="23">
        <f>Z92+Z93</f>
        <v>3400872.7486959705</v>
      </c>
      <c r="AA94" s="23">
        <f>AA92+AA93</f>
        <v>3446445.613985179</v>
      </c>
      <c r="AB94" s="23">
        <f>AB92+AB93</f>
        <v>3490766.7474835822</v>
      </c>
      <c r="AC94" s="23">
        <f>AC92+AC93</f>
        <v>3534072.846028602</v>
      </c>
      <c r="AD94" s="23">
        <f>AD92+AD93</f>
        <v>3507444.9618036537</v>
      </c>
      <c r="AE94" s="23">
        <f>AE92+AE93</f>
        <v>1822841.6325850182</v>
      </c>
    </row>
    <row r="95">
      <c r="A95" s="6" t="inlineStr">
        <is>
          <t xml:space="preserve">Trade loss carry-forward at the start</t>
        </is>
      </c>
      <c r="B95" s="10" t="inlineStr">
        <is>
          <t xml:space="preserve">€</t>
        </is>
      </c>
      <c r="E95" s="9">
        <v>0</v>
      </c>
      <c r="F95" s="23">
        <f>E97</f>
        <v>0</v>
      </c>
      <c r="G95" s="23">
        <f>F97</f>
        <v>438185.4720126536</v>
      </c>
      <c r="H95" s="23">
        <f>G97</f>
        <v>2099282.7334771804</v>
      </c>
      <c r="I95" s="23">
        <f>H97</f>
        <v>3824953.5980995744</v>
      </c>
      <c r="J95" s="23">
        <f>I97</f>
        <v>5453969.086068306</v>
      </c>
      <c r="K95" s="23">
        <f>J97</f>
        <v>6985900.393336259</v>
      </c>
      <c r="L95" s="23">
        <f>K97</f>
        <v>8081595.567710649</v>
      </c>
      <c r="M95" s="23">
        <f>L97</f>
        <v>9417689.389295511</v>
      </c>
      <c r="N95" s="23">
        <f>M97</f>
        <v>10655236.122985063</v>
      </c>
      <c r="O95" s="23">
        <f>N97</f>
        <v>11793962.593242427</v>
      </c>
      <c r="P95" s="23">
        <f>O97</f>
        <v>12833265.898996294</v>
      </c>
      <c r="Q95" s="23">
        <f>P97</f>
        <v>13896987.729890741</v>
      </c>
      <c r="R95" s="23">
        <f>Q97</f>
        <v>14863285.768889649</v>
      </c>
      <c r="S95" s="23">
        <f>R97</f>
        <v>15732183.764789095</v>
      </c>
      <c r="T95" s="23">
        <f>S97</f>
        <v>16503199.797829797</v>
      </c>
      <c r="U95" s="23">
        <f>T97</f>
        <v>17176464.48900999</v>
      </c>
      <c r="V95" s="23">
        <f>U97</f>
        <v>17752006.37651822</v>
      </c>
      <c r="W95" s="23">
        <f>V97</f>
        <v>16547086.773811126</v>
      </c>
      <c r="X95" s="23">
        <f>W97</f>
        <v>14191706.823212473</v>
      </c>
      <c r="Y95" s="23">
        <f>X97</f>
        <v>11778063.25503621</v>
      </c>
      <c r="Z95" s="23">
        <f>Y97</f>
        <v>9317360.97913062</v>
      </c>
      <c r="AA95" s="23">
        <f>Z97</f>
        <v>6876837.329913038</v>
      </c>
      <c r="AB95" s="23">
        <f>AA97</f>
        <v>4408969.961521931</v>
      </c>
      <c r="AC95" s="23">
        <f>AB97</f>
        <v>1914509.913031782</v>
      </c>
      <c r="AD95" s="23">
        <f>AC97</f>
        <v>0</v>
      </c>
      <c r="AE95" s="23">
        <f>AD97</f>
        <v>0</v>
      </c>
    </row>
    <row r="96">
      <c r="A96" s="6" t="inlineStr">
        <is>
          <t xml:space="preserve">Trade losses used (€1m in full, 60 % above)</t>
        </is>
      </c>
      <c r="B96" s="10" t="inlineStr">
        <is>
          <t xml:space="preserve">€</t>
        </is>
      </c>
      <c r="F96" s="23">
        <f>IF(F94&gt;0,MIN(F95,MIN(F94,Inputs!$C$119)+Inputs!$C$120*MAX(0,F94-Inputs!$C$119)),0)</f>
        <v>0</v>
      </c>
      <c r="G96" s="23">
        <f>IF(G94&gt;0,MIN(G95,MIN(G94,Inputs!$C$119)+Inputs!$C$120*MAX(0,G94-Inputs!$C$119)),0)</f>
        <v>0</v>
      </c>
      <c r="H96" s="23">
        <f>IF(H94&gt;0,MIN(H95,MIN(H94,Inputs!$C$119)+Inputs!$C$120*MAX(0,H94-Inputs!$C$119)),0)</f>
        <v>0</v>
      </c>
      <c r="I96" s="23">
        <f>IF(I94&gt;0,MIN(I95,MIN(I94,Inputs!$C$119)+Inputs!$C$120*MAX(0,I94-Inputs!$C$119)),0)</f>
        <v>0</v>
      </c>
      <c r="J96" s="23">
        <f>IF(J94&gt;0,MIN(J95,MIN(J94,Inputs!$C$119)+Inputs!$C$120*MAX(0,J94-Inputs!$C$119)),0)</f>
        <v>0</v>
      </c>
      <c r="K96" s="23">
        <f>IF(K94&gt;0,MIN(K95,MIN(K94,Inputs!$C$119)+Inputs!$C$120*MAX(0,K94-Inputs!$C$119)),0)</f>
        <v>0</v>
      </c>
      <c r="L96" s="23">
        <f>IF(L94&gt;0,MIN(L95,MIN(L94,Inputs!$C$119)+Inputs!$C$120*MAX(0,L94-Inputs!$C$119)),0)</f>
        <v>0</v>
      </c>
      <c r="M96" s="23">
        <f>IF(M94&gt;0,MIN(M95,MIN(M94,Inputs!$C$119)+Inputs!$C$120*MAX(0,M94-Inputs!$C$119)),0)</f>
        <v>0</v>
      </c>
      <c r="N96" s="23">
        <f>IF(N94&gt;0,MIN(N95,MIN(N94,Inputs!$C$119)+Inputs!$C$120*MAX(0,N94-Inputs!$C$119)),0)</f>
        <v>0</v>
      </c>
      <c r="O96" s="23">
        <f>IF(O94&gt;0,MIN(O95,MIN(O94,Inputs!$C$119)+Inputs!$C$120*MAX(0,O94-Inputs!$C$119)),0)</f>
        <v>0</v>
      </c>
      <c r="P96" s="23">
        <f>IF(P94&gt;0,MIN(P95,MIN(P94,Inputs!$C$119)+Inputs!$C$120*MAX(0,P94-Inputs!$C$119)),0)</f>
        <v>0</v>
      </c>
      <c r="Q96" s="23">
        <f>IF(Q94&gt;0,MIN(Q95,MIN(Q94,Inputs!$C$119)+Inputs!$C$120*MAX(0,Q94-Inputs!$C$119)),0)</f>
        <v>0</v>
      </c>
      <c r="R96" s="23">
        <f>IF(R94&gt;0,MIN(R95,MIN(R94,Inputs!$C$119)+Inputs!$C$120*MAX(0,R94-Inputs!$C$119)),0)</f>
        <v>0</v>
      </c>
      <c r="S96" s="23">
        <f>IF(S94&gt;0,MIN(S95,MIN(S94,Inputs!$C$119)+Inputs!$C$120*MAX(0,S94-Inputs!$C$119)),0)</f>
        <v>0</v>
      </c>
      <c r="T96" s="23">
        <f>IF(T94&gt;0,MIN(T95,MIN(T94,Inputs!$C$119)+Inputs!$C$120*MAX(0,T94-Inputs!$C$119)),0)</f>
        <v>0</v>
      </c>
      <c r="U96" s="23">
        <f>IF(U94&gt;0,MIN(U95,MIN(U94,Inputs!$C$119)+Inputs!$C$120*MAX(0,U94-Inputs!$C$119)),0)</f>
        <v>0</v>
      </c>
      <c r="V96" s="23">
        <f>IF(V94&gt;0,MIN(V95,MIN(V94,Inputs!$C$119)+Inputs!$C$120*MAX(0,V94-Inputs!$C$119)),0)</f>
        <v>1204919.6027070936</v>
      </c>
      <c r="W96" s="23">
        <f>IF(W94&gt;0,MIN(W95,MIN(W94,Inputs!$C$119)+Inputs!$C$120*MAX(0,W94-Inputs!$C$119)),0)</f>
        <v>2355379.9505986534</v>
      </c>
      <c r="X96" s="23">
        <f>IF(X94&gt;0,MIN(X95,MIN(X94,Inputs!$C$119)+Inputs!$C$120*MAX(0,X94-Inputs!$C$119)),0)</f>
        <v>2413643.568176262</v>
      </c>
      <c r="Y96" s="23">
        <f>IF(Y94&gt;0,MIN(Y95,MIN(Y94,Inputs!$C$119)+Inputs!$C$120*MAX(0,Y94-Inputs!$C$119)),0)</f>
        <v>2460702.2759055905</v>
      </c>
      <c r="Z96" s="23">
        <f>IF(Z94&gt;0,MIN(Z95,MIN(Z94,Inputs!$C$119)+Inputs!$C$120*MAX(0,Z94-Inputs!$C$119)),0)</f>
        <v>2440523.6492175823</v>
      </c>
      <c r="AA96" s="23">
        <f>IF(AA94&gt;0,MIN(AA95,MIN(AA94,Inputs!$C$119)+Inputs!$C$120*MAX(0,AA94-Inputs!$C$119)),0)</f>
        <v>2467867.368391107</v>
      </c>
      <c r="AB96" s="23">
        <f>IF(AB94&gt;0,MIN(AB95,MIN(AB94,Inputs!$C$119)+Inputs!$C$120*MAX(0,AB94-Inputs!$C$119)),0)</f>
        <v>2494460.048490149</v>
      </c>
      <c r="AC96" s="23">
        <f>IF(AC94&gt;0,MIN(AC95,MIN(AC94,Inputs!$C$119)+Inputs!$C$120*MAX(0,AC94-Inputs!$C$119)),0)</f>
        <v>1914509.913031782</v>
      </c>
      <c r="AD96" s="23">
        <f>IF(AD94&gt;0,MIN(AD95,MIN(AD94,Inputs!$C$119)+Inputs!$C$120*MAX(0,AD94-Inputs!$C$119)),0)</f>
        <v>0</v>
      </c>
      <c r="AE96" s="23">
        <f>IF(AE94&gt;0,MIN(AE95,MIN(AE94,Inputs!$C$119)+Inputs!$C$120*MAX(0,AE94-Inputs!$C$119)),0)</f>
        <v>0</v>
      </c>
    </row>
    <row r="97">
      <c r="A97" s="6" t="inlineStr">
        <is>
          <t xml:space="preserve">Trade loss carry-forward at the year end</t>
        </is>
      </c>
      <c r="B97" s="10" t="inlineStr">
        <is>
          <t xml:space="preserve">€</t>
        </is>
      </c>
      <c r="F97" s="23">
        <f>F95-F96+MAX(0,-F94)</f>
        <v>438185.4720126536</v>
      </c>
      <c r="G97" s="23">
        <f>G95-G96+MAX(0,-G94)</f>
        <v>2099282.7334771804</v>
      </c>
      <c r="H97" s="23">
        <f>H95-H96+MAX(0,-H94)</f>
        <v>3824953.5980995744</v>
      </c>
      <c r="I97" s="23">
        <f>I95-I96+MAX(0,-I94)</f>
        <v>5453969.086068306</v>
      </c>
      <c r="J97" s="23">
        <f>J95-J96+MAX(0,-J94)</f>
        <v>6985900.393336259</v>
      </c>
      <c r="K97" s="23">
        <f>K95-K96+MAX(0,-K94)</f>
        <v>8081595.567710649</v>
      </c>
      <c r="L97" s="23">
        <f>L95-L96+MAX(0,-L94)</f>
        <v>9417689.389295511</v>
      </c>
      <c r="M97" s="23">
        <f>M95-M96+MAX(0,-M94)</f>
        <v>10655236.122985063</v>
      </c>
      <c r="N97" s="23">
        <f>N95-N96+MAX(0,-N94)</f>
        <v>11793962.593242427</v>
      </c>
      <c r="O97" s="23">
        <f>O95-O96+MAX(0,-O94)</f>
        <v>12833265.898996294</v>
      </c>
      <c r="P97" s="23">
        <f>P95-P96+MAX(0,-P94)</f>
        <v>13896987.729890741</v>
      </c>
      <c r="Q97" s="23">
        <f>Q95-Q96+MAX(0,-Q94)</f>
        <v>14863285.768889649</v>
      </c>
      <c r="R97" s="23">
        <f>R95-R96+MAX(0,-R94)</f>
        <v>15732183.764789095</v>
      </c>
      <c r="S97" s="23">
        <f>S95-S96+MAX(0,-S94)</f>
        <v>16503199.797829797</v>
      </c>
      <c r="T97" s="23">
        <f>T95-T96+MAX(0,-T94)</f>
        <v>17176464.48900999</v>
      </c>
      <c r="U97" s="23">
        <f>U95-U96+MAX(0,-U94)</f>
        <v>17752006.37651822</v>
      </c>
      <c r="V97" s="23">
        <f>V95-V96+MAX(0,-V94)</f>
        <v>16547086.773811126</v>
      </c>
      <c r="W97" s="23">
        <f>W95-W96+MAX(0,-W94)</f>
        <v>14191706.823212473</v>
      </c>
      <c r="X97" s="23">
        <f>X95-X96+MAX(0,-X94)</f>
        <v>11778063.25503621</v>
      </c>
      <c r="Y97" s="23">
        <f>Y95-Y96+MAX(0,-Y94)</f>
        <v>9317360.97913062</v>
      </c>
      <c r="Z97" s="23">
        <f>Z95-Z96+MAX(0,-Z94)</f>
        <v>6876837.329913038</v>
      </c>
      <c r="AA97" s="23">
        <f>AA95-AA96+MAX(0,-AA94)</f>
        <v>4408969.961521931</v>
      </c>
      <c r="AB97" s="23">
        <f>AB95-AB96+MAX(0,-AB94)</f>
        <v>1914509.913031782</v>
      </c>
      <c r="AC97" s="23">
        <f>AC95-AC96+MAX(0,-AC94)</f>
        <v>0</v>
      </c>
      <c r="AD97" s="23">
        <f>AD95-AD96+MAX(0,-AD94)</f>
        <v>0</v>
      </c>
      <c r="AE97" s="23">
        <f>AE95-AE96+MAX(0,-AE94)</f>
        <v>0</v>
      </c>
    </row>
    <row r="98">
      <c r="A98" s="6" t="inlineStr">
        <is>
          <t xml:space="preserve">Trade tax base (rounded down to €100; KG allowance)</t>
        </is>
      </c>
      <c r="B98" s="10" t="inlineStr">
        <is>
          <t xml:space="preserve">€</t>
        </is>
      </c>
      <c r="F98" s="23">
        <f>IF(Inputs!$C$91="KG",MAX(0,ROUNDDOWN(MAX(0,F94-F96)/100,0)*100-Inputs!$C$115),ROUNDDOWN(MAX(0,F94-F96)/100,0)*100)</f>
        <v>0</v>
      </c>
      <c r="G98" s="23">
        <f>IF(Inputs!$C$91="KG",MAX(0,ROUNDDOWN(MAX(0,G94-G96)/100,0)*100-Inputs!$C$115),ROUNDDOWN(MAX(0,G94-G96)/100,0)*100)</f>
        <v>0</v>
      </c>
      <c r="H98" s="23">
        <f>IF(Inputs!$C$91="KG",MAX(0,ROUNDDOWN(MAX(0,H94-H96)/100,0)*100-Inputs!$C$115),ROUNDDOWN(MAX(0,H94-H96)/100,0)*100)</f>
        <v>0</v>
      </c>
      <c r="I98" s="23">
        <f>IF(Inputs!$C$91="KG",MAX(0,ROUNDDOWN(MAX(0,I94-I96)/100,0)*100-Inputs!$C$115),ROUNDDOWN(MAX(0,I94-I96)/100,0)*100)</f>
        <v>0</v>
      </c>
      <c r="J98" s="23">
        <f>IF(Inputs!$C$91="KG",MAX(0,ROUNDDOWN(MAX(0,J94-J96)/100,0)*100-Inputs!$C$115),ROUNDDOWN(MAX(0,J94-J96)/100,0)*100)</f>
        <v>0</v>
      </c>
      <c r="K98" s="23">
        <f>IF(Inputs!$C$91="KG",MAX(0,ROUNDDOWN(MAX(0,K94-K96)/100,0)*100-Inputs!$C$115),ROUNDDOWN(MAX(0,K94-K96)/100,0)*100)</f>
        <v>0</v>
      </c>
      <c r="L98" s="23">
        <f>IF(Inputs!$C$91="KG",MAX(0,ROUNDDOWN(MAX(0,L94-L96)/100,0)*100-Inputs!$C$115),ROUNDDOWN(MAX(0,L94-L96)/100,0)*100)</f>
        <v>0</v>
      </c>
      <c r="M98" s="23">
        <f>IF(Inputs!$C$91="KG",MAX(0,ROUNDDOWN(MAX(0,M94-M96)/100,0)*100-Inputs!$C$115),ROUNDDOWN(MAX(0,M94-M96)/100,0)*100)</f>
        <v>0</v>
      </c>
      <c r="N98" s="23">
        <f>IF(Inputs!$C$91="KG",MAX(0,ROUNDDOWN(MAX(0,N94-N96)/100,0)*100-Inputs!$C$115),ROUNDDOWN(MAX(0,N94-N96)/100,0)*100)</f>
        <v>0</v>
      </c>
      <c r="O98" s="23">
        <f>IF(Inputs!$C$91="KG",MAX(0,ROUNDDOWN(MAX(0,O94-O96)/100,0)*100-Inputs!$C$115),ROUNDDOWN(MAX(0,O94-O96)/100,0)*100)</f>
        <v>0</v>
      </c>
      <c r="P98" s="23">
        <f>IF(Inputs!$C$91="KG",MAX(0,ROUNDDOWN(MAX(0,P94-P96)/100,0)*100-Inputs!$C$115),ROUNDDOWN(MAX(0,P94-P96)/100,0)*100)</f>
        <v>0</v>
      </c>
      <c r="Q98" s="23">
        <f>IF(Inputs!$C$91="KG",MAX(0,ROUNDDOWN(MAX(0,Q94-Q96)/100,0)*100-Inputs!$C$115),ROUNDDOWN(MAX(0,Q94-Q96)/100,0)*100)</f>
        <v>0</v>
      </c>
      <c r="R98" s="23">
        <f>IF(Inputs!$C$91="KG",MAX(0,ROUNDDOWN(MAX(0,R94-R96)/100,0)*100-Inputs!$C$115),ROUNDDOWN(MAX(0,R94-R96)/100,0)*100)</f>
        <v>0</v>
      </c>
      <c r="S98" s="23">
        <f>IF(Inputs!$C$91="KG",MAX(0,ROUNDDOWN(MAX(0,S94-S96)/100,0)*100-Inputs!$C$115),ROUNDDOWN(MAX(0,S94-S96)/100,0)*100)</f>
        <v>0</v>
      </c>
      <c r="T98" s="23">
        <f>IF(Inputs!$C$91="KG",MAX(0,ROUNDDOWN(MAX(0,T94-T96)/100,0)*100-Inputs!$C$115),ROUNDDOWN(MAX(0,T94-T96)/100,0)*100)</f>
        <v>0</v>
      </c>
      <c r="U98" s="23">
        <f>IF(Inputs!$C$91="KG",MAX(0,ROUNDDOWN(MAX(0,U94-U96)/100,0)*100-Inputs!$C$115),ROUNDDOWN(MAX(0,U94-U96)/100,0)*100)</f>
        <v>0</v>
      </c>
      <c r="V98" s="23">
        <f>IF(Inputs!$C$91="KG",MAX(0,ROUNDDOWN(MAX(0,V94-V96)/100,0)*100-Inputs!$C$115),ROUNDDOWN(MAX(0,V94-V96)/100,0)*100)</f>
        <v>112100</v>
      </c>
      <c r="W98" s="23">
        <f>IF(Inputs!$C$91="KG",MAX(0,ROUNDDOWN(MAX(0,W94-W96)/100,0)*100-Inputs!$C$115),ROUNDDOWN(MAX(0,W94-W96)/100,0)*100)</f>
        <v>879000</v>
      </c>
      <c r="X98" s="23">
        <f>IF(Inputs!$C$91="KG",MAX(0,ROUNDDOWN(MAX(0,X94-X96)/100,0)*100-Inputs!$C$115),ROUNDDOWN(MAX(0,X94-X96)/100,0)*100)</f>
        <v>917900</v>
      </c>
      <c r="Y98" s="23">
        <f>IF(Inputs!$C$91="KG",MAX(0,ROUNDDOWN(MAX(0,Y94-Y96)/100,0)*100-Inputs!$C$115),ROUNDDOWN(MAX(0,Y94-Y96)/100,0)*100)</f>
        <v>949300</v>
      </c>
      <c r="Z98" s="23">
        <f>IF(Inputs!$C$91="KG",MAX(0,ROUNDDOWN(MAX(0,Z94-Z96)/100,0)*100-Inputs!$C$115),ROUNDDOWN(MAX(0,Z94-Z96)/100,0)*100)</f>
        <v>935800</v>
      </c>
      <c r="AA98" s="23">
        <f>IF(Inputs!$C$91="KG",MAX(0,ROUNDDOWN(MAX(0,AA94-AA96)/100,0)*100-Inputs!$C$115),ROUNDDOWN(MAX(0,AA94-AA96)/100,0)*100)</f>
        <v>954000</v>
      </c>
      <c r="AB98" s="23">
        <f>IF(Inputs!$C$91="KG",MAX(0,ROUNDDOWN(MAX(0,AB94-AB96)/100,0)*100-Inputs!$C$115),ROUNDDOWN(MAX(0,AB94-AB96)/100,0)*100)</f>
        <v>971800</v>
      </c>
      <c r="AC98" s="23">
        <f>IF(Inputs!$C$91="KG",MAX(0,ROUNDDOWN(MAX(0,AC94-AC96)/100,0)*100-Inputs!$C$115),ROUNDDOWN(MAX(0,AC94-AC96)/100,0)*100)</f>
        <v>1595000</v>
      </c>
      <c r="AD98" s="23">
        <f>IF(Inputs!$C$91="KG",MAX(0,ROUNDDOWN(MAX(0,AD94-AD96)/100,0)*100-Inputs!$C$115),ROUNDDOWN(MAX(0,AD94-AD96)/100,0)*100)</f>
        <v>3482900</v>
      </c>
      <c r="AE98" s="23">
        <f>IF(Inputs!$C$91="KG",MAX(0,ROUNDDOWN(MAX(0,AE94-AE96)/100,0)*100-Inputs!$C$115),ROUNDDOWN(MAX(0,AE94-AE96)/100,0)*100)</f>
        <v>1798300</v>
      </c>
    </row>
    <row r="99">
      <c r="A99" s="6" t="inlineStr">
        <is>
          <t xml:space="preserve">Trade tax</t>
        </is>
      </c>
      <c r="B99" s="10" t="inlineStr">
        <is>
          <t xml:space="preserve">€</t>
        </is>
      </c>
      <c r="F99" s="23">
        <f>F98*Inputs!$C$114*Inputs!$C$92</f>
        <v>0</v>
      </c>
      <c r="G99" s="23">
        <f>G98*Inputs!$C$114*Inputs!$C$92</f>
        <v>0</v>
      </c>
      <c r="H99" s="23">
        <f>H98*Inputs!$C$114*Inputs!$C$92</f>
        <v>0</v>
      </c>
      <c r="I99" s="23">
        <f>I98*Inputs!$C$114*Inputs!$C$92</f>
        <v>0</v>
      </c>
      <c r="J99" s="23">
        <f>J98*Inputs!$C$114*Inputs!$C$92</f>
        <v>0</v>
      </c>
      <c r="K99" s="23">
        <f>K98*Inputs!$C$114*Inputs!$C$92</f>
        <v>0</v>
      </c>
      <c r="L99" s="23">
        <f>L98*Inputs!$C$114*Inputs!$C$92</f>
        <v>0</v>
      </c>
      <c r="M99" s="23">
        <f>M98*Inputs!$C$114*Inputs!$C$92</f>
        <v>0</v>
      </c>
      <c r="N99" s="23">
        <f>N98*Inputs!$C$114*Inputs!$C$92</f>
        <v>0</v>
      </c>
      <c r="O99" s="23">
        <f>O98*Inputs!$C$114*Inputs!$C$92</f>
        <v>0</v>
      </c>
      <c r="P99" s="23">
        <f>P98*Inputs!$C$114*Inputs!$C$92</f>
        <v>0</v>
      </c>
      <c r="Q99" s="23">
        <f>Q98*Inputs!$C$114*Inputs!$C$92</f>
        <v>0</v>
      </c>
      <c r="R99" s="23">
        <f>R98*Inputs!$C$114*Inputs!$C$92</f>
        <v>0</v>
      </c>
      <c r="S99" s="23">
        <f>S98*Inputs!$C$114*Inputs!$C$92</f>
        <v>0</v>
      </c>
      <c r="T99" s="23">
        <f>T98*Inputs!$C$114*Inputs!$C$92</f>
        <v>0</v>
      </c>
      <c r="U99" s="23">
        <f>U98*Inputs!$C$114*Inputs!$C$92</f>
        <v>0</v>
      </c>
      <c r="V99" s="23">
        <f>V98*Inputs!$C$114*Inputs!$C$92</f>
        <v>15694.000000000002</v>
      </c>
      <c r="W99" s="23">
        <f>W98*Inputs!$C$114*Inputs!$C$92</f>
        <v>123060.00000000001</v>
      </c>
      <c r="X99" s="23">
        <f>X98*Inputs!$C$114*Inputs!$C$92</f>
        <v>128506.00000000001</v>
      </c>
      <c r="Y99" s="23">
        <f>Y98*Inputs!$C$114*Inputs!$C$92</f>
        <v>132902</v>
      </c>
      <c r="Z99" s="23">
        <f>Z98*Inputs!$C$114*Inputs!$C$92</f>
        <v>131012.00000000001</v>
      </c>
      <c r="AA99" s="23">
        <f>AA98*Inputs!$C$114*Inputs!$C$92</f>
        <v>133560</v>
      </c>
      <c r="AB99" s="23">
        <f>AB98*Inputs!$C$114*Inputs!$C$92</f>
        <v>136052</v>
      </c>
      <c r="AC99" s="23">
        <f>AC98*Inputs!$C$114*Inputs!$C$92</f>
        <v>223300.00000000003</v>
      </c>
      <c r="AD99" s="23">
        <f>AD98*Inputs!$C$114*Inputs!$C$92</f>
        <v>487606.00000000006</v>
      </c>
      <c r="AE99" s="23">
        <f>AE98*Inputs!$C$114*Inputs!$C$92</f>
        <v>251762.00000000003</v>
      </c>
    </row>
    <row r="100">
      <c r="A100" s="6" t="inlineStr">
        <is>
          <t xml:space="preserve">Corporate loss carry-forward at the start (GmbH)</t>
        </is>
      </c>
      <c r="B100" s="10" t="inlineStr">
        <is>
          <t xml:space="preserve">€</t>
        </is>
      </c>
      <c r="E100" s="9">
        <v>0</v>
      </c>
      <c r="F100" s="23">
        <f>E103</f>
        <v>0</v>
      </c>
      <c r="G100" s="23">
        <f>F103</f>
        <v>0</v>
      </c>
      <c r="H100" s="23">
        <f>G103</f>
        <v>0</v>
      </c>
      <c r="I100" s="23">
        <f>H103</f>
        <v>0</v>
      </c>
      <c r="J100" s="23">
        <f>I103</f>
        <v>0</v>
      </c>
      <c r="K100" s="23">
        <f>J103</f>
        <v>0</v>
      </c>
      <c r="L100" s="23">
        <f>K103</f>
        <v>0</v>
      </c>
      <c r="M100" s="23">
        <f>L103</f>
        <v>0</v>
      </c>
      <c r="N100" s="23">
        <f>M103</f>
        <v>0</v>
      </c>
      <c r="O100" s="23">
        <f>N103</f>
        <v>0</v>
      </c>
      <c r="P100" s="23">
        <f>O103</f>
        <v>0</v>
      </c>
      <c r="Q100" s="23">
        <f>P103</f>
        <v>0</v>
      </c>
      <c r="R100" s="23">
        <f>Q103</f>
        <v>0</v>
      </c>
      <c r="S100" s="23">
        <f>R103</f>
        <v>0</v>
      </c>
      <c r="T100" s="23">
        <f>S103</f>
        <v>0</v>
      </c>
      <c r="U100" s="23">
        <f>T103</f>
        <v>0</v>
      </c>
      <c r="V100" s="23">
        <f>U103</f>
        <v>0</v>
      </c>
      <c r="W100" s="23">
        <f>V103</f>
        <v>0</v>
      </c>
      <c r="X100" s="23">
        <f>W103</f>
        <v>0</v>
      </c>
      <c r="Y100" s="23">
        <f>X103</f>
        <v>0</v>
      </c>
      <c r="Z100" s="23">
        <f>Y103</f>
        <v>0</v>
      </c>
      <c r="AA100" s="23">
        <f>Z103</f>
        <v>0</v>
      </c>
      <c r="AB100" s="23">
        <f>AA103</f>
        <v>0</v>
      </c>
      <c r="AC100" s="23">
        <f>AB103</f>
        <v>0</v>
      </c>
      <c r="AD100" s="23">
        <f>AC103</f>
        <v>0</v>
      </c>
      <c r="AE100" s="23">
        <f>AD103</f>
        <v>0</v>
      </c>
    </row>
    <row r="101">
      <c r="A101" s="6" t="inlineStr">
        <is>
          <t xml:space="preserve">Corporate tax: share of profit above €1m that losses may offset</t>
        </is>
      </c>
      <c r="F101" s="24">
        <f>IF(Timing!F59&lt;=Inputs!$C$123,Inputs!$C$121,Inputs!$C$122)</f>
        <v>0.6</v>
      </c>
      <c r="G101" s="24">
        <f>IF(Timing!G59&lt;=Inputs!$C$123,Inputs!$C$121,Inputs!$C$122)</f>
        <v>0.6</v>
      </c>
      <c r="H101" s="24">
        <f>IF(Timing!H59&lt;=Inputs!$C$123,Inputs!$C$121,Inputs!$C$122)</f>
        <v>0.6</v>
      </c>
      <c r="I101" s="24">
        <f>IF(Timing!I59&lt;=Inputs!$C$123,Inputs!$C$121,Inputs!$C$122)</f>
        <v>0.6</v>
      </c>
      <c r="J101" s="24">
        <f>IF(Timing!J59&lt;=Inputs!$C$123,Inputs!$C$121,Inputs!$C$122)</f>
        <v>0.6</v>
      </c>
      <c r="K101" s="24">
        <f>IF(Timing!K59&lt;=Inputs!$C$123,Inputs!$C$121,Inputs!$C$122)</f>
        <v>0.6</v>
      </c>
      <c r="L101" s="24">
        <f>IF(Timing!L59&lt;=Inputs!$C$123,Inputs!$C$121,Inputs!$C$122)</f>
        <v>0.6</v>
      </c>
      <c r="M101" s="24">
        <f>IF(Timing!M59&lt;=Inputs!$C$123,Inputs!$C$121,Inputs!$C$122)</f>
        <v>0.6</v>
      </c>
      <c r="N101" s="24">
        <f>IF(Timing!N59&lt;=Inputs!$C$123,Inputs!$C$121,Inputs!$C$122)</f>
        <v>0.6</v>
      </c>
      <c r="O101" s="24">
        <f>IF(Timing!O59&lt;=Inputs!$C$123,Inputs!$C$121,Inputs!$C$122)</f>
        <v>0.6</v>
      </c>
      <c r="P101" s="24">
        <f>IF(Timing!P59&lt;=Inputs!$C$123,Inputs!$C$121,Inputs!$C$122)</f>
        <v>0.6</v>
      </c>
      <c r="Q101" s="24">
        <f>IF(Timing!Q59&lt;=Inputs!$C$123,Inputs!$C$121,Inputs!$C$122)</f>
        <v>0.6</v>
      </c>
      <c r="R101" s="24">
        <f>IF(Timing!R59&lt;=Inputs!$C$123,Inputs!$C$121,Inputs!$C$122)</f>
        <v>0.6</v>
      </c>
      <c r="S101" s="24">
        <f>IF(Timing!S59&lt;=Inputs!$C$123,Inputs!$C$121,Inputs!$C$122)</f>
        <v>0.6</v>
      </c>
      <c r="T101" s="24">
        <f>IF(Timing!T59&lt;=Inputs!$C$123,Inputs!$C$121,Inputs!$C$122)</f>
        <v>0.6</v>
      </c>
      <c r="U101" s="24">
        <f>IF(Timing!U59&lt;=Inputs!$C$123,Inputs!$C$121,Inputs!$C$122)</f>
        <v>0.6</v>
      </c>
      <c r="V101" s="24">
        <f>IF(Timing!V59&lt;=Inputs!$C$123,Inputs!$C$121,Inputs!$C$122)</f>
        <v>0.6</v>
      </c>
      <c r="W101" s="24">
        <f>IF(Timing!W59&lt;=Inputs!$C$123,Inputs!$C$121,Inputs!$C$122)</f>
        <v>0.6</v>
      </c>
      <c r="X101" s="24">
        <f>IF(Timing!X59&lt;=Inputs!$C$123,Inputs!$C$121,Inputs!$C$122)</f>
        <v>0.6</v>
      </c>
      <c r="Y101" s="24">
        <f>IF(Timing!Y59&lt;=Inputs!$C$123,Inputs!$C$121,Inputs!$C$122)</f>
        <v>0.6</v>
      </c>
      <c r="Z101" s="24">
        <f>IF(Timing!Z59&lt;=Inputs!$C$123,Inputs!$C$121,Inputs!$C$122)</f>
        <v>0.6</v>
      </c>
      <c r="AA101" s="24">
        <f>IF(Timing!AA59&lt;=Inputs!$C$123,Inputs!$C$121,Inputs!$C$122)</f>
        <v>0.6</v>
      </c>
      <c r="AB101" s="24">
        <f>IF(Timing!AB59&lt;=Inputs!$C$123,Inputs!$C$121,Inputs!$C$122)</f>
        <v>0.6</v>
      </c>
      <c r="AC101" s="24">
        <f>IF(Timing!AC59&lt;=Inputs!$C$123,Inputs!$C$121,Inputs!$C$122)</f>
        <v>0.6</v>
      </c>
      <c r="AD101" s="24">
        <f>IF(Timing!AD59&lt;=Inputs!$C$123,Inputs!$C$121,Inputs!$C$122)</f>
        <v>0.6</v>
      </c>
      <c r="AE101" s="24">
        <f>IF(Timing!AE59&lt;=Inputs!$C$123,Inputs!$C$121,Inputs!$C$122)</f>
        <v>0.6</v>
      </c>
    </row>
    <row r="102">
      <c r="A102" s="6" t="inlineStr">
        <is>
          <t xml:space="preserve">Corporate losses used</t>
        </is>
      </c>
      <c r="B102" s="10" t="inlineStr">
        <is>
          <t xml:space="preserve">€</t>
        </is>
      </c>
      <c r="F102" s="23">
        <f>IF(AND(Inputs!$C$91="GmbH",F92&gt;0),MIN(F100,MIN(F92,Inputs!$C$119)+F101*MAX(0,F92-Inputs!$C$119)),0)</f>
        <v>0</v>
      </c>
      <c r="G102" s="23">
        <f>IF(AND(Inputs!$C$91="GmbH",G92&gt;0),MIN(G100,MIN(G92,Inputs!$C$119)+G101*MAX(0,G92-Inputs!$C$119)),0)</f>
        <v>0</v>
      </c>
      <c r="H102" s="23">
        <f>IF(AND(Inputs!$C$91="GmbH",H92&gt;0),MIN(H100,MIN(H92,Inputs!$C$119)+H101*MAX(0,H92-Inputs!$C$119)),0)</f>
        <v>0</v>
      </c>
      <c r="I102" s="23">
        <f>IF(AND(Inputs!$C$91="GmbH",I92&gt;0),MIN(I100,MIN(I92,Inputs!$C$119)+I101*MAX(0,I92-Inputs!$C$119)),0)</f>
        <v>0</v>
      </c>
      <c r="J102" s="23">
        <f>IF(AND(Inputs!$C$91="GmbH",J92&gt;0),MIN(J100,MIN(J92,Inputs!$C$119)+J101*MAX(0,J92-Inputs!$C$119)),0)</f>
        <v>0</v>
      </c>
      <c r="K102" s="23">
        <f>IF(AND(Inputs!$C$91="GmbH",K92&gt;0),MIN(K100,MIN(K92,Inputs!$C$119)+K101*MAX(0,K92-Inputs!$C$119)),0)</f>
        <v>0</v>
      </c>
      <c r="L102" s="23">
        <f>IF(AND(Inputs!$C$91="GmbH",L92&gt;0),MIN(L100,MIN(L92,Inputs!$C$119)+L101*MAX(0,L92-Inputs!$C$119)),0)</f>
        <v>0</v>
      </c>
      <c r="M102" s="23">
        <f>IF(AND(Inputs!$C$91="GmbH",M92&gt;0),MIN(M100,MIN(M92,Inputs!$C$119)+M101*MAX(0,M92-Inputs!$C$119)),0)</f>
        <v>0</v>
      </c>
      <c r="N102" s="23">
        <f>IF(AND(Inputs!$C$91="GmbH",N92&gt;0),MIN(N100,MIN(N92,Inputs!$C$119)+N101*MAX(0,N92-Inputs!$C$119)),0)</f>
        <v>0</v>
      </c>
      <c r="O102" s="23">
        <f>IF(AND(Inputs!$C$91="GmbH",O92&gt;0),MIN(O100,MIN(O92,Inputs!$C$119)+O101*MAX(0,O92-Inputs!$C$119)),0)</f>
        <v>0</v>
      </c>
      <c r="P102" s="23">
        <f>IF(AND(Inputs!$C$91="GmbH",P92&gt;0),MIN(P100,MIN(P92,Inputs!$C$119)+P101*MAX(0,P92-Inputs!$C$119)),0)</f>
        <v>0</v>
      </c>
      <c r="Q102" s="23">
        <f>IF(AND(Inputs!$C$91="GmbH",Q92&gt;0),MIN(Q100,MIN(Q92,Inputs!$C$119)+Q101*MAX(0,Q92-Inputs!$C$119)),0)</f>
        <v>0</v>
      </c>
      <c r="R102" s="23">
        <f>IF(AND(Inputs!$C$91="GmbH",R92&gt;0),MIN(R100,MIN(R92,Inputs!$C$119)+R101*MAX(0,R92-Inputs!$C$119)),0)</f>
        <v>0</v>
      </c>
      <c r="S102" s="23">
        <f>IF(AND(Inputs!$C$91="GmbH",S92&gt;0),MIN(S100,MIN(S92,Inputs!$C$119)+S101*MAX(0,S92-Inputs!$C$119)),0)</f>
        <v>0</v>
      </c>
      <c r="T102" s="23">
        <f>IF(AND(Inputs!$C$91="GmbH",T92&gt;0),MIN(T100,MIN(T92,Inputs!$C$119)+T101*MAX(0,T92-Inputs!$C$119)),0)</f>
        <v>0</v>
      </c>
      <c r="U102" s="23">
        <f>IF(AND(Inputs!$C$91="GmbH",U92&gt;0),MIN(U100,MIN(U92,Inputs!$C$119)+U101*MAX(0,U92-Inputs!$C$119)),0)</f>
        <v>0</v>
      </c>
      <c r="V102" s="23">
        <f>IF(AND(Inputs!$C$91="GmbH",V92&gt;0),MIN(V100,MIN(V92,Inputs!$C$119)+V101*MAX(0,V92-Inputs!$C$119)),0)</f>
        <v>0</v>
      </c>
      <c r="W102" s="23">
        <f>IF(AND(Inputs!$C$91="GmbH",W92&gt;0),MIN(W100,MIN(W92,Inputs!$C$119)+W101*MAX(0,W92-Inputs!$C$119)),0)</f>
        <v>0</v>
      </c>
      <c r="X102" s="23">
        <f>IF(AND(Inputs!$C$91="GmbH",X92&gt;0),MIN(X100,MIN(X92,Inputs!$C$119)+X101*MAX(0,X92-Inputs!$C$119)),0)</f>
        <v>0</v>
      </c>
      <c r="Y102" s="23">
        <f>IF(AND(Inputs!$C$91="GmbH",Y92&gt;0),MIN(Y100,MIN(Y92,Inputs!$C$119)+Y101*MAX(0,Y92-Inputs!$C$119)),0)</f>
        <v>0</v>
      </c>
      <c r="Z102" s="23">
        <f>IF(AND(Inputs!$C$91="GmbH",Z92&gt;0),MIN(Z100,MIN(Z92,Inputs!$C$119)+Z101*MAX(0,Z92-Inputs!$C$119)),0)</f>
        <v>0</v>
      </c>
      <c r="AA102" s="23">
        <f>IF(AND(Inputs!$C$91="GmbH",AA92&gt;0),MIN(AA100,MIN(AA92,Inputs!$C$119)+AA101*MAX(0,AA92-Inputs!$C$119)),0)</f>
        <v>0</v>
      </c>
      <c r="AB102" s="23">
        <f>IF(AND(Inputs!$C$91="GmbH",AB92&gt;0),MIN(AB100,MIN(AB92,Inputs!$C$119)+AB101*MAX(0,AB92-Inputs!$C$119)),0)</f>
        <v>0</v>
      </c>
      <c r="AC102" s="23">
        <f>IF(AND(Inputs!$C$91="GmbH",AC92&gt;0),MIN(AC100,MIN(AC92,Inputs!$C$119)+AC101*MAX(0,AC92-Inputs!$C$119)),0)</f>
        <v>0</v>
      </c>
      <c r="AD102" s="23">
        <f>IF(AND(Inputs!$C$91="GmbH",AD92&gt;0),MIN(AD100,MIN(AD92,Inputs!$C$119)+AD101*MAX(0,AD92-Inputs!$C$119)),0)</f>
        <v>0</v>
      </c>
      <c r="AE102" s="23">
        <f>IF(AND(Inputs!$C$91="GmbH",AE92&gt;0),MIN(AE100,MIN(AE92,Inputs!$C$119)+AE101*MAX(0,AE92-Inputs!$C$119)),0)</f>
        <v>0</v>
      </c>
    </row>
    <row r="103">
      <c r="A103" s="6" t="inlineStr">
        <is>
          <t xml:space="preserve">Corporate loss carry-forward at the year end</t>
        </is>
      </c>
      <c r="B103" s="10" t="inlineStr">
        <is>
          <t xml:space="preserve">€</t>
        </is>
      </c>
      <c r="F103" s="23">
        <f>IF(Inputs!$C$91="GmbH",F100-F102+MAX(0,-F92),0)</f>
        <v>0</v>
      </c>
      <c r="G103" s="23">
        <f>IF(Inputs!$C$91="GmbH",G100-G102+MAX(0,-G92),0)</f>
        <v>0</v>
      </c>
      <c r="H103" s="23">
        <f>IF(Inputs!$C$91="GmbH",H100-H102+MAX(0,-H92),0)</f>
        <v>0</v>
      </c>
      <c r="I103" s="23">
        <f>IF(Inputs!$C$91="GmbH",I100-I102+MAX(0,-I92),0)</f>
        <v>0</v>
      </c>
      <c r="J103" s="23">
        <f>IF(Inputs!$C$91="GmbH",J100-J102+MAX(0,-J92),0)</f>
        <v>0</v>
      </c>
      <c r="K103" s="23">
        <f>IF(Inputs!$C$91="GmbH",K100-K102+MAX(0,-K92),0)</f>
        <v>0</v>
      </c>
      <c r="L103" s="23">
        <f>IF(Inputs!$C$91="GmbH",L100-L102+MAX(0,-L92),0)</f>
        <v>0</v>
      </c>
      <c r="M103" s="23">
        <f>IF(Inputs!$C$91="GmbH",M100-M102+MAX(0,-M92),0)</f>
        <v>0</v>
      </c>
      <c r="N103" s="23">
        <f>IF(Inputs!$C$91="GmbH",N100-N102+MAX(0,-N92),0)</f>
        <v>0</v>
      </c>
      <c r="O103" s="23">
        <f>IF(Inputs!$C$91="GmbH",O100-O102+MAX(0,-O92),0)</f>
        <v>0</v>
      </c>
      <c r="P103" s="23">
        <f>IF(Inputs!$C$91="GmbH",P100-P102+MAX(0,-P92),0)</f>
        <v>0</v>
      </c>
      <c r="Q103" s="23">
        <f>IF(Inputs!$C$91="GmbH",Q100-Q102+MAX(0,-Q92),0)</f>
        <v>0</v>
      </c>
      <c r="R103" s="23">
        <f>IF(Inputs!$C$91="GmbH",R100-R102+MAX(0,-R92),0)</f>
        <v>0</v>
      </c>
      <c r="S103" s="23">
        <f>IF(Inputs!$C$91="GmbH",S100-S102+MAX(0,-S92),0)</f>
        <v>0</v>
      </c>
      <c r="T103" s="23">
        <f>IF(Inputs!$C$91="GmbH",T100-T102+MAX(0,-T92),0)</f>
        <v>0</v>
      </c>
      <c r="U103" s="23">
        <f>IF(Inputs!$C$91="GmbH",U100-U102+MAX(0,-U92),0)</f>
        <v>0</v>
      </c>
      <c r="V103" s="23">
        <f>IF(Inputs!$C$91="GmbH",V100-V102+MAX(0,-V92),0)</f>
        <v>0</v>
      </c>
      <c r="W103" s="23">
        <f>IF(Inputs!$C$91="GmbH",W100-W102+MAX(0,-W92),0)</f>
        <v>0</v>
      </c>
      <c r="X103" s="23">
        <f>IF(Inputs!$C$91="GmbH",X100-X102+MAX(0,-X92),0)</f>
        <v>0</v>
      </c>
      <c r="Y103" s="23">
        <f>IF(Inputs!$C$91="GmbH",Y100-Y102+MAX(0,-Y92),0)</f>
        <v>0</v>
      </c>
      <c r="Z103" s="23">
        <f>IF(Inputs!$C$91="GmbH",Z100-Z102+MAX(0,-Z92),0)</f>
        <v>0</v>
      </c>
      <c r="AA103" s="23">
        <f>IF(Inputs!$C$91="GmbH",AA100-AA102+MAX(0,-AA92),0)</f>
        <v>0</v>
      </c>
      <c r="AB103" s="23">
        <f>IF(Inputs!$C$91="GmbH",AB100-AB102+MAX(0,-AB92),0)</f>
        <v>0</v>
      </c>
      <c r="AC103" s="23">
        <f>IF(Inputs!$C$91="GmbH",AC100-AC102+MAX(0,-AC92),0)</f>
        <v>0</v>
      </c>
      <c r="AD103" s="23">
        <f>IF(Inputs!$C$91="GmbH",AD100-AD102+MAX(0,-AD92),0)</f>
        <v>0</v>
      </c>
      <c r="AE103" s="23">
        <f>IF(Inputs!$C$91="GmbH",AE100-AE102+MAX(0,-AE92),0)</f>
        <v>0</v>
      </c>
    </row>
    <row r="104">
      <c r="A104" s="6" t="inlineStr">
        <is>
          <t xml:space="preserve">Corporate taxable income</t>
        </is>
      </c>
      <c r="B104" s="10" t="inlineStr">
        <is>
          <t xml:space="preserve">€</t>
        </is>
      </c>
      <c r="F104" s="23">
        <f>IF(Inputs!$C$91="GmbH",MAX(0,F92-F102),0)</f>
        <v>0</v>
      </c>
      <c r="G104" s="23">
        <f>IF(Inputs!$C$91="GmbH",MAX(0,G92-G102),0)</f>
        <v>0</v>
      </c>
      <c r="H104" s="23">
        <f>IF(Inputs!$C$91="GmbH",MAX(0,H92-H102),0)</f>
        <v>0</v>
      </c>
      <c r="I104" s="23">
        <f>IF(Inputs!$C$91="GmbH",MAX(0,I92-I102),0)</f>
        <v>0</v>
      </c>
      <c r="J104" s="23">
        <f>IF(Inputs!$C$91="GmbH",MAX(0,J92-J102),0)</f>
        <v>0</v>
      </c>
      <c r="K104" s="23">
        <f>IF(Inputs!$C$91="GmbH",MAX(0,K92-K102),0)</f>
        <v>0</v>
      </c>
      <c r="L104" s="23">
        <f>IF(Inputs!$C$91="GmbH",MAX(0,L92-L102),0)</f>
        <v>0</v>
      </c>
      <c r="M104" s="23">
        <f>IF(Inputs!$C$91="GmbH",MAX(0,M92-M102),0)</f>
        <v>0</v>
      </c>
      <c r="N104" s="23">
        <f>IF(Inputs!$C$91="GmbH",MAX(0,N92-N102),0)</f>
        <v>0</v>
      </c>
      <c r="O104" s="23">
        <f>IF(Inputs!$C$91="GmbH",MAX(0,O92-O102),0)</f>
        <v>0</v>
      </c>
      <c r="P104" s="23">
        <f>IF(Inputs!$C$91="GmbH",MAX(0,P92-P102),0)</f>
        <v>0</v>
      </c>
      <c r="Q104" s="23">
        <f>IF(Inputs!$C$91="GmbH",MAX(0,Q92-Q102),0)</f>
        <v>0</v>
      </c>
      <c r="R104" s="23">
        <f>IF(Inputs!$C$91="GmbH",MAX(0,R92-R102),0)</f>
        <v>0</v>
      </c>
      <c r="S104" s="23">
        <f>IF(Inputs!$C$91="GmbH",MAX(0,S92-S102),0)</f>
        <v>0</v>
      </c>
      <c r="T104" s="23">
        <f>IF(Inputs!$C$91="GmbH",MAX(0,T92-T102),0)</f>
        <v>0</v>
      </c>
      <c r="U104" s="23">
        <f>IF(Inputs!$C$91="GmbH",MAX(0,U92-U102),0)</f>
        <v>0</v>
      </c>
      <c r="V104" s="23">
        <f>IF(Inputs!$C$91="GmbH",MAX(0,V92-V102),0)</f>
        <v>0</v>
      </c>
      <c r="W104" s="23">
        <f>IF(Inputs!$C$91="GmbH",MAX(0,W92-W102),0)</f>
        <v>0</v>
      </c>
      <c r="X104" s="23">
        <f>IF(Inputs!$C$91="GmbH",MAX(0,X92-X102),0)</f>
        <v>0</v>
      </c>
      <c r="Y104" s="23">
        <f>IF(Inputs!$C$91="GmbH",MAX(0,Y92-Y102),0)</f>
        <v>0</v>
      </c>
      <c r="Z104" s="23">
        <f>IF(Inputs!$C$91="GmbH",MAX(0,Z92-Z102),0)</f>
        <v>0</v>
      </c>
      <c r="AA104" s="23">
        <f>IF(Inputs!$C$91="GmbH",MAX(0,AA92-AA102),0)</f>
        <v>0</v>
      </c>
      <c r="AB104" s="23">
        <f>IF(Inputs!$C$91="GmbH",MAX(0,AB92-AB102),0)</f>
        <v>0</v>
      </c>
      <c r="AC104" s="23">
        <f>IF(Inputs!$C$91="GmbH",MAX(0,AC92-AC102),0)</f>
        <v>0</v>
      </c>
      <c r="AD104" s="23">
        <f>IF(Inputs!$C$91="GmbH",MAX(0,AD92-AD102),0)</f>
        <v>0</v>
      </c>
      <c r="AE104" s="23">
        <f>IF(Inputs!$C$91="GmbH",MAX(0,AE92-AE102),0)</f>
        <v>0</v>
      </c>
    </row>
    <row r="105">
      <c r="A105" s="6" t="inlineStr">
        <is>
          <t xml:space="preserve">Corporate tax rate (§ 23 KStG)</t>
        </is>
      </c>
      <c r="F105" s="24">
        <f>IF(Inputs!$C$91="GmbH",MAX(Inputs!$C$125,Inputs!$C$124-Inputs!$C$126*MAX(0,Timing!F59-Inputs!$C$127)),0)</f>
        <v>0</v>
      </c>
      <c r="G105" s="24">
        <f>IF(Inputs!$C$91="GmbH",MAX(Inputs!$C$125,Inputs!$C$124-Inputs!$C$126*MAX(0,Timing!G59-Inputs!$C$127)),0)</f>
        <v>0</v>
      </c>
      <c r="H105" s="24">
        <f>IF(Inputs!$C$91="GmbH",MAX(Inputs!$C$125,Inputs!$C$124-Inputs!$C$126*MAX(0,Timing!H59-Inputs!$C$127)),0)</f>
        <v>0</v>
      </c>
      <c r="I105" s="24">
        <f>IF(Inputs!$C$91="GmbH",MAX(Inputs!$C$125,Inputs!$C$124-Inputs!$C$126*MAX(0,Timing!I59-Inputs!$C$127)),0)</f>
        <v>0</v>
      </c>
      <c r="J105" s="24">
        <f>IF(Inputs!$C$91="GmbH",MAX(Inputs!$C$125,Inputs!$C$124-Inputs!$C$126*MAX(0,Timing!J59-Inputs!$C$127)),0)</f>
        <v>0</v>
      </c>
      <c r="K105" s="24">
        <f>IF(Inputs!$C$91="GmbH",MAX(Inputs!$C$125,Inputs!$C$124-Inputs!$C$126*MAX(0,Timing!K59-Inputs!$C$127)),0)</f>
        <v>0</v>
      </c>
      <c r="L105" s="24">
        <f>IF(Inputs!$C$91="GmbH",MAX(Inputs!$C$125,Inputs!$C$124-Inputs!$C$126*MAX(0,Timing!L59-Inputs!$C$127)),0)</f>
        <v>0</v>
      </c>
      <c r="M105" s="24">
        <f>IF(Inputs!$C$91="GmbH",MAX(Inputs!$C$125,Inputs!$C$124-Inputs!$C$126*MAX(0,Timing!M59-Inputs!$C$127)),0)</f>
        <v>0</v>
      </c>
      <c r="N105" s="24">
        <f>IF(Inputs!$C$91="GmbH",MAX(Inputs!$C$125,Inputs!$C$124-Inputs!$C$126*MAX(0,Timing!N59-Inputs!$C$127)),0)</f>
        <v>0</v>
      </c>
      <c r="O105" s="24">
        <f>IF(Inputs!$C$91="GmbH",MAX(Inputs!$C$125,Inputs!$C$124-Inputs!$C$126*MAX(0,Timing!O59-Inputs!$C$127)),0)</f>
        <v>0</v>
      </c>
      <c r="P105" s="24">
        <f>IF(Inputs!$C$91="GmbH",MAX(Inputs!$C$125,Inputs!$C$124-Inputs!$C$126*MAX(0,Timing!P59-Inputs!$C$127)),0)</f>
        <v>0</v>
      </c>
      <c r="Q105" s="24">
        <f>IF(Inputs!$C$91="GmbH",MAX(Inputs!$C$125,Inputs!$C$124-Inputs!$C$126*MAX(0,Timing!Q59-Inputs!$C$127)),0)</f>
        <v>0</v>
      </c>
      <c r="R105" s="24">
        <f>IF(Inputs!$C$91="GmbH",MAX(Inputs!$C$125,Inputs!$C$124-Inputs!$C$126*MAX(0,Timing!R59-Inputs!$C$127)),0)</f>
        <v>0</v>
      </c>
      <c r="S105" s="24">
        <f>IF(Inputs!$C$91="GmbH",MAX(Inputs!$C$125,Inputs!$C$124-Inputs!$C$126*MAX(0,Timing!S59-Inputs!$C$127)),0)</f>
        <v>0</v>
      </c>
      <c r="T105" s="24">
        <f>IF(Inputs!$C$91="GmbH",MAX(Inputs!$C$125,Inputs!$C$124-Inputs!$C$126*MAX(0,Timing!T59-Inputs!$C$127)),0)</f>
        <v>0</v>
      </c>
      <c r="U105" s="24">
        <f>IF(Inputs!$C$91="GmbH",MAX(Inputs!$C$125,Inputs!$C$124-Inputs!$C$126*MAX(0,Timing!U59-Inputs!$C$127)),0)</f>
        <v>0</v>
      </c>
      <c r="V105" s="24">
        <f>IF(Inputs!$C$91="GmbH",MAX(Inputs!$C$125,Inputs!$C$124-Inputs!$C$126*MAX(0,Timing!V59-Inputs!$C$127)),0)</f>
        <v>0</v>
      </c>
      <c r="W105" s="24">
        <f>IF(Inputs!$C$91="GmbH",MAX(Inputs!$C$125,Inputs!$C$124-Inputs!$C$126*MAX(0,Timing!W59-Inputs!$C$127)),0)</f>
        <v>0</v>
      </c>
      <c r="X105" s="24">
        <f>IF(Inputs!$C$91="GmbH",MAX(Inputs!$C$125,Inputs!$C$124-Inputs!$C$126*MAX(0,Timing!X59-Inputs!$C$127)),0)</f>
        <v>0</v>
      </c>
      <c r="Y105" s="24">
        <f>IF(Inputs!$C$91="GmbH",MAX(Inputs!$C$125,Inputs!$C$124-Inputs!$C$126*MAX(0,Timing!Y59-Inputs!$C$127)),0)</f>
        <v>0</v>
      </c>
      <c r="Z105" s="24">
        <f>IF(Inputs!$C$91="GmbH",MAX(Inputs!$C$125,Inputs!$C$124-Inputs!$C$126*MAX(0,Timing!Z59-Inputs!$C$127)),0)</f>
        <v>0</v>
      </c>
      <c r="AA105" s="24">
        <f>IF(Inputs!$C$91="GmbH",MAX(Inputs!$C$125,Inputs!$C$124-Inputs!$C$126*MAX(0,Timing!AA59-Inputs!$C$127)),0)</f>
        <v>0</v>
      </c>
      <c r="AB105" s="24">
        <f>IF(Inputs!$C$91="GmbH",MAX(Inputs!$C$125,Inputs!$C$124-Inputs!$C$126*MAX(0,Timing!AB59-Inputs!$C$127)),0)</f>
        <v>0</v>
      </c>
      <c r="AC105" s="24">
        <f>IF(Inputs!$C$91="GmbH",MAX(Inputs!$C$125,Inputs!$C$124-Inputs!$C$126*MAX(0,Timing!AC59-Inputs!$C$127)),0)</f>
        <v>0</v>
      </c>
      <c r="AD105" s="24">
        <f>IF(Inputs!$C$91="GmbH",MAX(Inputs!$C$125,Inputs!$C$124-Inputs!$C$126*MAX(0,Timing!AD59-Inputs!$C$127)),0)</f>
        <v>0</v>
      </c>
      <c r="AE105" s="24">
        <f>IF(Inputs!$C$91="GmbH",MAX(Inputs!$C$125,Inputs!$C$124-Inputs!$C$126*MAX(0,Timing!AE59-Inputs!$C$127)),0)</f>
        <v>0</v>
      </c>
    </row>
    <row r="106">
      <c r="A106" s="6" t="inlineStr">
        <is>
          <t xml:space="preserve">Corporate tax</t>
        </is>
      </c>
      <c r="B106" s="10" t="inlineStr">
        <is>
          <t xml:space="preserve">€</t>
        </is>
      </c>
      <c r="F106" s="23">
        <f>F104*F105</f>
        <v>0</v>
      </c>
      <c r="G106" s="23">
        <f>G104*G105</f>
        <v>0</v>
      </c>
      <c r="H106" s="23">
        <f>H104*H105</f>
        <v>0</v>
      </c>
      <c r="I106" s="23">
        <f>I104*I105</f>
        <v>0</v>
      </c>
      <c r="J106" s="23">
        <f>J104*J105</f>
        <v>0</v>
      </c>
      <c r="K106" s="23">
        <f>K104*K105</f>
        <v>0</v>
      </c>
      <c r="L106" s="23">
        <f>L104*L105</f>
        <v>0</v>
      </c>
      <c r="M106" s="23">
        <f>M104*M105</f>
        <v>0</v>
      </c>
      <c r="N106" s="23">
        <f>N104*N105</f>
        <v>0</v>
      </c>
      <c r="O106" s="23">
        <f>O104*O105</f>
        <v>0</v>
      </c>
      <c r="P106" s="23">
        <f>P104*P105</f>
        <v>0</v>
      </c>
      <c r="Q106" s="23">
        <f>Q104*Q105</f>
        <v>0</v>
      </c>
      <c r="R106" s="23">
        <f>R104*R105</f>
        <v>0</v>
      </c>
      <c r="S106" s="23">
        <f>S104*S105</f>
        <v>0</v>
      </c>
      <c r="T106" s="23">
        <f>T104*T105</f>
        <v>0</v>
      </c>
      <c r="U106" s="23">
        <f>U104*U105</f>
        <v>0</v>
      </c>
      <c r="V106" s="23">
        <f>V104*V105</f>
        <v>0</v>
      </c>
      <c r="W106" s="23">
        <f>W104*W105</f>
        <v>0</v>
      </c>
      <c r="X106" s="23">
        <f>X104*X105</f>
        <v>0</v>
      </c>
      <c r="Y106" s="23">
        <f>Y104*Y105</f>
        <v>0</v>
      </c>
      <c r="Z106" s="23">
        <f>Z104*Z105</f>
        <v>0</v>
      </c>
      <c r="AA106" s="23">
        <f>AA104*AA105</f>
        <v>0</v>
      </c>
      <c r="AB106" s="23">
        <f>AB104*AB105</f>
        <v>0</v>
      </c>
      <c r="AC106" s="23">
        <f>AC104*AC105</f>
        <v>0</v>
      </c>
      <c r="AD106" s="23">
        <f>AD104*AD105</f>
        <v>0</v>
      </c>
      <c r="AE106" s="23">
        <f>AE104*AE105</f>
        <v>0</v>
      </c>
    </row>
    <row r="107">
      <c r="A107" s="6" t="inlineStr">
        <is>
          <t xml:space="preserve">Solidarity surcharge</t>
        </is>
      </c>
      <c r="B107" s="10" t="inlineStr">
        <is>
          <t xml:space="preserve">€</t>
        </is>
      </c>
      <c r="F107" s="23">
        <f>F106*Inputs!$C$128</f>
        <v>0</v>
      </c>
      <c r="G107" s="23">
        <f>G106*Inputs!$C$128</f>
        <v>0</v>
      </c>
      <c r="H107" s="23">
        <f>H106*Inputs!$C$128</f>
        <v>0</v>
      </c>
      <c r="I107" s="23">
        <f>I106*Inputs!$C$128</f>
        <v>0</v>
      </c>
      <c r="J107" s="23">
        <f>J106*Inputs!$C$128</f>
        <v>0</v>
      </c>
      <c r="K107" s="23">
        <f>K106*Inputs!$C$128</f>
        <v>0</v>
      </c>
      <c r="L107" s="23">
        <f>L106*Inputs!$C$128</f>
        <v>0</v>
      </c>
      <c r="M107" s="23">
        <f>M106*Inputs!$C$128</f>
        <v>0</v>
      </c>
      <c r="N107" s="23">
        <f>N106*Inputs!$C$128</f>
        <v>0</v>
      </c>
      <c r="O107" s="23">
        <f>O106*Inputs!$C$128</f>
        <v>0</v>
      </c>
      <c r="P107" s="23">
        <f>P106*Inputs!$C$128</f>
        <v>0</v>
      </c>
      <c r="Q107" s="23">
        <f>Q106*Inputs!$C$128</f>
        <v>0</v>
      </c>
      <c r="R107" s="23">
        <f>R106*Inputs!$C$128</f>
        <v>0</v>
      </c>
      <c r="S107" s="23">
        <f>S106*Inputs!$C$128</f>
        <v>0</v>
      </c>
      <c r="T107" s="23">
        <f>T106*Inputs!$C$128</f>
        <v>0</v>
      </c>
      <c r="U107" s="23">
        <f>U106*Inputs!$C$128</f>
        <v>0</v>
      </c>
      <c r="V107" s="23">
        <f>V106*Inputs!$C$128</f>
        <v>0</v>
      </c>
      <c r="W107" s="23">
        <f>W106*Inputs!$C$128</f>
        <v>0</v>
      </c>
      <c r="X107" s="23">
        <f>X106*Inputs!$C$128</f>
        <v>0</v>
      </c>
      <c r="Y107" s="23">
        <f>Y106*Inputs!$C$128</f>
        <v>0</v>
      </c>
      <c r="Z107" s="23">
        <f>Z106*Inputs!$C$128</f>
        <v>0</v>
      </c>
      <c r="AA107" s="23">
        <f>AA106*Inputs!$C$128</f>
        <v>0</v>
      </c>
      <c r="AB107" s="23">
        <f>AB106*Inputs!$C$128</f>
        <v>0</v>
      </c>
      <c r="AC107" s="23">
        <f>AC106*Inputs!$C$128</f>
        <v>0</v>
      </c>
      <c r="AD107" s="23">
        <f>AD106*Inputs!$C$128</f>
        <v>0</v>
      </c>
      <c r="AE107" s="23">
        <f>AE106*Inputs!$C$128</f>
        <v>0</v>
      </c>
    </row>
    <row r="108">
      <c r="A108" s="41" t="inlineStr">
        <is>
          <t xml:space="preserve">Taxes</t>
        </is>
      </c>
      <c r="B108" s="10" t="inlineStr">
        <is>
          <t xml:space="preserve">€</t>
        </is>
      </c>
      <c r="F108" s="42">
        <f>F99+F106+F107</f>
        <v>0</v>
      </c>
      <c r="G108" s="42">
        <f>G99+G106+G107</f>
        <v>0</v>
      </c>
      <c r="H108" s="42">
        <f>H99+H106+H107</f>
        <v>0</v>
      </c>
      <c r="I108" s="42">
        <f>I99+I106+I107</f>
        <v>0</v>
      </c>
      <c r="J108" s="42">
        <f>J99+J106+J107</f>
        <v>0</v>
      </c>
      <c r="K108" s="42">
        <f>K99+K106+K107</f>
        <v>0</v>
      </c>
      <c r="L108" s="42">
        <f>L99+L106+L107</f>
        <v>0</v>
      </c>
      <c r="M108" s="42">
        <f>M99+M106+M107</f>
        <v>0</v>
      </c>
      <c r="N108" s="42">
        <f>N99+N106+N107</f>
        <v>0</v>
      </c>
      <c r="O108" s="42">
        <f>O99+O106+O107</f>
        <v>0</v>
      </c>
      <c r="P108" s="42">
        <f>P99+P106+P107</f>
        <v>0</v>
      </c>
      <c r="Q108" s="42">
        <f>Q99+Q106+Q107</f>
        <v>0</v>
      </c>
      <c r="R108" s="42">
        <f>R99+R106+R107</f>
        <v>0</v>
      </c>
      <c r="S108" s="42">
        <f>S99+S106+S107</f>
        <v>0</v>
      </c>
      <c r="T108" s="42">
        <f>T99+T106+T107</f>
        <v>0</v>
      </c>
      <c r="U108" s="42">
        <f>U99+U106+U107</f>
        <v>0</v>
      </c>
      <c r="V108" s="42">
        <f>V99+V106+V107</f>
        <v>15694.000000000002</v>
      </c>
      <c r="W108" s="42">
        <f>W99+W106+W107</f>
        <v>123060.00000000001</v>
      </c>
      <c r="X108" s="42">
        <f>X99+X106+X107</f>
        <v>128506.00000000001</v>
      </c>
      <c r="Y108" s="42">
        <f>Y99+Y106+Y107</f>
        <v>132902</v>
      </c>
      <c r="Z108" s="42">
        <f>Z99+Z106+Z107</f>
        <v>131012.00000000001</v>
      </c>
      <c r="AA108" s="42">
        <f>AA99+AA106+AA107</f>
        <v>133560</v>
      </c>
      <c r="AB108" s="42">
        <f>AB99+AB106+AB107</f>
        <v>136052</v>
      </c>
      <c r="AC108" s="42">
        <f>AC99+AC106+AC107</f>
        <v>223300.00000000003</v>
      </c>
      <c r="AD108" s="42">
        <f>AD99+AD106+AD107</f>
        <v>487606.00000000006</v>
      </c>
      <c r="AE108" s="42">
        <f>AE99+AE106+AE107</f>
        <v>251762.00000000003</v>
      </c>
    </row>
    <row r="109">
      <c r="A109" s="41" t="inlineStr">
        <is>
          <t xml:space="preserve">CFADS: EBITDA − change in working capital − taxes</t>
        </is>
      </c>
      <c r="B109" s="10" t="inlineStr">
        <is>
          <t xml:space="preserve">€</t>
        </is>
      </c>
      <c r="F109" s="42">
        <f>Operations!F162-Operations!F170-F108</f>
        <v>1887051.1949932326</v>
      </c>
      <c r="G109" s="42">
        <f>Operations!G162-Operations!G170-G108</f>
        <v>2891300.796933104</v>
      </c>
      <c r="H109" s="42">
        <f>Operations!H162-Operations!H170-H108</f>
        <v>2747393.1974834823</v>
      </c>
      <c r="I109" s="42">
        <f>Operations!I162-Operations!I170-I108</f>
        <v>2785821.947840727</v>
      </c>
      <c r="J109" s="42">
        <f>Operations!J162-Operations!J170-J108</f>
        <v>2837853.0981292613</v>
      </c>
      <c r="K109" s="42">
        <f>Operations!K162-Operations!K170-K108</f>
        <v>2851595.982314709</v>
      </c>
      <c r="L109" s="42">
        <f>Operations!L162-Operations!L170-L108</f>
        <v>3311534.209424312</v>
      </c>
      <c r="M109" s="42">
        <f>Operations!M162-Operations!M170-M108</f>
        <v>2995214.661760493</v>
      </c>
      <c r="N109" s="42">
        <f>Operations!N162-Operations!N170-N108</f>
        <v>3050908.570415697</v>
      </c>
      <c r="O109" s="42">
        <f>Operations!O162-Operations!O170-O108</f>
        <v>3104286.2016449817</v>
      </c>
      <c r="P109" s="42">
        <f>Operations!P162-Operations!P170-P108</f>
        <v>3037818.6590970466</v>
      </c>
      <c r="Q109" s="42">
        <f>Operations!Q162-Operations!Q170-Q108</f>
        <v>3092803.3010314982</v>
      </c>
      <c r="R109" s="42">
        <f>Operations!R162-Operations!R170-R108</f>
        <v>3149887.037150371</v>
      </c>
      <c r="S109" s="42">
        <f>Operations!S162-Operations!S170-S108</f>
        <v>3204429.6246665204</v>
      </c>
      <c r="T109" s="42">
        <f>Operations!T162-Operations!T170-T108</f>
        <v>3263431.3424560083</v>
      </c>
      <c r="U109" s="42">
        <f>Operations!U162-Operations!U170-U108</f>
        <v>3322252.483971308</v>
      </c>
      <c r="V109" s="42">
        <f>Operations!V162-Operations!V170-V108</f>
        <v>3367629.6744105457</v>
      </c>
      <c r="W109" s="42">
        <f>Operations!W162-Operations!W170-W108</f>
        <v>3318602.1472976217</v>
      </c>
      <c r="X109" s="42">
        <f>Operations!X162-Operations!X170-X108</f>
        <v>3376278.710963452</v>
      </c>
      <c r="Y109" s="42">
        <f>Operations!Y162-Operations!Y170-Y108</f>
        <v>3434807.1715150094</v>
      </c>
      <c r="Z109" s="42">
        <f>Operations!Z162-Operations!Z170-Z108</f>
        <v>3421385.3769154726</v>
      </c>
      <c r="AA109" s="42">
        <f>Operations!AA162-Operations!AA170-AA108</f>
        <v>3479621.929518473</v>
      </c>
      <c r="AB109" s="42">
        <f>Operations!AB162-Operations!AB170-AB108</f>
        <v>3543014.91257796</v>
      </c>
      <c r="AC109" s="42">
        <f>Operations!AC162-Operations!AC170-AC108</f>
        <v>3521401.717710882</v>
      </c>
      <c r="AD109" s="42">
        <f>Operations!AD162-Operations!AD170-AD108</f>
        <v>3325282.1203396544</v>
      </c>
      <c r="AE109" s="42">
        <f>Operations!AE162-Operations!AE170-AE108</f>
        <v>2202700.325412804</v>
      </c>
    </row>
    <row r="111">
      <c r="A111" s="5" t="inlineStr">
        <is>
          <t xml:space="preserve">Downside</t>
        </is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>
      <c r="A112" s="6" t="inlineStr">
        <is>
          <t xml:space="preserve">Depreciable base: capex and capitalised financing costs</t>
        </is>
      </c>
      <c r="B112" s="10" t="inlineStr">
        <is>
          <t xml:space="preserve">€</t>
        </is>
      </c>
      <c r="C112" s="45">
        <f>Construction!$C$83</f>
        <v>61094899.20535244</v>
      </c>
    </row>
    <row r="113">
      <c r="A113" s="6" t="inlineStr">
        <is>
          <t xml:space="preserve">Book value at the start of the year</t>
        </is>
      </c>
      <c r="B113" s="10" t="inlineStr">
        <is>
          <t xml:space="preserve">€</t>
        </is>
      </c>
      <c r="F113" s="23">
        <f>E120</f>
        <v>61094899.20535244</v>
      </c>
      <c r="G113" s="23">
        <f>F120</f>
        <v>59185683.60518517</v>
      </c>
      <c r="H113" s="23">
        <f>G120</f>
        <v>55367252.40485065</v>
      </c>
      <c r="I113" s="23">
        <f>H120</f>
        <v>51548821.20451612</v>
      </c>
      <c r="J113" s="23">
        <f>I120</f>
        <v>47730390.00418159</v>
      </c>
      <c r="K113" s="23">
        <f>J120</f>
        <v>43911958.80384707</v>
      </c>
      <c r="L113" s="23">
        <f>K120</f>
        <v>40093527.60351254</v>
      </c>
      <c r="M113" s="23">
        <f>L120</f>
        <v>36275096.403178014</v>
      </c>
      <c r="N113" s="23">
        <f>M120</f>
        <v>32456665.202843487</v>
      </c>
      <c r="O113" s="23">
        <f>N120</f>
        <v>28638234.00250896</v>
      </c>
      <c r="P113" s="23">
        <f>O120</f>
        <v>24819802.802174434</v>
      </c>
      <c r="Q113" s="23">
        <f>P120</f>
        <v>21001371.601839907</v>
      </c>
      <c r="R113" s="23">
        <f>Q120</f>
        <v>17182940.40150538</v>
      </c>
      <c r="S113" s="23">
        <f>R120</f>
        <v>13364509.201170852</v>
      </c>
      <c r="T113" s="23">
        <f>S120</f>
        <v>9546078.000836324</v>
      </c>
      <c r="U113" s="23">
        <f>T120</f>
        <v>5727646.800501795</v>
      </c>
      <c r="V113" s="23">
        <f>U120</f>
        <v>1909215.6001672647</v>
      </c>
      <c r="W113" s="23">
        <f>V120</f>
        <v>0</v>
      </c>
      <c r="X113" s="23">
        <f>W120</f>
        <v>0</v>
      </c>
      <c r="Y113" s="23">
        <f>X120</f>
        <v>0</v>
      </c>
      <c r="Z113" s="23">
        <f>Y120</f>
        <v>0</v>
      </c>
      <c r="AA113" s="23">
        <f>Z120</f>
        <v>0</v>
      </c>
      <c r="AB113" s="23">
        <f>AA120</f>
        <v>0</v>
      </c>
      <c r="AC113" s="23">
        <f>AB120</f>
        <v>0</v>
      </c>
      <c r="AD113" s="23">
        <f>AC120</f>
        <v>0</v>
      </c>
      <c r="AE113" s="23">
        <f>AD120</f>
        <v>0</v>
      </c>
    </row>
    <row r="114">
      <c r="A114" s="6" t="inlineStr">
        <is>
          <t xml:space="preserve">Months depreciated before the year</t>
        </is>
      </c>
      <c r="E114" s="9">
        <v>0</v>
      </c>
      <c r="F114" s="23">
        <f>E121</f>
        <v>0</v>
      </c>
      <c r="G114" s="23">
        <f>F121</f>
        <v>6</v>
      </c>
      <c r="H114" s="23">
        <f>G121</f>
        <v>18</v>
      </c>
      <c r="I114" s="23">
        <f>H121</f>
        <v>30</v>
      </c>
      <c r="J114" s="23">
        <f>I121</f>
        <v>42</v>
      </c>
      <c r="K114" s="23">
        <f>J121</f>
        <v>54</v>
      </c>
      <c r="L114" s="23">
        <f>K121</f>
        <v>66</v>
      </c>
      <c r="M114" s="23">
        <f>L121</f>
        <v>78</v>
      </c>
      <c r="N114" s="23">
        <f>M121</f>
        <v>90</v>
      </c>
      <c r="O114" s="23">
        <f>N121</f>
        <v>102</v>
      </c>
      <c r="P114" s="23">
        <f>O121</f>
        <v>114</v>
      </c>
      <c r="Q114" s="23">
        <f>P121</f>
        <v>126</v>
      </c>
      <c r="R114" s="23">
        <f>Q121</f>
        <v>138</v>
      </c>
      <c r="S114" s="23">
        <f>R121</f>
        <v>150</v>
      </c>
      <c r="T114" s="23">
        <f>S121</f>
        <v>162</v>
      </c>
      <c r="U114" s="23">
        <f>T121</f>
        <v>174</v>
      </c>
      <c r="V114" s="23">
        <f>U121</f>
        <v>186</v>
      </c>
      <c r="W114" s="23">
        <f>V121</f>
        <v>198</v>
      </c>
      <c r="X114" s="23">
        <f>W121</f>
        <v>198</v>
      </c>
      <c r="Y114" s="23">
        <f>X121</f>
        <v>198</v>
      </c>
      <c r="Z114" s="23">
        <f>Y121</f>
        <v>198</v>
      </c>
      <c r="AA114" s="23">
        <f>Z121</f>
        <v>198</v>
      </c>
      <c r="AB114" s="23">
        <f>AA121</f>
        <v>198</v>
      </c>
      <c r="AC114" s="23">
        <f>AB121</f>
        <v>198</v>
      </c>
      <c r="AD114" s="23">
        <f>AC121</f>
        <v>198</v>
      </c>
      <c r="AE114" s="23">
        <f>AD121</f>
        <v>198</v>
      </c>
    </row>
    <row r="115">
      <c r="A115" s="6" t="inlineStr">
        <is>
          <t xml:space="preserve">Remaining useful life</t>
        </is>
      </c>
      <c r="B115" s="10" t="inlineStr">
        <is>
          <t xml:space="preserve">years</t>
        </is>
      </c>
      <c r="F115" s="21">
        <f>Inputs!$C$93-F114/12</f>
        <v>16</v>
      </c>
      <c r="G115" s="21">
        <f>Inputs!$C$93-G114/12</f>
        <v>15.5</v>
      </c>
      <c r="H115" s="21">
        <f>Inputs!$C$93-H114/12</f>
        <v>14.5</v>
      </c>
      <c r="I115" s="21">
        <f>Inputs!$C$93-I114/12</f>
        <v>13.5</v>
      </c>
      <c r="J115" s="21">
        <f>Inputs!$C$93-J114/12</f>
        <v>12.5</v>
      </c>
      <c r="K115" s="21">
        <f>Inputs!$C$93-K114/12</f>
        <v>11.5</v>
      </c>
      <c r="L115" s="21">
        <f>Inputs!$C$93-L114/12</f>
        <v>10.5</v>
      </c>
      <c r="M115" s="21">
        <f>Inputs!$C$93-M114/12</f>
        <v>9.5</v>
      </c>
      <c r="N115" s="21">
        <f>Inputs!$C$93-N114/12</f>
        <v>8.5</v>
      </c>
      <c r="O115" s="21">
        <f>Inputs!$C$93-O114/12</f>
        <v>7.5</v>
      </c>
      <c r="P115" s="21">
        <f>Inputs!$C$93-P114/12</f>
        <v>6.5</v>
      </c>
      <c r="Q115" s="21">
        <f>Inputs!$C$93-Q114/12</f>
        <v>5.5</v>
      </c>
      <c r="R115" s="21">
        <f>Inputs!$C$93-R114/12</f>
        <v>4.5</v>
      </c>
      <c r="S115" s="21">
        <f>Inputs!$C$93-S114/12</f>
        <v>3.5</v>
      </c>
      <c r="T115" s="21">
        <f>Inputs!$C$93-T114/12</f>
        <v>2.5</v>
      </c>
      <c r="U115" s="21">
        <f>Inputs!$C$93-U114/12</f>
        <v>1.5</v>
      </c>
      <c r="V115" s="21">
        <f>Inputs!$C$93-V114/12</f>
        <v>0.5</v>
      </c>
      <c r="W115" s="21">
        <f>Inputs!$C$93-W114/12</f>
        <v>-0.5</v>
      </c>
      <c r="X115" s="21">
        <f>Inputs!$C$93-X114/12</f>
        <v>-0.5</v>
      </c>
      <c r="Y115" s="21">
        <f>Inputs!$C$93-Y114/12</f>
        <v>-0.5</v>
      </c>
      <c r="Z115" s="21">
        <f>Inputs!$C$93-Z114/12</f>
        <v>-0.5</v>
      </c>
      <c r="AA115" s="21">
        <f>Inputs!$C$93-AA114/12</f>
        <v>-0.5</v>
      </c>
      <c r="AB115" s="21">
        <f>Inputs!$C$93-AB114/12</f>
        <v>-0.5</v>
      </c>
      <c r="AC115" s="21">
        <f>Inputs!$C$93-AC114/12</f>
        <v>-0.5</v>
      </c>
      <c r="AD115" s="21">
        <f>Inputs!$C$93-AD114/12</f>
        <v>-0.5</v>
      </c>
      <c r="AE115" s="21">
        <f>Inputs!$C$93-AE114/12</f>
        <v>-0.5</v>
      </c>
    </row>
    <row r="116">
      <c r="A116" s="6" t="inlineStr">
        <is>
          <t xml:space="preserve">Straight-line amount</t>
        </is>
      </c>
      <c r="B116" s="10" t="inlineStr">
        <is>
          <t xml:space="preserve">€</t>
        </is>
      </c>
      <c r="F116" s="23">
        <f>IF(F115&gt;0,F113/F115*Timing!F87/12,F113)</f>
        <v>1909215.6001672638</v>
      </c>
      <c r="G116" s="23">
        <f>IF(G115&gt;0,G113/G115*Timing!G87/12,G113)</f>
        <v>3818431.2003345275</v>
      </c>
      <c r="H116" s="23">
        <f>IF(H115&gt;0,H113/H115*Timing!H87/12,H113)</f>
        <v>3818431.2003345275</v>
      </c>
      <c r="I116" s="23">
        <f>IF(I115&gt;0,I113/I115*Timing!I87/12,I113)</f>
        <v>3818431.2003345275</v>
      </c>
      <c r="J116" s="23">
        <f>IF(J115&gt;0,J113/J115*Timing!J87/12,J113)</f>
        <v>3818431.2003345275</v>
      </c>
      <c r="K116" s="23">
        <f>IF(K115&gt;0,K113/K115*Timing!K87/12,K113)</f>
        <v>3818431.2003345275</v>
      </c>
      <c r="L116" s="23">
        <f>IF(L115&gt;0,L113/L115*Timing!L87/12,L113)</f>
        <v>3818431.2003345275</v>
      </c>
      <c r="M116" s="23">
        <f>IF(M115&gt;0,M113/M115*Timing!M87/12,M113)</f>
        <v>3818431.200334528</v>
      </c>
      <c r="N116" s="23">
        <f>IF(N115&gt;0,N113/N115*Timing!N87/12,N113)</f>
        <v>3818431.200334528</v>
      </c>
      <c r="O116" s="23">
        <f>IF(O115&gt;0,O113/O115*Timing!O87/12,O113)</f>
        <v>3818431.200334528</v>
      </c>
      <c r="P116" s="23">
        <f>IF(P115&gt;0,P113/P115*Timing!P87/12,P113)</f>
        <v>3818431.2003345285</v>
      </c>
      <c r="Q116" s="23">
        <f>IF(Q115&gt;0,Q113/Q115*Timing!Q87/12,Q113)</f>
        <v>3818431.2003345285</v>
      </c>
      <c r="R116" s="23">
        <f>IF(R115&gt;0,R113/R115*Timing!R87/12,R113)</f>
        <v>3818431.200334529</v>
      </c>
      <c r="S116" s="23">
        <f>IF(S115&gt;0,S113/S115*Timing!S87/12,S113)</f>
        <v>3818431.2003345294</v>
      </c>
      <c r="T116" s="23">
        <f>IF(T115&gt;0,T113/T115*Timing!T87/12,T113)</f>
        <v>3818431.2003345294</v>
      </c>
      <c r="U116" s="23">
        <f>IF(U115&gt;0,U113/U115*Timing!U87/12,U113)</f>
        <v>3818431.20033453</v>
      </c>
      <c r="V116" s="23">
        <f>IF(V115&gt;0,V113/V115*Timing!V87/12,V113)</f>
        <v>3818431.2003345294</v>
      </c>
      <c r="W116" s="23">
        <f>IF(W115&gt;0,W113/W115*Timing!W87/12,W113)</f>
        <v>0</v>
      </c>
      <c r="X116" s="23">
        <f>IF(X115&gt;0,X113/X115*Timing!X87/12,X113)</f>
        <v>0</v>
      </c>
      <c r="Y116" s="23">
        <f>IF(Y115&gt;0,Y113/Y115*Timing!Y87/12,Y113)</f>
        <v>0</v>
      </c>
      <c r="Z116" s="23">
        <f>IF(Z115&gt;0,Z113/Z115*Timing!Z87/12,Z113)</f>
        <v>0</v>
      </c>
      <c r="AA116" s="23">
        <f>IF(AA115&gt;0,AA113/AA115*Timing!AA87/12,AA113)</f>
        <v>0</v>
      </c>
      <c r="AB116" s="23">
        <f>IF(AB115&gt;0,AB113/AB115*Timing!AB87/12,AB113)</f>
        <v>0</v>
      </c>
      <c r="AC116" s="23">
        <f>IF(AC115&gt;0,AC113/AC115*Timing!AC87/12,AC113)</f>
        <v>0</v>
      </c>
      <c r="AD116" s="23">
        <f>IF(AD115&gt;0,AD113/AD115*Timing!AD87/12,AD113)</f>
        <v>0</v>
      </c>
      <c r="AE116" s="23">
        <f>IF(AE115&gt;0,AE113/AE115*Timing!AE87/12,AE113)</f>
        <v>0</v>
      </c>
    </row>
    <row r="117">
      <c r="A117" s="6" t="inlineStr">
        <is>
          <t xml:space="preserve">Declining-balance amount</t>
        </is>
      </c>
      <c r="B117" s="10" t="inlineStr">
        <is>
          <t xml:space="preserve">€</t>
        </is>
      </c>
      <c r="F117" s="23">
        <f>F113*Timing!$C$36*Timing!F87/12</f>
        <v>5727646.800501792</v>
      </c>
      <c r="G117" s="23">
        <f>G113*Timing!$C$36*Timing!G87/12</f>
        <v>11097315.67597222</v>
      </c>
      <c r="H117" s="23">
        <f>H113*Timing!$C$36*Timing!H87/12</f>
        <v>10381359.825909495</v>
      </c>
      <c r="I117" s="23">
        <f>I113*Timing!$C$36*Timing!I87/12</f>
        <v>9665403.975846773</v>
      </c>
      <c r="J117" s="23">
        <f>J113*Timing!$C$36*Timing!J87/12</f>
        <v>8949448.125784049</v>
      </c>
      <c r="K117" s="23">
        <f>K113*Timing!$C$36*Timing!K87/12</f>
        <v>8233492.275721325</v>
      </c>
      <c r="L117" s="23">
        <f>L113*Timing!$C$36*Timing!L87/12</f>
        <v>7517536.425658601</v>
      </c>
      <c r="M117" s="23">
        <f>M113*Timing!$C$36*Timing!M87/12</f>
        <v>6801580.575595878</v>
      </c>
      <c r="N117" s="23">
        <f>N113*Timing!$C$36*Timing!N87/12</f>
        <v>6085624.725533154</v>
      </c>
      <c r="O117" s="23">
        <f>O113*Timing!$C$36*Timing!O87/12</f>
        <v>5369668.87547043</v>
      </c>
      <c r="P117" s="23">
        <f>P113*Timing!$C$36*Timing!P87/12</f>
        <v>4653713.025407706</v>
      </c>
      <c r="Q117" s="23">
        <f>Q113*Timing!$C$36*Timing!Q87/12</f>
        <v>3937757.1753449827</v>
      </c>
      <c r="R117" s="23">
        <f>R113*Timing!$C$36*Timing!R87/12</f>
        <v>3221801.325282259</v>
      </c>
      <c r="S117" s="23">
        <f>S113*Timing!$C$36*Timing!S87/12</f>
        <v>2505845.4752195347</v>
      </c>
      <c r="T117" s="23">
        <f>T113*Timing!$C$36*Timing!T87/12</f>
        <v>1789889.6251568107</v>
      </c>
      <c r="U117" s="23">
        <f>U113*Timing!$C$36*Timing!U87/12</f>
        <v>1073933.7750940865</v>
      </c>
      <c r="V117" s="23">
        <f>V113*Timing!$C$36*Timing!V87/12</f>
        <v>357977.9250313621</v>
      </c>
      <c r="W117" s="23">
        <f>W113*Timing!$C$36*Timing!W87/12</f>
        <v>0</v>
      </c>
      <c r="X117" s="23">
        <f>X113*Timing!$C$36*Timing!X87/12</f>
        <v>0</v>
      </c>
      <c r="Y117" s="23">
        <f>Y113*Timing!$C$36*Timing!Y87/12</f>
        <v>0</v>
      </c>
      <c r="Z117" s="23">
        <f>Z113*Timing!$C$36*Timing!Z87/12</f>
        <v>0</v>
      </c>
      <c r="AA117" s="23">
        <f>AA113*Timing!$C$36*Timing!AA87/12</f>
        <v>0</v>
      </c>
      <c r="AB117" s="23">
        <f>AB113*Timing!$C$36*Timing!AB87/12</f>
        <v>0</v>
      </c>
      <c r="AC117" s="23">
        <f>AC113*Timing!$C$36*Timing!AC87/12</f>
        <v>0</v>
      </c>
      <c r="AD117" s="23">
        <f>AD113*Timing!$C$36*Timing!AD87/12</f>
        <v>0</v>
      </c>
      <c r="AE117" s="23">
        <f>AE113*Timing!$C$36*Timing!AE87/12</f>
        <v>0</v>
      </c>
    </row>
    <row r="118">
      <c r="A118" s="6" t="inlineStr">
        <is>
          <t xml:space="preserve">Straight-line from this year (1 = yes)</t>
        </is>
      </c>
      <c r="E118" s="9">
        <v>0</v>
      </c>
      <c r="F118" s="23">
        <f>IF(OR(Timing!$C$35=0,E118=1,F116&gt;=F117),1,0)</f>
        <v>1</v>
      </c>
      <c r="G118" s="23">
        <f>IF(OR(Timing!$C$35=0,F118=1,G116&gt;=G117),1,0)</f>
        <v>1</v>
      </c>
      <c r="H118" s="23">
        <f>IF(OR(Timing!$C$35=0,G118=1,H116&gt;=H117),1,0)</f>
        <v>1</v>
      </c>
      <c r="I118" s="23">
        <f>IF(OR(Timing!$C$35=0,H118=1,I116&gt;=I117),1,0)</f>
        <v>1</v>
      </c>
      <c r="J118" s="23">
        <f>IF(OR(Timing!$C$35=0,I118=1,J116&gt;=J117),1,0)</f>
        <v>1</v>
      </c>
      <c r="K118" s="23">
        <f>IF(OR(Timing!$C$35=0,J118=1,K116&gt;=K117),1,0)</f>
        <v>1</v>
      </c>
      <c r="L118" s="23">
        <f>IF(OR(Timing!$C$35=0,K118=1,L116&gt;=L117),1,0)</f>
        <v>1</v>
      </c>
      <c r="M118" s="23">
        <f>IF(OR(Timing!$C$35=0,L118=1,M116&gt;=M117),1,0)</f>
        <v>1</v>
      </c>
      <c r="N118" s="23">
        <f>IF(OR(Timing!$C$35=0,M118=1,N116&gt;=N117),1,0)</f>
        <v>1</v>
      </c>
      <c r="O118" s="23">
        <f>IF(OR(Timing!$C$35=0,N118=1,O116&gt;=O117),1,0)</f>
        <v>1</v>
      </c>
      <c r="P118" s="23">
        <f>IF(OR(Timing!$C$35=0,O118=1,P116&gt;=P117),1,0)</f>
        <v>1</v>
      </c>
      <c r="Q118" s="23">
        <f>IF(OR(Timing!$C$35=0,P118=1,Q116&gt;=Q117),1,0)</f>
        <v>1</v>
      </c>
      <c r="R118" s="23">
        <f>IF(OR(Timing!$C$35=0,Q118=1,R116&gt;=R117),1,0)</f>
        <v>1</v>
      </c>
      <c r="S118" s="23">
        <f>IF(OR(Timing!$C$35=0,R118=1,S116&gt;=S117),1,0)</f>
        <v>1</v>
      </c>
      <c r="T118" s="23">
        <f>IF(OR(Timing!$C$35=0,S118=1,T116&gt;=T117),1,0)</f>
        <v>1</v>
      </c>
      <c r="U118" s="23">
        <f>IF(OR(Timing!$C$35=0,T118=1,U116&gt;=U117),1,0)</f>
        <v>1</v>
      </c>
      <c r="V118" s="23">
        <f>IF(OR(Timing!$C$35=0,U118=1,V116&gt;=V117),1,0)</f>
        <v>1</v>
      </c>
      <c r="W118" s="23">
        <f>IF(OR(Timing!$C$35=0,V118=1,W116&gt;=W117),1,0)</f>
        <v>1</v>
      </c>
      <c r="X118" s="23">
        <f>IF(OR(Timing!$C$35=0,W118=1,X116&gt;=X117),1,0)</f>
        <v>1</v>
      </c>
      <c r="Y118" s="23">
        <f>IF(OR(Timing!$C$35=0,X118=1,Y116&gt;=Y117),1,0)</f>
        <v>1</v>
      </c>
      <c r="Z118" s="23">
        <f>IF(OR(Timing!$C$35=0,Y118=1,Z116&gt;=Z117),1,0)</f>
        <v>1</v>
      </c>
      <c r="AA118" s="23">
        <f>IF(OR(Timing!$C$35=0,Z118=1,AA116&gt;=AA117),1,0)</f>
        <v>1</v>
      </c>
      <c r="AB118" s="23">
        <f>IF(OR(Timing!$C$35=0,AA118=1,AB116&gt;=AB117),1,0)</f>
        <v>1</v>
      </c>
      <c r="AC118" s="23">
        <f>IF(OR(Timing!$C$35=0,AB118=1,AC116&gt;=AC117),1,0)</f>
        <v>1</v>
      </c>
      <c r="AD118" s="23">
        <f>IF(OR(Timing!$C$35=0,AC118=1,AD116&gt;=AD117),1,0)</f>
        <v>1</v>
      </c>
      <c r="AE118" s="23">
        <f>IF(OR(Timing!$C$35=0,AD118=1,AE116&gt;=AE117),1,0)</f>
        <v>1</v>
      </c>
    </row>
    <row r="119">
      <c r="A119" s="6" t="inlineStr">
        <is>
          <t xml:space="preserve">Depreciation by schedule</t>
        </is>
      </c>
      <c r="B119" s="10" t="inlineStr">
        <is>
          <t xml:space="preserve">€</t>
        </is>
      </c>
      <c r="F119" s="23">
        <f>IF(F113&lt;=Inputs!$C$157,0,MIN(F113,IF(F118=1,F116,F117)))</f>
        <v>1909215.6001672638</v>
      </c>
      <c r="G119" s="23">
        <f>IF(G113&lt;=Inputs!$C$157,0,MIN(G113,IF(G118=1,G116,G117)))</f>
        <v>3818431.2003345275</v>
      </c>
      <c r="H119" s="23">
        <f>IF(H113&lt;=Inputs!$C$157,0,MIN(H113,IF(H118=1,H116,H117)))</f>
        <v>3818431.2003345275</v>
      </c>
      <c r="I119" s="23">
        <f>IF(I113&lt;=Inputs!$C$157,0,MIN(I113,IF(I118=1,I116,I117)))</f>
        <v>3818431.2003345275</v>
      </c>
      <c r="J119" s="23">
        <f>IF(J113&lt;=Inputs!$C$157,0,MIN(J113,IF(J118=1,J116,J117)))</f>
        <v>3818431.2003345275</v>
      </c>
      <c r="K119" s="23">
        <f>IF(K113&lt;=Inputs!$C$157,0,MIN(K113,IF(K118=1,K116,K117)))</f>
        <v>3818431.2003345275</v>
      </c>
      <c r="L119" s="23">
        <f>IF(L113&lt;=Inputs!$C$157,0,MIN(L113,IF(L118=1,L116,L117)))</f>
        <v>3818431.2003345275</v>
      </c>
      <c r="M119" s="23">
        <f>IF(M113&lt;=Inputs!$C$157,0,MIN(M113,IF(M118=1,M116,M117)))</f>
        <v>3818431.200334528</v>
      </c>
      <c r="N119" s="23">
        <f>IF(N113&lt;=Inputs!$C$157,0,MIN(N113,IF(N118=1,N116,N117)))</f>
        <v>3818431.200334528</v>
      </c>
      <c r="O119" s="23">
        <f>IF(O113&lt;=Inputs!$C$157,0,MIN(O113,IF(O118=1,O116,O117)))</f>
        <v>3818431.200334528</v>
      </c>
      <c r="P119" s="23">
        <f>IF(P113&lt;=Inputs!$C$157,0,MIN(P113,IF(P118=1,P116,P117)))</f>
        <v>3818431.2003345285</v>
      </c>
      <c r="Q119" s="23">
        <f>IF(Q113&lt;=Inputs!$C$157,0,MIN(Q113,IF(Q118=1,Q116,Q117)))</f>
        <v>3818431.2003345285</v>
      </c>
      <c r="R119" s="23">
        <f>IF(R113&lt;=Inputs!$C$157,0,MIN(R113,IF(R118=1,R116,R117)))</f>
        <v>3818431.200334529</v>
      </c>
      <c r="S119" s="23">
        <f>IF(S113&lt;=Inputs!$C$157,0,MIN(S113,IF(S118=1,S116,S117)))</f>
        <v>3818431.2003345294</v>
      </c>
      <c r="T119" s="23">
        <f>IF(T113&lt;=Inputs!$C$157,0,MIN(T113,IF(T118=1,T116,T117)))</f>
        <v>3818431.2003345294</v>
      </c>
      <c r="U119" s="23">
        <f>IF(U113&lt;=Inputs!$C$157,0,MIN(U113,IF(U118=1,U116,U117)))</f>
        <v>3818431.20033453</v>
      </c>
      <c r="V119" s="23">
        <f>IF(V113&lt;=Inputs!$C$157,0,MIN(V113,IF(V118=1,V116,V117)))</f>
        <v>1909215.6001672647</v>
      </c>
      <c r="W119" s="23">
        <f>IF(W113&lt;=Inputs!$C$157,0,MIN(W113,IF(W118=1,W116,W117)))</f>
        <v>0</v>
      </c>
      <c r="X119" s="23">
        <f>IF(X113&lt;=Inputs!$C$157,0,MIN(X113,IF(X118=1,X116,X117)))</f>
        <v>0</v>
      </c>
      <c r="Y119" s="23">
        <f>IF(Y113&lt;=Inputs!$C$157,0,MIN(Y113,IF(Y118=1,Y116,Y117)))</f>
        <v>0</v>
      </c>
      <c r="Z119" s="23">
        <f>IF(Z113&lt;=Inputs!$C$157,0,MIN(Z113,IF(Z118=1,Z116,Z117)))</f>
        <v>0</v>
      </c>
      <c r="AA119" s="23">
        <f>IF(AA113&lt;=Inputs!$C$157,0,MIN(AA113,IF(AA118=1,AA116,AA117)))</f>
        <v>0</v>
      </c>
      <c r="AB119" s="23">
        <f>IF(AB113&lt;=Inputs!$C$157,0,MIN(AB113,IF(AB118=1,AB116,AB117)))</f>
        <v>0</v>
      </c>
      <c r="AC119" s="23">
        <f>IF(AC113&lt;=Inputs!$C$157,0,MIN(AC113,IF(AC118=1,AC116,AC117)))</f>
        <v>0</v>
      </c>
      <c r="AD119" s="23">
        <f>IF(AD113&lt;=Inputs!$C$157,0,MIN(AD113,IF(AD118=1,AD116,AD117)))</f>
        <v>0</v>
      </c>
      <c r="AE119" s="23">
        <f>IF(AE113&lt;=Inputs!$C$157,0,MIN(AE113,IF(AE118=1,AE116,AE117)))</f>
        <v>0</v>
      </c>
    </row>
    <row r="120">
      <c r="A120" s="6" t="inlineStr">
        <is>
          <t xml:space="preserve">Book value at the year end</t>
        </is>
      </c>
      <c r="B120" s="10" t="inlineStr">
        <is>
          <t xml:space="preserve">€</t>
        </is>
      </c>
      <c r="E120" s="23">
        <f>$C$112</f>
        <v>61094899.20535244</v>
      </c>
      <c r="F120" s="23">
        <f>F113-F119</f>
        <v>59185683.60518517</v>
      </c>
      <c r="G120" s="23">
        <f>G113-G119</f>
        <v>55367252.40485065</v>
      </c>
      <c r="H120" s="23">
        <f>H113-H119</f>
        <v>51548821.20451612</v>
      </c>
      <c r="I120" s="23">
        <f>I113-I119</f>
        <v>47730390.00418159</v>
      </c>
      <c r="J120" s="23">
        <f>J113-J119</f>
        <v>43911958.80384707</v>
      </c>
      <c r="K120" s="23">
        <f>K113-K119</f>
        <v>40093527.60351254</v>
      </c>
      <c r="L120" s="23">
        <f>L113-L119</f>
        <v>36275096.403178014</v>
      </c>
      <c r="M120" s="23">
        <f>M113-M119</f>
        <v>32456665.202843487</v>
      </c>
      <c r="N120" s="23">
        <f>N113-N119</f>
        <v>28638234.00250896</v>
      </c>
      <c r="O120" s="23">
        <f>O113-O119</f>
        <v>24819802.802174434</v>
      </c>
      <c r="P120" s="23">
        <f>P113-P119</f>
        <v>21001371.601839907</v>
      </c>
      <c r="Q120" s="23">
        <f>Q113-Q119</f>
        <v>17182940.40150538</v>
      </c>
      <c r="R120" s="23">
        <f>R113-R119</f>
        <v>13364509.201170852</v>
      </c>
      <c r="S120" s="23">
        <f>S113-S119</f>
        <v>9546078.000836324</v>
      </c>
      <c r="T120" s="23">
        <f>T113-T119</f>
        <v>5727646.800501795</v>
      </c>
      <c r="U120" s="23">
        <f>U113-U119</f>
        <v>1909215.6001672647</v>
      </c>
      <c r="V120" s="23">
        <f>V113-V119</f>
        <v>0</v>
      </c>
      <c r="W120" s="23">
        <f>W113-W119</f>
        <v>0</v>
      </c>
      <c r="X120" s="23">
        <f>X113-X119</f>
        <v>0</v>
      </c>
      <c r="Y120" s="23">
        <f>Y113-Y119</f>
        <v>0</v>
      </c>
      <c r="Z120" s="23">
        <f>Z113-Z119</f>
        <v>0</v>
      </c>
      <c r="AA120" s="23">
        <f>AA113-AA119</f>
        <v>0</v>
      </c>
      <c r="AB120" s="23">
        <f>AB113-AB119</f>
        <v>0</v>
      </c>
      <c r="AC120" s="23">
        <f>AC113-AC119</f>
        <v>0</v>
      </c>
      <c r="AD120" s="23">
        <f>AD113-AD119</f>
        <v>0</v>
      </c>
      <c r="AE120" s="23">
        <f>AE113-AE119</f>
        <v>0</v>
      </c>
    </row>
    <row r="121">
      <c r="A121" s="6" t="inlineStr">
        <is>
          <t xml:space="preserve">Months depreciated</t>
        </is>
      </c>
      <c r="F121" s="23">
        <f>F114+IF(F113&gt;Inputs!$C$157,Timing!F87,0)</f>
        <v>6</v>
      </c>
      <c r="G121" s="23">
        <f>G114+IF(G113&gt;Inputs!$C$157,Timing!G87,0)</f>
        <v>18</v>
      </c>
      <c r="H121" s="23">
        <f>H114+IF(H113&gt;Inputs!$C$157,Timing!H87,0)</f>
        <v>30</v>
      </c>
      <c r="I121" s="23">
        <f>I114+IF(I113&gt;Inputs!$C$157,Timing!I87,0)</f>
        <v>42</v>
      </c>
      <c r="J121" s="23">
        <f>J114+IF(J113&gt;Inputs!$C$157,Timing!J87,0)</f>
        <v>54</v>
      </c>
      <c r="K121" s="23">
        <f>K114+IF(K113&gt;Inputs!$C$157,Timing!K87,0)</f>
        <v>66</v>
      </c>
      <c r="L121" s="23">
        <f>L114+IF(L113&gt;Inputs!$C$157,Timing!L87,0)</f>
        <v>78</v>
      </c>
      <c r="M121" s="23">
        <f>M114+IF(M113&gt;Inputs!$C$157,Timing!M87,0)</f>
        <v>90</v>
      </c>
      <c r="N121" s="23">
        <f>N114+IF(N113&gt;Inputs!$C$157,Timing!N87,0)</f>
        <v>102</v>
      </c>
      <c r="O121" s="23">
        <f>O114+IF(O113&gt;Inputs!$C$157,Timing!O87,0)</f>
        <v>114</v>
      </c>
      <c r="P121" s="23">
        <f>P114+IF(P113&gt;Inputs!$C$157,Timing!P87,0)</f>
        <v>126</v>
      </c>
      <c r="Q121" s="23">
        <f>Q114+IF(Q113&gt;Inputs!$C$157,Timing!Q87,0)</f>
        <v>138</v>
      </c>
      <c r="R121" s="23">
        <f>R114+IF(R113&gt;Inputs!$C$157,Timing!R87,0)</f>
        <v>150</v>
      </c>
      <c r="S121" s="23">
        <f>S114+IF(S113&gt;Inputs!$C$157,Timing!S87,0)</f>
        <v>162</v>
      </c>
      <c r="T121" s="23">
        <f>T114+IF(T113&gt;Inputs!$C$157,Timing!T87,0)</f>
        <v>174</v>
      </c>
      <c r="U121" s="23">
        <f>U114+IF(U113&gt;Inputs!$C$157,Timing!U87,0)</f>
        <v>186</v>
      </c>
      <c r="V121" s="23">
        <f>V114+IF(V113&gt;Inputs!$C$157,Timing!V87,0)</f>
        <v>198</v>
      </c>
      <c r="W121" s="23">
        <f>W114+IF(W113&gt;Inputs!$C$157,Timing!W87,0)</f>
        <v>198</v>
      </c>
      <c r="X121" s="23">
        <f>X114+IF(X113&gt;Inputs!$C$157,Timing!X87,0)</f>
        <v>198</v>
      </c>
      <c r="Y121" s="23">
        <f>Y114+IF(Y113&gt;Inputs!$C$157,Timing!Y87,0)</f>
        <v>198</v>
      </c>
      <c r="Z121" s="23">
        <f>Z114+IF(Z113&gt;Inputs!$C$157,Timing!Z87,0)</f>
        <v>198</v>
      </c>
      <c r="AA121" s="23">
        <f>AA114+IF(AA113&gt;Inputs!$C$157,Timing!AA87,0)</f>
        <v>198</v>
      </c>
      <c r="AB121" s="23">
        <f>AB114+IF(AB113&gt;Inputs!$C$157,Timing!AB87,0)</f>
        <v>198</v>
      </c>
      <c r="AC121" s="23">
        <f>AC114+IF(AC113&gt;Inputs!$C$157,Timing!AC87,0)</f>
        <v>198</v>
      </c>
      <c r="AD121" s="23">
        <f>AD114+IF(AD113&gt;Inputs!$C$157,Timing!AD87,0)</f>
        <v>198</v>
      </c>
      <c r="AE121" s="23">
        <f>AE114+IF(AE113&gt;Inputs!$C$157,Timing!AE87,0)</f>
        <v>198</v>
      </c>
    </row>
    <row r="122">
      <c r="A122" s="6" t="inlineStr">
        <is>
          <t xml:space="preserve">Book value written off when the farm is dismantled</t>
        </is>
      </c>
      <c r="B122" s="10" t="inlineStr">
        <is>
          <t xml:space="preserve">€</t>
        </is>
      </c>
      <c r="F122" s="23">
        <f>IF(AND(Timing!F72=1,F120&gt;Inputs!$C$157),F120,0)</f>
        <v>0</v>
      </c>
      <c r="G122" s="23">
        <f>IF(AND(Timing!G72=1,G120&gt;Inputs!$C$157),G120,0)</f>
        <v>0</v>
      </c>
      <c r="H122" s="23">
        <f>IF(AND(Timing!H72=1,H120&gt;Inputs!$C$157),H120,0)</f>
        <v>0</v>
      </c>
      <c r="I122" s="23">
        <f>IF(AND(Timing!I72=1,I120&gt;Inputs!$C$157),I120,0)</f>
        <v>0</v>
      </c>
      <c r="J122" s="23">
        <f>IF(AND(Timing!J72=1,J120&gt;Inputs!$C$157),J120,0)</f>
        <v>0</v>
      </c>
      <c r="K122" s="23">
        <f>IF(AND(Timing!K72=1,K120&gt;Inputs!$C$157),K120,0)</f>
        <v>0</v>
      </c>
      <c r="L122" s="23">
        <f>IF(AND(Timing!L72=1,L120&gt;Inputs!$C$157),L120,0)</f>
        <v>0</v>
      </c>
      <c r="M122" s="23">
        <f>IF(AND(Timing!M72=1,M120&gt;Inputs!$C$157),M120,0)</f>
        <v>0</v>
      </c>
      <c r="N122" s="23">
        <f>IF(AND(Timing!N72=1,N120&gt;Inputs!$C$157),N120,0)</f>
        <v>0</v>
      </c>
      <c r="O122" s="23">
        <f>IF(AND(Timing!O72=1,O120&gt;Inputs!$C$157),O120,0)</f>
        <v>0</v>
      </c>
      <c r="P122" s="23">
        <f>IF(AND(Timing!P72=1,P120&gt;Inputs!$C$157),P120,0)</f>
        <v>0</v>
      </c>
      <c r="Q122" s="23">
        <f>IF(AND(Timing!Q72=1,Q120&gt;Inputs!$C$157),Q120,0)</f>
        <v>0</v>
      </c>
      <c r="R122" s="23">
        <f>IF(AND(Timing!R72=1,R120&gt;Inputs!$C$157),R120,0)</f>
        <v>0</v>
      </c>
      <c r="S122" s="23">
        <f>IF(AND(Timing!S72=1,S120&gt;Inputs!$C$157),S120,0)</f>
        <v>0</v>
      </c>
      <c r="T122" s="23">
        <f>IF(AND(Timing!T72=1,T120&gt;Inputs!$C$157),T120,0)</f>
        <v>0</v>
      </c>
      <c r="U122" s="23">
        <f>IF(AND(Timing!U72=1,U120&gt;Inputs!$C$157),U120,0)</f>
        <v>0</v>
      </c>
      <c r="V122" s="23">
        <f>IF(AND(Timing!V72=1,V120&gt;Inputs!$C$157),V120,0)</f>
        <v>0</v>
      </c>
      <c r="W122" s="23">
        <f>IF(AND(Timing!W72=1,W120&gt;Inputs!$C$157),W120,0)</f>
        <v>0</v>
      </c>
      <c r="X122" s="23">
        <f>IF(AND(Timing!X72=1,X120&gt;Inputs!$C$157),X120,0)</f>
        <v>0</v>
      </c>
      <c r="Y122" s="23">
        <f>IF(AND(Timing!Y72=1,Y120&gt;Inputs!$C$157),Y120,0)</f>
        <v>0</v>
      </c>
      <c r="Z122" s="23">
        <f>IF(AND(Timing!Z72=1,Z120&gt;Inputs!$C$157),Z120,0)</f>
        <v>0</v>
      </c>
      <c r="AA122" s="23">
        <f>IF(AND(Timing!AA72=1,AA120&gt;Inputs!$C$157),AA120,0)</f>
        <v>0</v>
      </c>
      <c r="AB122" s="23">
        <f>IF(AND(Timing!AB72=1,AB120&gt;Inputs!$C$157),AB120,0)</f>
        <v>0</v>
      </c>
      <c r="AC122" s="23">
        <f>IF(AND(Timing!AC72=1,AC120&gt;Inputs!$C$157),AC120,0)</f>
        <v>0</v>
      </c>
      <c r="AD122" s="23">
        <f>IF(AND(Timing!AD72=1,AD120&gt;Inputs!$C$157),AD120,0)</f>
        <v>0</v>
      </c>
      <c r="AE122" s="23">
        <f>IF(AND(Timing!AE72=1,AE120&gt;Inputs!$C$157),AE120,0)</f>
        <v>0</v>
      </c>
    </row>
    <row r="123">
      <c r="A123" s="41" t="inlineStr">
        <is>
          <t xml:space="preserve">Depreciation</t>
        </is>
      </c>
      <c r="B123" s="10" t="inlineStr">
        <is>
          <t xml:space="preserve">€</t>
        </is>
      </c>
      <c r="F123" s="42">
        <f>F119+F122</f>
        <v>1909215.6001672638</v>
      </c>
      <c r="G123" s="42">
        <f>G119+G122</f>
        <v>3818431.2003345275</v>
      </c>
      <c r="H123" s="42">
        <f>H119+H122</f>
        <v>3818431.2003345275</v>
      </c>
      <c r="I123" s="42">
        <f>I119+I122</f>
        <v>3818431.2003345275</v>
      </c>
      <c r="J123" s="42">
        <f>J119+J122</f>
        <v>3818431.2003345275</v>
      </c>
      <c r="K123" s="42">
        <f>K119+K122</f>
        <v>3818431.2003345275</v>
      </c>
      <c r="L123" s="42">
        <f>L119+L122</f>
        <v>3818431.2003345275</v>
      </c>
      <c r="M123" s="42">
        <f>M119+M122</f>
        <v>3818431.200334528</v>
      </c>
      <c r="N123" s="42">
        <f>N119+N122</f>
        <v>3818431.200334528</v>
      </c>
      <c r="O123" s="42">
        <f>O119+O122</f>
        <v>3818431.200334528</v>
      </c>
      <c r="P123" s="42">
        <f>P119+P122</f>
        <v>3818431.2003345285</v>
      </c>
      <c r="Q123" s="42">
        <f>Q119+Q122</f>
        <v>3818431.2003345285</v>
      </c>
      <c r="R123" s="42">
        <f>R119+R122</f>
        <v>3818431.200334529</v>
      </c>
      <c r="S123" s="42">
        <f>S119+S122</f>
        <v>3818431.2003345294</v>
      </c>
      <c r="T123" s="42">
        <f>T119+T122</f>
        <v>3818431.2003345294</v>
      </c>
      <c r="U123" s="42">
        <f>U119+U122</f>
        <v>3818431.20033453</v>
      </c>
      <c r="V123" s="42">
        <f>V119+V122</f>
        <v>1909215.6001672647</v>
      </c>
      <c r="W123" s="42">
        <f>W119+W122</f>
        <v>0</v>
      </c>
      <c r="X123" s="42">
        <f>X119+X122</f>
        <v>0</v>
      </c>
      <c r="Y123" s="42">
        <f>Y119+Y122</f>
        <v>0</v>
      </c>
      <c r="Z123" s="42">
        <f>Z119+Z122</f>
        <v>0</v>
      </c>
      <c r="AA123" s="42">
        <f>AA119+AA122</f>
        <v>0</v>
      </c>
      <c r="AB123" s="42">
        <f>AB119+AB122</f>
        <v>0</v>
      </c>
      <c r="AC123" s="42">
        <f>AC119+AC122</f>
        <v>0</v>
      </c>
      <c r="AD123" s="42">
        <f>AD119+AD122</f>
        <v>0</v>
      </c>
      <c r="AE123" s="42">
        <f>AE119+AE122</f>
        <v>0</v>
      </c>
    </row>
    <row r="124">
      <c r="A124" s="6" t="inlineStr">
        <is>
          <t xml:space="preserve">Interest</t>
        </is>
      </c>
      <c r="B124" s="10" t="inlineStr">
        <is>
          <t xml:space="preserve">€</t>
        </is>
      </c>
      <c r="F124" s="45">
        <f>Debt!F10</f>
        <v>551915.1400212483</v>
      </c>
      <c r="G124" s="45">
        <f>Debt!G10</f>
        <v>1103830.2800424965</v>
      </c>
      <c r="H124" s="45">
        <f>Debt!H10</f>
        <v>1079481.0826886182</v>
      </c>
      <c r="I124" s="45">
        <f>Debt!I10</f>
        <v>1014549.8897449417</v>
      </c>
      <c r="J124" s="45">
        <f>Debt!J10</f>
        <v>949618.6968012657</v>
      </c>
      <c r="K124" s="45">
        <f>Debt!K10</f>
        <v>884687.5038575892</v>
      </c>
      <c r="L124" s="45">
        <f>Debt!L10</f>
        <v>819756.3109139131</v>
      </c>
      <c r="M124" s="45">
        <f>Debt!M10</f>
        <v>754825.117970237</v>
      </c>
      <c r="N124" s="45">
        <f>Debt!N10</f>
        <v>689893.9250265607</v>
      </c>
      <c r="O124" s="45">
        <f>Debt!O10</f>
        <v>624962.7320828846</v>
      </c>
      <c r="P124" s="45">
        <f>Debt!P10</f>
        <v>560031.5391392084</v>
      </c>
      <c r="Q124" s="45">
        <f>Debt!Q10</f>
        <v>495100.34619553224</v>
      </c>
      <c r="R124" s="45">
        <f>Debt!R10</f>
        <v>430169.1532518559</v>
      </c>
      <c r="S124" s="45">
        <f>Debt!S10</f>
        <v>365237.9603081797</v>
      </c>
      <c r="T124" s="45">
        <f>Debt!T10</f>
        <v>300306.7673645036</v>
      </c>
      <c r="U124" s="45">
        <f>Debt!U10</f>
        <v>235375.57442082735</v>
      </c>
      <c r="V124" s="45">
        <f>Debt!V10</f>
        <v>170444.38147715112</v>
      </c>
      <c r="W124" s="45">
        <f>Debt!W10</f>
        <v>105513.18853347484</v>
      </c>
      <c r="X124" s="45">
        <f>Debt!X10</f>
        <v>40581.99558979853</v>
      </c>
      <c r="Y124" s="45">
        <f>Debt!Y10</f>
        <v>0</v>
      </c>
      <c r="Z124" s="45">
        <f>Debt!Z10</f>
        <v>0</v>
      </c>
      <c r="AA124" s="45">
        <f>Debt!AA10</f>
        <v>0</v>
      </c>
      <c r="AB124" s="45">
        <f>Debt!AB10</f>
        <v>0</v>
      </c>
      <c r="AC124" s="45">
        <f>Debt!AC10</f>
        <v>0</v>
      </c>
      <c r="AD124" s="45">
        <f>Debt!AD10</f>
        <v>0</v>
      </c>
      <c r="AE124" s="45">
        <f>Debt!AE10</f>
        <v>0</v>
      </c>
    </row>
    <row r="125">
      <c r="A125" s="41" t="inlineStr">
        <is>
          <t xml:space="preserve">Profit before tax</t>
        </is>
      </c>
      <c r="B125" s="10" t="inlineStr">
        <is>
          <t xml:space="preserve">€</t>
        </is>
      </c>
      <c r="F125" s="42">
        <f>Operations!F217-F123-F124-F10</f>
        <v>-1168661.628190943</v>
      </c>
      <c r="G125" s="42">
        <f>Operations!G217-G123-G124-G10</f>
        <v>-2302334.7821137677</v>
      </c>
      <c r="H125" s="42">
        <f>Operations!H217-H123-H124-H10</f>
        <v>-2311934.3053157046</v>
      </c>
      <c r="I125" s="42">
        <f>Operations!I217-I123-I124-I10</f>
        <v>-2276508.498143874</v>
      </c>
      <c r="J125" s="42">
        <f>Operations!J217-J123-J124-J10</f>
        <v>-2241900.880268686</v>
      </c>
      <c r="K125" s="42">
        <f>Operations!K217-K123-K124-K10</f>
        <v>-656137.2152585821</v>
      </c>
      <c r="L125" s="42">
        <f>Operations!L217-L123-L124-L10</f>
        <v>-1893224.6489005324</v>
      </c>
      <c r="M125" s="42">
        <f>Operations!M217-M123-M124-M10</f>
        <v>-1861596.580554394</v>
      </c>
      <c r="N125" s="42">
        <f>Operations!N217-N123-N124-N10</f>
        <v>-1831034.745930917</v>
      </c>
      <c r="O125" s="42">
        <f>Operations!O217-O123-O124-O10</f>
        <v>-1801233.8690031678</v>
      </c>
      <c r="P125" s="42">
        <f>Operations!P217-P123-P124-P10</f>
        <v>-1913381.2921269229</v>
      </c>
      <c r="Q125" s="42">
        <f>Operations!Q217-Q123-Q124-Q10</f>
        <v>-1898045.565235972</v>
      </c>
      <c r="R125" s="42">
        <f>Operations!R217-R123-R124-R10</f>
        <v>-1884348.882963175</v>
      </c>
      <c r="S125" s="42">
        <f>Operations!S217-S123-S124-S10</f>
        <v>-1871815.393255123</v>
      </c>
      <c r="T125" s="42">
        <f>Operations!T217-T123-T124-T10</f>
        <v>-1861087.997357988</v>
      </c>
      <c r="U125" s="42">
        <f>Operations!U217-U123-U124-U10</f>
        <v>-1852095.5268923487</v>
      </c>
      <c r="V125" s="42">
        <f>Operations!V217-V123-V124-V10</f>
        <v>87.39107319986215</v>
      </c>
      <c r="W125" s="42">
        <f>Operations!W217-W123-W124-W10</f>
        <v>1999301.0860285058</v>
      </c>
      <c r="X125" s="42">
        <f>Operations!X217-X123-X124-X10</f>
        <v>2088274.493219609</v>
      </c>
      <c r="Y125" s="42">
        <f>Operations!Y217-Y123-Y124-Y10</f>
        <v>2152021.7967316275</v>
      </c>
      <c r="Z125" s="42">
        <f>Operations!Z217-Z123-Z124-Z10</f>
        <v>2085023.7561525803</v>
      </c>
      <c r="AA125" s="42">
        <f>Operations!AA217-AA123-AA124-AA10</f>
        <v>2104651.292549995</v>
      </c>
      <c r="AB125" s="42">
        <f>Operations!AB217-AB123-AB124-AB10</f>
        <v>2122532.825429992</v>
      </c>
      <c r="AC125" s="42">
        <f>Operations!AC217-AC123-AC124-AC10</f>
        <v>2138895.6086373916</v>
      </c>
      <c r="AD125" s="42">
        <f>Operations!AD217-AD123-AD124-AD10</f>
        <v>2084811.0704494086</v>
      </c>
      <c r="AE125" s="42">
        <f>Operations!AE217-AE123-AE124-AE10</f>
        <v>1119197.5132500674</v>
      </c>
    </row>
    <row r="126">
      <c r="A126" s="6" t="inlineStr">
        <is>
          <t xml:space="preserve">Trade tax: add-back of interest and land lease</t>
        </is>
      </c>
      <c r="B126" s="10" t="inlineStr">
        <is>
          <t xml:space="preserve">€</t>
        </is>
      </c>
      <c r="F126" s="23">
        <f>Inputs!$C$116*MAX(0,F124+Inputs!$C$118*Operations!F210-Inputs!$C$117)</f>
        <v>114493.43905310557</v>
      </c>
      <c r="G126" s="23">
        <f>Inputs!$C$116*MAX(0,G124+Inputs!$C$118*Operations!G210-Inputs!$C$117)</f>
        <v>277939.8390895416</v>
      </c>
      <c r="H126" s="23">
        <f>Inputs!$C$116*MAX(0,H124+Inputs!$C$118*Operations!H210-Inputs!$C$117)</f>
        <v>271719.87183256494</v>
      </c>
      <c r="I126" s="23">
        <f>Inputs!$C$116*MAX(0,I124+Inputs!$C$118*Operations!I210-Inputs!$C$117)</f>
        <v>255426.66948245536</v>
      </c>
      <c r="J126" s="23">
        <f>Inputs!$C$116*MAX(0,J124+Inputs!$C$118*Operations!J210-Inputs!$C$117)</f>
        <v>239134.3655203571</v>
      </c>
      <c r="K126" s="23">
        <f>Inputs!$C$116*MAX(0,K124+Inputs!$C$118*Operations!K210-Inputs!$C$117)</f>
        <v>244395.56047889055</v>
      </c>
      <c r="L126" s="23">
        <f>Inputs!$C$116*MAX(0,L124+Inputs!$C$118*Operations!L210-Inputs!$C$117)</f>
        <v>210463.9504897418</v>
      </c>
      <c r="M126" s="23">
        <f>Inputs!$C$116*MAX(0,M124+Inputs!$C$118*Operations!M210-Inputs!$C$117)</f>
        <v>194166.59271533348</v>
      </c>
      <c r="N126" s="23">
        <f>Inputs!$C$116*MAX(0,N124+Inputs!$C$118*Operations!N210-Inputs!$C$117)</f>
        <v>177870.19902412037</v>
      </c>
      <c r="O126" s="23">
        <f>Inputs!$C$116*MAX(0,O124+Inputs!$C$118*Operations!O210-Inputs!$C$117)</f>
        <v>161574.78248389188</v>
      </c>
      <c r="P126" s="23">
        <f>Inputs!$C$116*MAX(0,P124+Inputs!$C$118*Operations!P210-Inputs!$C$117)</f>
        <v>145819.47573582592</v>
      </c>
      <c r="Q126" s="23">
        <f>Inputs!$C$116*MAX(0,Q124+Inputs!$C$118*Operations!Q210-Inputs!$C$117)</f>
        <v>130702.90931892736</v>
      </c>
      <c r="R126" s="23">
        <f>Inputs!$C$116*MAX(0,R124+Inputs!$C$118*Operations!R210-Inputs!$C$117)</f>
        <v>115608.66753840918</v>
      </c>
      <c r="S126" s="23">
        <f>Inputs!$C$116*MAX(0,S124+Inputs!$C$118*Operations!S210-Inputs!$C$117)</f>
        <v>100537.19688699901</v>
      </c>
      <c r="T126" s="23">
        <f>Inputs!$C$116*MAX(0,T124+Inputs!$C$118*Operations!T210-Inputs!$C$117)</f>
        <v>85488.95278727906</v>
      </c>
      <c r="U126" s="23">
        <f>Inputs!$C$116*MAX(0,U124+Inputs!$C$118*Operations!U210-Inputs!$C$117)</f>
        <v>70464.39977028307</v>
      </c>
      <c r="V126" s="23">
        <f>Inputs!$C$116*MAX(0,V124+Inputs!$C$118*Operations!V210-Inputs!$C$117)</f>
        <v>55464.01165766554</v>
      </c>
      <c r="W126" s="23">
        <f>Inputs!$C$116*MAX(0,W124+Inputs!$C$118*Operations!W210-Inputs!$C$117)</f>
        <v>40488.27174751402</v>
      </c>
      <c r="X126" s="23">
        <f>Inputs!$C$116*MAX(0,X124+Inputs!$C$118*Operations!X210-Inputs!$C$117)</f>
        <v>25537.673003877848</v>
      </c>
      <c r="Y126" s="23">
        <f>Inputs!$C$116*MAX(0,Y124+Inputs!$C$118*Operations!Y210-Inputs!$C$117)</f>
        <v>16700.017588556788</v>
      </c>
      <c r="Z126" s="23">
        <f>Inputs!$C$116*MAX(0,Z124+Inputs!$C$118*Operations!Z210-Inputs!$C$117)</f>
        <v>18034.017940327918</v>
      </c>
      <c r="AA126" s="23">
        <f>Inputs!$C$116*MAX(0,AA124+Inputs!$C$118*Operations!AA210-Inputs!$C$117)</f>
        <v>19394.698299134485</v>
      </c>
      <c r="AB126" s="23">
        <f>Inputs!$C$116*MAX(0,AB124+Inputs!$C$118*Operations!AB210-Inputs!$C$117)</f>
        <v>20782.59226511717</v>
      </c>
      <c r="AC126" s="23">
        <f>Inputs!$C$116*MAX(0,AC124+Inputs!$C$118*Operations!AC210-Inputs!$C$117)</f>
        <v>22198.244110419517</v>
      </c>
      <c r="AD126" s="23">
        <f>Inputs!$C$116*MAX(0,AD124+Inputs!$C$118*Operations!AD210-Inputs!$C$117)</f>
        <v>23642.208992627915</v>
      </c>
      <c r="AE126" s="23">
        <f>Inputs!$C$116*MAX(0,AE124+Inputs!$C$118*Operations!AE210-Inputs!$C$117)</f>
        <v>0</v>
      </c>
    </row>
    <row r="127">
      <c r="A127" s="6" t="inlineStr">
        <is>
          <t xml:space="preserve">Trade income before losses</t>
        </is>
      </c>
      <c r="B127" s="10" t="inlineStr">
        <is>
          <t xml:space="preserve">€</t>
        </is>
      </c>
      <c r="F127" s="23">
        <f>F125+F126</f>
        <v>-1054168.1891378374</v>
      </c>
      <c r="G127" s="23">
        <f>G125+G126</f>
        <v>-2024394.943024226</v>
      </c>
      <c r="H127" s="23">
        <f>H125+H126</f>
        <v>-2040214.4334831396</v>
      </c>
      <c r="I127" s="23">
        <f>I125+I126</f>
        <v>-2021081.8286614188</v>
      </c>
      <c r="J127" s="23">
        <f>J125+J126</f>
        <v>-2002766.5147483288</v>
      </c>
      <c r="K127" s="23">
        <f>K125+K126</f>
        <v>-411741.6547796916</v>
      </c>
      <c r="L127" s="23">
        <f>L125+L126</f>
        <v>-1682760.6984107906</v>
      </c>
      <c r="M127" s="23">
        <f>M125+M126</f>
        <v>-1667429.9878390606</v>
      </c>
      <c r="N127" s="23">
        <f>N125+N126</f>
        <v>-1653164.5469067967</v>
      </c>
      <c r="O127" s="23">
        <f>O125+O126</f>
        <v>-1639659.086519276</v>
      </c>
      <c r="P127" s="23">
        <f>P125+P126</f>
        <v>-1767561.816391097</v>
      </c>
      <c r="Q127" s="23">
        <f>Q125+Q126</f>
        <v>-1767342.6559170445</v>
      </c>
      <c r="R127" s="23">
        <f>R125+R126</f>
        <v>-1768740.2154247658</v>
      </c>
      <c r="S127" s="23">
        <f>S125+S126</f>
        <v>-1771278.1963681239</v>
      </c>
      <c r="T127" s="23">
        <f>T125+T126</f>
        <v>-1775599.0445707089</v>
      </c>
      <c r="U127" s="23">
        <f>U125+U126</f>
        <v>-1781631.1271220655</v>
      </c>
      <c r="V127" s="23">
        <f>V125+V126</f>
        <v>55551.402730865404</v>
      </c>
      <c r="W127" s="23">
        <f>W125+W126</f>
        <v>2039789.3577760197</v>
      </c>
      <c r="X127" s="23">
        <f>X125+X126</f>
        <v>2113812.166223487</v>
      </c>
      <c r="Y127" s="23">
        <f>Y125+Y126</f>
        <v>2168721.8143201843</v>
      </c>
      <c r="Z127" s="23">
        <f>Z125+Z126</f>
        <v>2103057.774092908</v>
      </c>
      <c r="AA127" s="23">
        <f>AA125+AA126</f>
        <v>2124045.9908491294</v>
      </c>
      <c r="AB127" s="23">
        <f>AB125+AB126</f>
        <v>2143315.417695109</v>
      </c>
      <c r="AC127" s="23">
        <f>AC125+AC126</f>
        <v>2161093.852747811</v>
      </c>
      <c r="AD127" s="23">
        <f>AD125+AD126</f>
        <v>2108453.2794420365</v>
      </c>
      <c r="AE127" s="23">
        <f>AE125+AE126</f>
        <v>1119197.5132500674</v>
      </c>
    </row>
    <row r="128">
      <c r="A128" s="6" t="inlineStr">
        <is>
          <t xml:space="preserve">Trade loss carry-forward at the start</t>
        </is>
      </c>
      <c r="B128" s="10" t="inlineStr">
        <is>
          <t xml:space="preserve">€</t>
        </is>
      </c>
      <c r="E128" s="9">
        <v>0</v>
      </c>
      <c r="F128" s="23">
        <f>E130</f>
        <v>0</v>
      </c>
      <c r="G128" s="23">
        <f>F130</f>
        <v>1054168.1891378374</v>
      </c>
      <c r="H128" s="23">
        <f>G130</f>
        <v>3078563.1321620634</v>
      </c>
      <c r="I128" s="23">
        <f>H130</f>
        <v>5118777.565645203</v>
      </c>
      <c r="J128" s="23">
        <f>I130</f>
        <v>7139859.3943066215</v>
      </c>
      <c r="K128" s="23">
        <f>J130</f>
        <v>9142625.90905495</v>
      </c>
      <c r="L128" s="23">
        <f>K130</f>
        <v>9554367.563834641</v>
      </c>
      <c r="M128" s="23">
        <f>L130</f>
        <v>11237128.262245432</v>
      </c>
      <c r="N128" s="23">
        <f>M130</f>
        <v>12904558.250084491</v>
      </c>
      <c r="O128" s="23">
        <f>N130</f>
        <v>14557722.796991289</v>
      </c>
      <c r="P128" s="23">
        <f>O130</f>
        <v>16197381.883510565</v>
      </c>
      <c r="Q128" s="23">
        <f>P130</f>
        <v>17964943.699901663</v>
      </c>
      <c r="R128" s="23">
        <f>Q130</f>
        <v>19732286.355818707</v>
      </c>
      <c r="S128" s="23">
        <f>R130</f>
        <v>21501026.571243472</v>
      </c>
      <c r="T128" s="23">
        <f>S130</f>
        <v>23272304.767611597</v>
      </c>
      <c r="U128" s="23">
        <f>T130</f>
        <v>25047903.812182307</v>
      </c>
      <c r="V128" s="23">
        <f>U130</f>
        <v>26829534.939304374</v>
      </c>
      <c r="W128" s="23">
        <f>V130</f>
        <v>26773983.536573507</v>
      </c>
      <c r="X128" s="23">
        <f>W130</f>
        <v>25150109.921907894</v>
      </c>
      <c r="Y128" s="23">
        <f>X130</f>
        <v>23481822.6221738</v>
      </c>
      <c r="Z128" s="23">
        <f>Y130</f>
        <v>21780589.53358169</v>
      </c>
      <c r="AA128" s="23">
        <f>Z130</f>
        <v>20118754.869125944</v>
      </c>
      <c r="AB128" s="23">
        <f>AA130</f>
        <v>18444327.274616465</v>
      </c>
      <c r="AC128" s="23">
        <f>AB130</f>
        <v>16758338.0239994</v>
      </c>
      <c r="AD128" s="23">
        <f>AC130</f>
        <v>15061681.712350715</v>
      </c>
      <c r="AE128" s="23">
        <f>AD130</f>
        <v>13396609.744685493</v>
      </c>
    </row>
    <row r="129">
      <c r="A129" s="6" t="inlineStr">
        <is>
          <t xml:space="preserve">Trade losses used (€1m in full, 60 % above)</t>
        </is>
      </c>
      <c r="B129" s="10" t="inlineStr">
        <is>
          <t xml:space="preserve">€</t>
        </is>
      </c>
      <c r="F129" s="23">
        <f>IF(F127&gt;0,MIN(F128,MIN(F127,Inputs!$C$119)+Inputs!$C$120*MAX(0,F127-Inputs!$C$119)),0)</f>
        <v>0</v>
      </c>
      <c r="G129" s="23">
        <f>IF(G127&gt;0,MIN(G128,MIN(G127,Inputs!$C$119)+Inputs!$C$120*MAX(0,G127-Inputs!$C$119)),0)</f>
        <v>0</v>
      </c>
      <c r="H129" s="23">
        <f>IF(H127&gt;0,MIN(H128,MIN(H127,Inputs!$C$119)+Inputs!$C$120*MAX(0,H127-Inputs!$C$119)),0)</f>
        <v>0</v>
      </c>
      <c r="I129" s="23">
        <f>IF(I127&gt;0,MIN(I128,MIN(I127,Inputs!$C$119)+Inputs!$C$120*MAX(0,I127-Inputs!$C$119)),0)</f>
        <v>0</v>
      </c>
      <c r="J129" s="23">
        <f>IF(J127&gt;0,MIN(J128,MIN(J127,Inputs!$C$119)+Inputs!$C$120*MAX(0,J127-Inputs!$C$119)),0)</f>
        <v>0</v>
      </c>
      <c r="K129" s="23">
        <f>IF(K127&gt;0,MIN(K128,MIN(K127,Inputs!$C$119)+Inputs!$C$120*MAX(0,K127-Inputs!$C$119)),0)</f>
        <v>0</v>
      </c>
      <c r="L129" s="23">
        <f>IF(L127&gt;0,MIN(L128,MIN(L127,Inputs!$C$119)+Inputs!$C$120*MAX(0,L127-Inputs!$C$119)),0)</f>
        <v>0</v>
      </c>
      <c r="M129" s="23">
        <f>IF(M127&gt;0,MIN(M128,MIN(M127,Inputs!$C$119)+Inputs!$C$120*MAX(0,M127-Inputs!$C$119)),0)</f>
        <v>0</v>
      </c>
      <c r="N129" s="23">
        <f>IF(N127&gt;0,MIN(N128,MIN(N127,Inputs!$C$119)+Inputs!$C$120*MAX(0,N127-Inputs!$C$119)),0)</f>
        <v>0</v>
      </c>
      <c r="O129" s="23">
        <f>IF(O127&gt;0,MIN(O128,MIN(O127,Inputs!$C$119)+Inputs!$C$120*MAX(0,O127-Inputs!$C$119)),0)</f>
        <v>0</v>
      </c>
      <c r="P129" s="23">
        <f>IF(P127&gt;0,MIN(P128,MIN(P127,Inputs!$C$119)+Inputs!$C$120*MAX(0,P127-Inputs!$C$119)),0)</f>
        <v>0</v>
      </c>
      <c r="Q129" s="23">
        <f>IF(Q127&gt;0,MIN(Q128,MIN(Q127,Inputs!$C$119)+Inputs!$C$120*MAX(0,Q127-Inputs!$C$119)),0)</f>
        <v>0</v>
      </c>
      <c r="R129" s="23">
        <f>IF(R127&gt;0,MIN(R128,MIN(R127,Inputs!$C$119)+Inputs!$C$120*MAX(0,R127-Inputs!$C$119)),0)</f>
        <v>0</v>
      </c>
      <c r="S129" s="23">
        <f>IF(S127&gt;0,MIN(S128,MIN(S127,Inputs!$C$119)+Inputs!$C$120*MAX(0,S127-Inputs!$C$119)),0)</f>
        <v>0</v>
      </c>
      <c r="T129" s="23">
        <f>IF(T127&gt;0,MIN(T128,MIN(T127,Inputs!$C$119)+Inputs!$C$120*MAX(0,T127-Inputs!$C$119)),0)</f>
        <v>0</v>
      </c>
      <c r="U129" s="23">
        <f>IF(U127&gt;0,MIN(U128,MIN(U127,Inputs!$C$119)+Inputs!$C$120*MAX(0,U127-Inputs!$C$119)),0)</f>
        <v>0</v>
      </c>
      <c r="V129" s="23">
        <f>IF(V127&gt;0,MIN(V128,MIN(V127,Inputs!$C$119)+Inputs!$C$120*MAX(0,V127-Inputs!$C$119)),0)</f>
        <v>55551.40273086727</v>
      </c>
      <c r="W129" s="23">
        <f>IF(W127&gt;0,MIN(W128,MIN(W127,Inputs!$C$119)+Inputs!$C$120*MAX(0,W127-Inputs!$C$119)),0)</f>
        <v>1623873.6146656126</v>
      </c>
      <c r="X129" s="23">
        <f>IF(X127&gt;0,MIN(X128,MIN(X127,Inputs!$C$119)+Inputs!$C$120*MAX(0,X127-Inputs!$C$119)),0)</f>
        <v>1668287.2997340932</v>
      </c>
      <c r="Y129" s="23">
        <f>IF(Y127&gt;0,MIN(Y128,MIN(Y127,Inputs!$C$119)+Inputs!$C$120*MAX(0,Y127-Inputs!$C$119)),0)</f>
        <v>1701233.088592112</v>
      </c>
      <c r="Z129" s="23">
        <f>IF(Z127&gt;0,MIN(Z128,MIN(Z127,Inputs!$C$119)+Inputs!$C$120*MAX(0,Z127-Inputs!$C$119)),0)</f>
        <v>1661834.6644557454</v>
      </c>
      <c r="AA129" s="23">
        <f>IF(AA127&gt;0,MIN(AA128,MIN(AA127,Inputs!$C$119)+Inputs!$C$120*MAX(0,AA127-Inputs!$C$119)),0)</f>
        <v>1674427.5945094787</v>
      </c>
      <c r="AB129" s="23">
        <f>IF(AB127&gt;0,MIN(AB128,MIN(AB127,Inputs!$C$119)+Inputs!$C$120*MAX(0,AB127-Inputs!$C$119)),0)</f>
        <v>1685989.2506170645</v>
      </c>
      <c r="AC129" s="23">
        <f>IF(AC127&gt;0,MIN(AC128,MIN(AC127,Inputs!$C$119)+Inputs!$C$120*MAX(0,AC127-Inputs!$C$119)),0)</f>
        <v>1696656.3116486855</v>
      </c>
      <c r="AD129" s="23">
        <f>IF(AD127&gt;0,MIN(AD128,MIN(AD127,Inputs!$C$119)+Inputs!$C$120*MAX(0,AD127-Inputs!$C$119)),0)</f>
        <v>1665071.9676652215</v>
      </c>
      <c r="AE129" s="23">
        <f>IF(AE127&gt;0,MIN(AE128,MIN(AE127,Inputs!$C$119)+Inputs!$C$120*MAX(0,AE127-Inputs!$C$119)),0)</f>
        <v>1071518.5079500414</v>
      </c>
    </row>
    <row r="130">
      <c r="A130" s="6" t="inlineStr">
        <is>
          <t xml:space="preserve">Trade loss carry-forward at the year end</t>
        </is>
      </c>
      <c r="B130" s="10" t="inlineStr">
        <is>
          <t xml:space="preserve">€</t>
        </is>
      </c>
      <c r="F130" s="23">
        <f>F128-F129+MAX(0,-F127)</f>
        <v>1054168.1891378374</v>
      </c>
      <c r="G130" s="23">
        <f>G128-G129+MAX(0,-G127)</f>
        <v>3078563.1321620634</v>
      </c>
      <c r="H130" s="23">
        <f>H128-H129+MAX(0,-H127)</f>
        <v>5118777.565645203</v>
      </c>
      <c r="I130" s="23">
        <f>I128-I129+MAX(0,-I127)</f>
        <v>7139859.3943066215</v>
      </c>
      <c r="J130" s="23">
        <f>J128-J129+MAX(0,-J127)</f>
        <v>9142625.90905495</v>
      </c>
      <c r="K130" s="23">
        <f>K128-K129+MAX(0,-K127)</f>
        <v>9554367.563834641</v>
      </c>
      <c r="L130" s="23">
        <f>L128-L129+MAX(0,-L127)</f>
        <v>11237128.262245432</v>
      </c>
      <c r="M130" s="23">
        <f>M128-M129+MAX(0,-M127)</f>
        <v>12904558.250084491</v>
      </c>
      <c r="N130" s="23">
        <f>N128-N129+MAX(0,-N127)</f>
        <v>14557722.796991289</v>
      </c>
      <c r="O130" s="23">
        <f>O128-O129+MAX(0,-O127)</f>
        <v>16197381.883510565</v>
      </c>
      <c r="P130" s="23">
        <f>P128-P129+MAX(0,-P127)</f>
        <v>17964943.699901663</v>
      </c>
      <c r="Q130" s="23">
        <f>Q128-Q129+MAX(0,-Q127)</f>
        <v>19732286.355818707</v>
      </c>
      <c r="R130" s="23">
        <f>R128-R129+MAX(0,-R127)</f>
        <v>21501026.571243472</v>
      </c>
      <c r="S130" s="23">
        <f>S128-S129+MAX(0,-S127)</f>
        <v>23272304.767611597</v>
      </c>
      <c r="T130" s="23">
        <f>T128-T129+MAX(0,-T127)</f>
        <v>25047903.812182307</v>
      </c>
      <c r="U130" s="23">
        <f>U128-U129+MAX(0,-U127)</f>
        <v>26829534.939304374</v>
      </c>
      <c r="V130" s="23">
        <f>V128-V129+MAX(0,-V127)</f>
        <v>26773983.536573507</v>
      </c>
      <c r="W130" s="23">
        <f>W128-W129+MAX(0,-W127)</f>
        <v>25150109.921907894</v>
      </c>
      <c r="X130" s="23">
        <f>X128-X129+MAX(0,-X127)</f>
        <v>23481822.6221738</v>
      </c>
      <c r="Y130" s="23">
        <f>Y128-Y129+MAX(0,-Y127)</f>
        <v>21780589.53358169</v>
      </c>
      <c r="Z130" s="23">
        <f>Z128-Z129+MAX(0,-Z127)</f>
        <v>20118754.869125944</v>
      </c>
      <c r="AA130" s="23">
        <f>AA128-AA129+MAX(0,-AA127)</f>
        <v>18444327.274616465</v>
      </c>
      <c r="AB130" s="23">
        <f>AB128-AB129+MAX(0,-AB127)</f>
        <v>16758338.0239994</v>
      </c>
      <c r="AC130" s="23">
        <f>AC128-AC129+MAX(0,-AC127)</f>
        <v>15061681.712350715</v>
      </c>
      <c r="AD130" s="23">
        <f>AD128-AD129+MAX(0,-AD127)</f>
        <v>13396609.744685493</v>
      </c>
      <c r="AE130" s="23">
        <f>AE128-AE129+MAX(0,-AE127)</f>
        <v>12325091.236735452</v>
      </c>
    </row>
    <row r="131">
      <c r="A131" s="6" t="inlineStr">
        <is>
          <t xml:space="preserve">Trade tax base (rounded down to €100; KG allowance)</t>
        </is>
      </c>
      <c r="B131" s="10" t="inlineStr">
        <is>
          <t xml:space="preserve">€</t>
        </is>
      </c>
      <c r="F131" s="23">
        <f>IF(Inputs!$C$91="KG",MAX(0,ROUNDDOWN(MAX(0,F127-F129)/100,0)*100-Inputs!$C$115),ROUNDDOWN(MAX(0,F127-F129)/100,0)*100)</f>
        <v>0</v>
      </c>
      <c r="G131" s="23">
        <f>IF(Inputs!$C$91="KG",MAX(0,ROUNDDOWN(MAX(0,G127-G129)/100,0)*100-Inputs!$C$115),ROUNDDOWN(MAX(0,G127-G129)/100,0)*100)</f>
        <v>0</v>
      </c>
      <c r="H131" s="23">
        <f>IF(Inputs!$C$91="KG",MAX(0,ROUNDDOWN(MAX(0,H127-H129)/100,0)*100-Inputs!$C$115),ROUNDDOWN(MAX(0,H127-H129)/100,0)*100)</f>
        <v>0</v>
      </c>
      <c r="I131" s="23">
        <f>IF(Inputs!$C$91="KG",MAX(0,ROUNDDOWN(MAX(0,I127-I129)/100,0)*100-Inputs!$C$115),ROUNDDOWN(MAX(0,I127-I129)/100,0)*100)</f>
        <v>0</v>
      </c>
      <c r="J131" s="23">
        <f>IF(Inputs!$C$91="KG",MAX(0,ROUNDDOWN(MAX(0,J127-J129)/100,0)*100-Inputs!$C$115),ROUNDDOWN(MAX(0,J127-J129)/100,0)*100)</f>
        <v>0</v>
      </c>
      <c r="K131" s="23">
        <f>IF(Inputs!$C$91="KG",MAX(0,ROUNDDOWN(MAX(0,K127-K129)/100,0)*100-Inputs!$C$115),ROUNDDOWN(MAX(0,K127-K129)/100,0)*100)</f>
        <v>0</v>
      </c>
      <c r="L131" s="23">
        <f>IF(Inputs!$C$91="KG",MAX(0,ROUNDDOWN(MAX(0,L127-L129)/100,0)*100-Inputs!$C$115),ROUNDDOWN(MAX(0,L127-L129)/100,0)*100)</f>
        <v>0</v>
      </c>
      <c r="M131" s="23">
        <f>IF(Inputs!$C$91="KG",MAX(0,ROUNDDOWN(MAX(0,M127-M129)/100,0)*100-Inputs!$C$115),ROUNDDOWN(MAX(0,M127-M129)/100,0)*100)</f>
        <v>0</v>
      </c>
      <c r="N131" s="23">
        <f>IF(Inputs!$C$91="KG",MAX(0,ROUNDDOWN(MAX(0,N127-N129)/100,0)*100-Inputs!$C$115),ROUNDDOWN(MAX(0,N127-N129)/100,0)*100)</f>
        <v>0</v>
      </c>
      <c r="O131" s="23">
        <f>IF(Inputs!$C$91="KG",MAX(0,ROUNDDOWN(MAX(0,O127-O129)/100,0)*100-Inputs!$C$115),ROUNDDOWN(MAX(0,O127-O129)/100,0)*100)</f>
        <v>0</v>
      </c>
      <c r="P131" s="23">
        <f>IF(Inputs!$C$91="KG",MAX(0,ROUNDDOWN(MAX(0,P127-P129)/100,0)*100-Inputs!$C$115),ROUNDDOWN(MAX(0,P127-P129)/100,0)*100)</f>
        <v>0</v>
      </c>
      <c r="Q131" s="23">
        <f>IF(Inputs!$C$91="KG",MAX(0,ROUNDDOWN(MAX(0,Q127-Q129)/100,0)*100-Inputs!$C$115),ROUNDDOWN(MAX(0,Q127-Q129)/100,0)*100)</f>
        <v>0</v>
      </c>
      <c r="R131" s="23">
        <f>IF(Inputs!$C$91="KG",MAX(0,ROUNDDOWN(MAX(0,R127-R129)/100,0)*100-Inputs!$C$115),ROUNDDOWN(MAX(0,R127-R129)/100,0)*100)</f>
        <v>0</v>
      </c>
      <c r="S131" s="23">
        <f>IF(Inputs!$C$91="KG",MAX(0,ROUNDDOWN(MAX(0,S127-S129)/100,0)*100-Inputs!$C$115),ROUNDDOWN(MAX(0,S127-S129)/100,0)*100)</f>
        <v>0</v>
      </c>
      <c r="T131" s="23">
        <f>IF(Inputs!$C$91="KG",MAX(0,ROUNDDOWN(MAX(0,T127-T129)/100,0)*100-Inputs!$C$115),ROUNDDOWN(MAX(0,T127-T129)/100,0)*100)</f>
        <v>0</v>
      </c>
      <c r="U131" s="23">
        <f>IF(Inputs!$C$91="KG",MAX(0,ROUNDDOWN(MAX(0,U127-U129)/100,0)*100-Inputs!$C$115),ROUNDDOWN(MAX(0,U127-U129)/100,0)*100)</f>
        <v>0</v>
      </c>
      <c r="V131" s="23">
        <f>IF(Inputs!$C$91="KG",MAX(0,ROUNDDOWN(MAX(0,V127-V129)/100,0)*100-Inputs!$C$115),ROUNDDOWN(MAX(0,V127-V129)/100,0)*100)</f>
        <v>0</v>
      </c>
      <c r="W131" s="23">
        <f>IF(Inputs!$C$91="KG",MAX(0,ROUNDDOWN(MAX(0,W127-W129)/100,0)*100-Inputs!$C$115),ROUNDDOWN(MAX(0,W127-W129)/100,0)*100)</f>
        <v>391400</v>
      </c>
      <c r="X131" s="23">
        <f>IF(Inputs!$C$91="KG",MAX(0,ROUNDDOWN(MAX(0,X127-X129)/100,0)*100-Inputs!$C$115),ROUNDDOWN(MAX(0,X127-X129)/100,0)*100)</f>
        <v>421000</v>
      </c>
      <c r="Y131" s="23">
        <f>IF(Inputs!$C$91="KG",MAX(0,ROUNDDOWN(MAX(0,Y127-Y129)/100,0)*100-Inputs!$C$115),ROUNDDOWN(MAX(0,Y127-Y129)/100,0)*100)</f>
        <v>442900</v>
      </c>
      <c r="Z131" s="23">
        <f>IF(Inputs!$C$91="KG",MAX(0,ROUNDDOWN(MAX(0,Z127-Z129)/100,0)*100-Inputs!$C$115),ROUNDDOWN(MAX(0,Z127-Z129)/100,0)*100)</f>
        <v>416700</v>
      </c>
      <c r="AA131" s="23">
        <f>IF(Inputs!$C$91="KG",MAX(0,ROUNDDOWN(MAX(0,AA127-AA129)/100,0)*100-Inputs!$C$115),ROUNDDOWN(MAX(0,AA127-AA129)/100,0)*100)</f>
        <v>425100</v>
      </c>
      <c r="AB131" s="23">
        <f>IF(Inputs!$C$91="KG",MAX(0,ROUNDDOWN(MAX(0,AB127-AB129)/100,0)*100-Inputs!$C$115),ROUNDDOWN(MAX(0,AB127-AB129)/100,0)*100)</f>
        <v>432800</v>
      </c>
      <c r="AC131" s="23">
        <f>IF(Inputs!$C$91="KG",MAX(0,ROUNDDOWN(MAX(0,AC127-AC129)/100,0)*100-Inputs!$C$115),ROUNDDOWN(MAX(0,AC127-AC129)/100,0)*100)</f>
        <v>439900</v>
      </c>
      <c r="AD131" s="23">
        <f>IF(Inputs!$C$91="KG",MAX(0,ROUNDDOWN(MAX(0,AD127-AD129)/100,0)*100-Inputs!$C$115),ROUNDDOWN(MAX(0,AD127-AD129)/100,0)*100)</f>
        <v>418800</v>
      </c>
      <c r="AE131" s="23">
        <f>IF(Inputs!$C$91="KG",MAX(0,ROUNDDOWN(MAX(0,AE127-AE129)/100,0)*100-Inputs!$C$115),ROUNDDOWN(MAX(0,AE127-AE129)/100,0)*100)</f>
        <v>23100</v>
      </c>
    </row>
    <row r="132">
      <c r="A132" s="6" t="inlineStr">
        <is>
          <t xml:space="preserve">Trade tax</t>
        </is>
      </c>
      <c r="B132" s="10" t="inlineStr">
        <is>
          <t xml:space="preserve">€</t>
        </is>
      </c>
      <c r="F132" s="23">
        <f>F131*Inputs!$C$114*Inputs!$C$92</f>
        <v>0</v>
      </c>
      <c r="G132" s="23">
        <f>G131*Inputs!$C$114*Inputs!$C$92</f>
        <v>0</v>
      </c>
      <c r="H132" s="23">
        <f>H131*Inputs!$C$114*Inputs!$C$92</f>
        <v>0</v>
      </c>
      <c r="I132" s="23">
        <f>I131*Inputs!$C$114*Inputs!$C$92</f>
        <v>0</v>
      </c>
      <c r="J132" s="23">
        <f>J131*Inputs!$C$114*Inputs!$C$92</f>
        <v>0</v>
      </c>
      <c r="K132" s="23">
        <f>K131*Inputs!$C$114*Inputs!$C$92</f>
        <v>0</v>
      </c>
      <c r="L132" s="23">
        <f>L131*Inputs!$C$114*Inputs!$C$92</f>
        <v>0</v>
      </c>
      <c r="M132" s="23">
        <f>M131*Inputs!$C$114*Inputs!$C$92</f>
        <v>0</v>
      </c>
      <c r="N132" s="23">
        <f>N131*Inputs!$C$114*Inputs!$C$92</f>
        <v>0</v>
      </c>
      <c r="O132" s="23">
        <f>O131*Inputs!$C$114*Inputs!$C$92</f>
        <v>0</v>
      </c>
      <c r="P132" s="23">
        <f>P131*Inputs!$C$114*Inputs!$C$92</f>
        <v>0</v>
      </c>
      <c r="Q132" s="23">
        <f>Q131*Inputs!$C$114*Inputs!$C$92</f>
        <v>0</v>
      </c>
      <c r="R132" s="23">
        <f>R131*Inputs!$C$114*Inputs!$C$92</f>
        <v>0</v>
      </c>
      <c r="S132" s="23">
        <f>S131*Inputs!$C$114*Inputs!$C$92</f>
        <v>0</v>
      </c>
      <c r="T132" s="23">
        <f>T131*Inputs!$C$114*Inputs!$C$92</f>
        <v>0</v>
      </c>
      <c r="U132" s="23">
        <f>U131*Inputs!$C$114*Inputs!$C$92</f>
        <v>0</v>
      </c>
      <c r="V132" s="23">
        <f>V131*Inputs!$C$114*Inputs!$C$92</f>
        <v>0</v>
      </c>
      <c r="W132" s="23">
        <f>W131*Inputs!$C$114*Inputs!$C$92</f>
        <v>54796.00000000001</v>
      </c>
      <c r="X132" s="23">
        <f>X131*Inputs!$C$114*Inputs!$C$92</f>
        <v>58940.00000000001</v>
      </c>
      <c r="Y132" s="23">
        <f>Y131*Inputs!$C$114*Inputs!$C$92</f>
        <v>62006.00000000001</v>
      </c>
      <c r="Z132" s="23">
        <f>Z131*Inputs!$C$114*Inputs!$C$92</f>
        <v>58338.00000000001</v>
      </c>
      <c r="AA132" s="23">
        <f>AA131*Inputs!$C$114*Inputs!$C$92</f>
        <v>59514.00000000001</v>
      </c>
      <c r="AB132" s="23">
        <f>AB131*Inputs!$C$114*Inputs!$C$92</f>
        <v>60592.00000000001</v>
      </c>
      <c r="AC132" s="23">
        <f>AC131*Inputs!$C$114*Inputs!$C$92</f>
        <v>61586.00000000001</v>
      </c>
      <c r="AD132" s="23">
        <f>AD131*Inputs!$C$114*Inputs!$C$92</f>
        <v>58632.00000000001</v>
      </c>
      <c r="AE132" s="23">
        <f>AE131*Inputs!$C$114*Inputs!$C$92</f>
        <v>3234.0000000000005</v>
      </c>
    </row>
    <row r="133">
      <c r="A133" s="6" t="inlineStr">
        <is>
          <t xml:space="preserve">Corporate loss carry-forward at the start (GmbH)</t>
        </is>
      </c>
      <c r="B133" s="10" t="inlineStr">
        <is>
          <t xml:space="preserve">€</t>
        </is>
      </c>
      <c r="E133" s="9">
        <v>0</v>
      </c>
      <c r="F133" s="23">
        <f>E136</f>
        <v>0</v>
      </c>
      <c r="G133" s="23">
        <f>F136</f>
        <v>0</v>
      </c>
      <c r="H133" s="23">
        <f>G136</f>
        <v>0</v>
      </c>
      <c r="I133" s="23">
        <f>H136</f>
        <v>0</v>
      </c>
      <c r="J133" s="23">
        <f>I136</f>
        <v>0</v>
      </c>
      <c r="K133" s="23">
        <f>J136</f>
        <v>0</v>
      </c>
      <c r="L133" s="23">
        <f>K136</f>
        <v>0</v>
      </c>
      <c r="M133" s="23">
        <f>L136</f>
        <v>0</v>
      </c>
      <c r="N133" s="23">
        <f>M136</f>
        <v>0</v>
      </c>
      <c r="O133" s="23">
        <f>N136</f>
        <v>0</v>
      </c>
      <c r="P133" s="23">
        <f>O136</f>
        <v>0</v>
      </c>
      <c r="Q133" s="23">
        <f>P136</f>
        <v>0</v>
      </c>
      <c r="R133" s="23">
        <f>Q136</f>
        <v>0</v>
      </c>
      <c r="S133" s="23">
        <f>R136</f>
        <v>0</v>
      </c>
      <c r="T133" s="23">
        <f>S136</f>
        <v>0</v>
      </c>
      <c r="U133" s="23">
        <f>T136</f>
        <v>0</v>
      </c>
      <c r="V133" s="23">
        <f>U136</f>
        <v>0</v>
      </c>
      <c r="W133" s="23">
        <f>V136</f>
        <v>0</v>
      </c>
      <c r="X133" s="23">
        <f>W136</f>
        <v>0</v>
      </c>
      <c r="Y133" s="23">
        <f>X136</f>
        <v>0</v>
      </c>
      <c r="Z133" s="23">
        <f>Y136</f>
        <v>0</v>
      </c>
      <c r="AA133" s="23">
        <f>Z136</f>
        <v>0</v>
      </c>
      <c r="AB133" s="23">
        <f>AA136</f>
        <v>0</v>
      </c>
      <c r="AC133" s="23">
        <f>AB136</f>
        <v>0</v>
      </c>
      <c r="AD133" s="23">
        <f>AC136</f>
        <v>0</v>
      </c>
      <c r="AE133" s="23">
        <f>AD136</f>
        <v>0</v>
      </c>
    </row>
    <row r="134">
      <c r="A134" s="6" t="inlineStr">
        <is>
          <t xml:space="preserve">Corporate tax: share of profit above €1m that losses may offset</t>
        </is>
      </c>
      <c r="F134" s="24">
        <f>IF(Timing!F59&lt;=Inputs!$C$123,Inputs!$C$121,Inputs!$C$122)</f>
        <v>0.6</v>
      </c>
      <c r="G134" s="24">
        <f>IF(Timing!G59&lt;=Inputs!$C$123,Inputs!$C$121,Inputs!$C$122)</f>
        <v>0.6</v>
      </c>
      <c r="H134" s="24">
        <f>IF(Timing!H59&lt;=Inputs!$C$123,Inputs!$C$121,Inputs!$C$122)</f>
        <v>0.6</v>
      </c>
      <c r="I134" s="24">
        <f>IF(Timing!I59&lt;=Inputs!$C$123,Inputs!$C$121,Inputs!$C$122)</f>
        <v>0.6</v>
      </c>
      <c r="J134" s="24">
        <f>IF(Timing!J59&lt;=Inputs!$C$123,Inputs!$C$121,Inputs!$C$122)</f>
        <v>0.6</v>
      </c>
      <c r="K134" s="24">
        <f>IF(Timing!K59&lt;=Inputs!$C$123,Inputs!$C$121,Inputs!$C$122)</f>
        <v>0.6</v>
      </c>
      <c r="L134" s="24">
        <f>IF(Timing!L59&lt;=Inputs!$C$123,Inputs!$C$121,Inputs!$C$122)</f>
        <v>0.6</v>
      </c>
      <c r="M134" s="24">
        <f>IF(Timing!M59&lt;=Inputs!$C$123,Inputs!$C$121,Inputs!$C$122)</f>
        <v>0.6</v>
      </c>
      <c r="N134" s="24">
        <f>IF(Timing!N59&lt;=Inputs!$C$123,Inputs!$C$121,Inputs!$C$122)</f>
        <v>0.6</v>
      </c>
      <c r="O134" s="24">
        <f>IF(Timing!O59&lt;=Inputs!$C$123,Inputs!$C$121,Inputs!$C$122)</f>
        <v>0.6</v>
      </c>
      <c r="P134" s="24">
        <f>IF(Timing!P59&lt;=Inputs!$C$123,Inputs!$C$121,Inputs!$C$122)</f>
        <v>0.6</v>
      </c>
      <c r="Q134" s="24">
        <f>IF(Timing!Q59&lt;=Inputs!$C$123,Inputs!$C$121,Inputs!$C$122)</f>
        <v>0.6</v>
      </c>
      <c r="R134" s="24">
        <f>IF(Timing!R59&lt;=Inputs!$C$123,Inputs!$C$121,Inputs!$C$122)</f>
        <v>0.6</v>
      </c>
      <c r="S134" s="24">
        <f>IF(Timing!S59&lt;=Inputs!$C$123,Inputs!$C$121,Inputs!$C$122)</f>
        <v>0.6</v>
      </c>
      <c r="T134" s="24">
        <f>IF(Timing!T59&lt;=Inputs!$C$123,Inputs!$C$121,Inputs!$C$122)</f>
        <v>0.6</v>
      </c>
      <c r="U134" s="24">
        <f>IF(Timing!U59&lt;=Inputs!$C$123,Inputs!$C$121,Inputs!$C$122)</f>
        <v>0.6</v>
      </c>
      <c r="V134" s="24">
        <f>IF(Timing!V59&lt;=Inputs!$C$123,Inputs!$C$121,Inputs!$C$122)</f>
        <v>0.6</v>
      </c>
      <c r="W134" s="24">
        <f>IF(Timing!W59&lt;=Inputs!$C$123,Inputs!$C$121,Inputs!$C$122)</f>
        <v>0.6</v>
      </c>
      <c r="X134" s="24">
        <f>IF(Timing!X59&lt;=Inputs!$C$123,Inputs!$C$121,Inputs!$C$122)</f>
        <v>0.6</v>
      </c>
      <c r="Y134" s="24">
        <f>IF(Timing!Y59&lt;=Inputs!$C$123,Inputs!$C$121,Inputs!$C$122)</f>
        <v>0.6</v>
      </c>
      <c r="Z134" s="24">
        <f>IF(Timing!Z59&lt;=Inputs!$C$123,Inputs!$C$121,Inputs!$C$122)</f>
        <v>0.6</v>
      </c>
      <c r="AA134" s="24">
        <f>IF(Timing!AA59&lt;=Inputs!$C$123,Inputs!$C$121,Inputs!$C$122)</f>
        <v>0.6</v>
      </c>
      <c r="AB134" s="24">
        <f>IF(Timing!AB59&lt;=Inputs!$C$123,Inputs!$C$121,Inputs!$C$122)</f>
        <v>0.6</v>
      </c>
      <c r="AC134" s="24">
        <f>IF(Timing!AC59&lt;=Inputs!$C$123,Inputs!$C$121,Inputs!$C$122)</f>
        <v>0.6</v>
      </c>
      <c r="AD134" s="24">
        <f>IF(Timing!AD59&lt;=Inputs!$C$123,Inputs!$C$121,Inputs!$C$122)</f>
        <v>0.6</v>
      </c>
      <c r="AE134" s="24">
        <f>IF(Timing!AE59&lt;=Inputs!$C$123,Inputs!$C$121,Inputs!$C$122)</f>
        <v>0.6</v>
      </c>
    </row>
    <row r="135">
      <c r="A135" s="6" t="inlineStr">
        <is>
          <t xml:space="preserve">Corporate losses used</t>
        </is>
      </c>
      <c r="B135" s="10" t="inlineStr">
        <is>
          <t xml:space="preserve">€</t>
        </is>
      </c>
      <c r="F135" s="23">
        <f>IF(AND(Inputs!$C$91="GmbH",F125&gt;0),MIN(F133,MIN(F125,Inputs!$C$119)+F134*MAX(0,F125-Inputs!$C$119)),0)</f>
        <v>0</v>
      </c>
      <c r="G135" s="23">
        <f>IF(AND(Inputs!$C$91="GmbH",G125&gt;0),MIN(G133,MIN(G125,Inputs!$C$119)+G134*MAX(0,G125-Inputs!$C$119)),0)</f>
        <v>0</v>
      </c>
      <c r="H135" s="23">
        <f>IF(AND(Inputs!$C$91="GmbH",H125&gt;0),MIN(H133,MIN(H125,Inputs!$C$119)+H134*MAX(0,H125-Inputs!$C$119)),0)</f>
        <v>0</v>
      </c>
      <c r="I135" s="23">
        <f>IF(AND(Inputs!$C$91="GmbH",I125&gt;0),MIN(I133,MIN(I125,Inputs!$C$119)+I134*MAX(0,I125-Inputs!$C$119)),0)</f>
        <v>0</v>
      </c>
      <c r="J135" s="23">
        <f>IF(AND(Inputs!$C$91="GmbH",J125&gt;0),MIN(J133,MIN(J125,Inputs!$C$119)+J134*MAX(0,J125-Inputs!$C$119)),0)</f>
        <v>0</v>
      </c>
      <c r="K135" s="23">
        <f>IF(AND(Inputs!$C$91="GmbH",K125&gt;0),MIN(K133,MIN(K125,Inputs!$C$119)+K134*MAX(0,K125-Inputs!$C$119)),0)</f>
        <v>0</v>
      </c>
      <c r="L135" s="23">
        <f>IF(AND(Inputs!$C$91="GmbH",L125&gt;0),MIN(L133,MIN(L125,Inputs!$C$119)+L134*MAX(0,L125-Inputs!$C$119)),0)</f>
        <v>0</v>
      </c>
      <c r="M135" s="23">
        <f>IF(AND(Inputs!$C$91="GmbH",M125&gt;0),MIN(M133,MIN(M125,Inputs!$C$119)+M134*MAX(0,M125-Inputs!$C$119)),0)</f>
        <v>0</v>
      </c>
      <c r="N135" s="23">
        <f>IF(AND(Inputs!$C$91="GmbH",N125&gt;0),MIN(N133,MIN(N125,Inputs!$C$119)+N134*MAX(0,N125-Inputs!$C$119)),0)</f>
        <v>0</v>
      </c>
      <c r="O135" s="23">
        <f>IF(AND(Inputs!$C$91="GmbH",O125&gt;0),MIN(O133,MIN(O125,Inputs!$C$119)+O134*MAX(0,O125-Inputs!$C$119)),0)</f>
        <v>0</v>
      </c>
      <c r="P135" s="23">
        <f>IF(AND(Inputs!$C$91="GmbH",P125&gt;0),MIN(P133,MIN(P125,Inputs!$C$119)+P134*MAX(0,P125-Inputs!$C$119)),0)</f>
        <v>0</v>
      </c>
      <c r="Q135" s="23">
        <f>IF(AND(Inputs!$C$91="GmbH",Q125&gt;0),MIN(Q133,MIN(Q125,Inputs!$C$119)+Q134*MAX(0,Q125-Inputs!$C$119)),0)</f>
        <v>0</v>
      </c>
      <c r="R135" s="23">
        <f>IF(AND(Inputs!$C$91="GmbH",R125&gt;0),MIN(R133,MIN(R125,Inputs!$C$119)+R134*MAX(0,R125-Inputs!$C$119)),0)</f>
        <v>0</v>
      </c>
      <c r="S135" s="23">
        <f>IF(AND(Inputs!$C$91="GmbH",S125&gt;0),MIN(S133,MIN(S125,Inputs!$C$119)+S134*MAX(0,S125-Inputs!$C$119)),0)</f>
        <v>0</v>
      </c>
      <c r="T135" s="23">
        <f>IF(AND(Inputs!$C$91="GmbH",T125&gt;0),MIN(T133,MIN(T125,Inputs!$C$119)+T134*MAX(0,T125-Inputs!$C$119)),0)</f>
        <v>0</v>
      </c>
      <c r="U135" s="23">
        <f>IF(AND(Inputs!$C$91="GmbH",U125&gt;0),MIN(U133,MIN(U125,Inputs!$C$119)+U134*MAX(0,U125-Inputs!$C$119)),0)</f>
        <v>0</v>
      </c>
      <c r="V135" s="23">
        <f>IF(AND(Inputs!$C$91="GmbH",V125&gt;0),MIN(V133,MIN(V125,Inputs!$C$119)+V134*MAX(0,V125-Inputs!$C$119)),0)</f>
        <v>0</v>
      </c>
      <c r="W135" s="23">
        <f>IF(AND(Inputs!$C$91="GmbH",W125&gt;0),MIN(W133,MIN(W125,Inputs!$C$119)+W134*MAX(0,W125-Inputs!$C$119)),0)</f>
        <v>0</v>
      </c>
      <c r="X135" s="23">
        <f>IF(AND(Inputs!$C$91="GmbH",X125&gt;0),MIN(X133,MIN(X125,Inputs!$C$119)+X134*MAX(0,X125-Inputs!$C$119)),0)</f>
        <v>0</v>
      </c>
      <c r="Y135" s="23">
        <f>IF(AND(Inputs!$C$91="GmbH",Y125&gt;0),MIN(Y133,MIN(Y125,Inputs!$C$119)+Y134*MAX(0,Y125-Inputs!$C$119)),0)</f>
        <v>0</v>
      </c>
      <c r="Z135" s="23">
        <f>IF(AND(Inputs!$C$91="GmbH",Z125&gt;0),MIN(Z133,MIN(Z125,Inputs!$C$119)+Z134*MAX(0,Z125-Inputs!$C$119)),0)</f>
        <v>0</v>
      </c>
      <c r="AA135" s="23">
        <f>IF(AND(Inputs!$C$91="GmbH",AA125&gt;0),MIN(AA133,MIN(AA125,Inputs!$C$119)+AA134*MAX(0,AA125-Inputs!$C$119)),0)</f>
        <v>0</v>
      </c>
      <c r="AB135" s="23">
        <f>IF(AND(Inputs!$C$91="GmbH",AB125&gt;0),MIN(AB133,MIN(AB125,Inputs!$C$119)+AB134*MAX(0,AB125-Inputs!$C$119)),0)</f>
        <v>0</v>
      </c>
      <c r="AC135" s="23">
        <f>IF(AND(Inputs!$C$91="GmbH",AC125&gt;0),MIN(AC133,MIN(AC125,Inputs!$C$119)+AC134*MAX(0,AC125-Inputs!$C$119)),0)</f>
        <v>0</v>
      </c>
      <c r="AD135" s="23">
        <f>IF(AND(Inputs!$C$91="GmbH",AD125&gt;0),MIN(AD133,MIN(AD125,Inputs!$C$119)+AD134*MAX(0,AD125-Inputs!$C$119)),0)</f>
        <v>0</v>
      </c>
      <c r="AE135" s="23">
        <f>IF(AND(Inputs!$C$91="GmbH",AE125&gt;0),MIN(AE133,MIN(AE125,Inputs!$C$119)+AE134*MAX(0,AE125-Inputs!$C$119)),0)</f>
        <v>0</v>
      </c>
    </row>
    <row r="136">
      <c r="A136" s="6" t="inlineStr">
        <is>
          <t xml:space="preserve">Corporate loss carry-forward at the year end</t>
        </is>
      </c>
      <c r="B136" s="10" t="inlineStr">
        <is>
          <t xml:space="preserve">€</t>
        </is>
      </c>
      <c r="F136" s="23">
        <f>IF(Inputs!$C$91="GmbH",F133-F135+MAX(0,-F125),0)</f>
        <v>0</v>
      </c>
      <c r="G136" s="23">
        <f>IF(Inputs!$C$91="GmbH",G133-G135+MAX(0,-G125),0)</f>
        <v>0</v>
      </c>
      <c r="H136" s="23">
        <f>IF(Inputs!$C$91="GmbH",H133-H135+MAX(0,-H125),0)</f>
        <v>0</v>
      </c>
      <c r="I136" s="23">
        <f>IF(Inputs!$C$91="GmbH",I133-I135+MAX(0,-I125),0)</f>
        <v>0</v>
      </c>
      <c r="J136" s="23">
        <f>IF(Inputs!$C$91="GmbH",J133-J135+MAX(0,-J125),0)</f>
        <v>0</v>
      </c>
      <c r="K136" s="23">
        <f>IF(Inputs!$C$91="GmbH",K133-K135+MAX(0,-K125),0)</f>
        <v>0</v>
      </c>
      <c r="L136" s="23">
        <f>IF(Inputs!$C$91="GmbH",L133-L135+MAX(0,-L125),0)</f>
        <v>0</v>
      </c>
      <c r="M136" s="23">
        <f>IF(Inputs!$C$91="GmbH",M133-M135+MAX(0,-M125),0)</f>
        <v>0</v>
      </c>
      <c r="N136" s="23">
        <f>IF(Inputs!$C$91="GmbH",N133-N135+MAX(0,-N125),0)</f>
        <v>0</v>
      </c>
      <c r="O136" s="23">
        <f>IF(Inputs!$C$91="GmbH",O133-O135+MAX(0,-O125),0)</f>
        <v>0</v>
      </c>
      <c r="P136" s="23">
        <f>IF(Inputs!$C$91="GmbH",P133-P135+MAX(0,-P125),0)</f>
        <v>0</v>
      </c>
      <c r="Q136" s="23">
        <f>IF(Inputs!$C$91="GmbH",Q133-Q135+MAX(0,-Q125),0)</f>
        <v>0</v>
      </c>
      <c r="R136" s="23">
        <f>IF(Inputs!$C$91="GmbH",R133-R135+MAX(0,-R125),0)</f>
        <v>0</v>
      </c>
      <c r="S136" s="23">
        <f>IF(Inputs!$C$91="GmbH",S133-S135+MAX(0,-S125),0)</f>
        <v>0</v>
      </c>
      <c r="T136" s="23">
        <f>IF(Inputs!$C$91="GmbH",T133-T135+MAX(0,-T125),0)</f>
        <v>0</v>
      </c>
      <c r="U136" s="23">
        <f>IF(Inputs!$C$91="GmbH",U133-U135+MAX(0,-U125),0)</f>
        <v>0</v>
      </c>
      <c r="V136" s="23">
        <f>IF(Inputs!$C$91="GmbH",V133-V135+MAX(0,-V125),0)</f>
        <v>0</v>
      </c>
      <c r="W136" s="23">
        <f>IF(Inputs!$C$91="GmbH",W133-W135+MAX(0,-W125),0)</f>
        <v>0</v>
      </c>
      <c r="X136" s="23">
        <f>IF(Inputs!$C$91="GmbH",X133-X135+MAX(0,-X125),0)</f>
        <v>0</v>
      </c>
      <c r="Y136" s="23">
        <f>IF(Inputs!$C$91="GmbH",Y133-Y135+MAX(0,-Y125),0)</f>
        <v>0</v>
      </c>
      <c r="Z136" s="23">
        <f>IF(Inputs!$C$91="GmbH",Z133-Z135+MAX(0,-Z125),0)</f>
        <v>0</v>
      </c>
      <c r="AA136" s="23">
        <f>IF(Inputs!$C$91="GmbH",AA133-AA135+MAX(0,-AA125),0)</f>
        <v>0</v>
      </c>
      <c r="AB136" s="23">
        <f>IF(Inputs!$C$91="GmbH",AB133-AB135+MAX(0,-AB125),0)</f>
        <v>0</v>
      </c>
      <c r="AC136" s="23">
        <f>IF(Inputs!$C$91="GmbH",AC133-AC135+MAX(0,-AC125),0)</f>
        <v>0</v>
      </c>
      <c r="AD136" s="23">
        <f>IF(Inputs!$C$91="GmbH",AD133-AD135+MAX(0,-AD125),0)</f>
        <v>0</v>
      </c>
      <c r="AE136" s="23">
        <f>IF(Inputs!$C$91="GmbH",AE133-AE135+MAX(0,-AE125),0)</f>
        <v>0</v>
      </c>
    </row>
    <row r="137">
      <c r="A137" s="6" t="inlineStr">
        <is>
          <t xml:space="preserve">Corporate taxable income</t>
        </is>
      </c>
      <c r="B137" s="10" t="inlineStr">
        <is>
          <t xml:space="preserve">€</t>
        </is>
      </c>
      <c r="F137" s="23">
        <f>IF(Inputs!$C$91="GmbH",MAX(0,F125-F135),0)</f>
        <v>0</v>
      </c>
      <c r="G137" s="23">
        <f>IF(Inputs!$C$91="GmbH",MAX(0,G125-G135),0)</f>
        <v>0</v>
      </c>
      <c r="H137" s="23">
        <f>IF(Inputs!$C$91="GmbH",MAX(0,H125-H135),0)</f>
        <v>0</v>
      </c>
      <c r="I137" s="23">
        <f>IF(Inputs!$C$91="GmbH",MAX(0,I125-I135),0)</f>
        <v>0</v>
      </c>
      <c r="J137" s="23">
        <f>IF(Inputs!$C$91="GmbH",MAX(0,J125-J135),0)</f>
        <v>0</v>
      </c>
      <c r="K137" s="23">
        <f>IF(Inputs!$C$91="GmbH",MAX(0,K125-K135),0)</f>
        <v>0</v>
      </c>
      <c r="L137" s="23">
        <f>IF(Inputs!$C$91="GmbH",MAX(0,L125-L135),0)</f>
        <v>0</v>
      </c>
      <c r="M137" s="23">
        <f>IF(Inputs!$C$91="GmbH",MAX(0,M125-M135),0)</f>
        <v>0</v>
      </c>
      <c r="N137" s="23">
        <f>IF(Inputs!$C$91="GmbH",MAX(0,N125-N135),0)</f>
        <v>0</v>
      </c>
      <c r="O137" s="23">
        <f>IF(Inputs!$C$91="GmbH",MAX(0,O125-O135),0)</f>
        <v>0</v>
      </c>
      <c r="P137" s="23">
        <f>IF(Inputs!$C$91="GmbH",MAX(0,P125-P135),0)</f>
        <v>0</v>
      </c>
      <c r="Q137" s="23">
        <f>IF(Inputs!$C$91="GmbH",MAX(0,Q125-Q135),0)</f>
        <v>0</v>
      </c>
      <c r="R137" s="23">
        <f>IF(Inputs!$C$91="GmbH",MAX(0,R125-R135),0)</f>
        <v>0</v>
      </c>
      <c r="S137" s="23">
        <f>IF(Inputs!$C$91="GmbH",MAX(0,S125-S135),0)</f>
        <v>0</v>
      </c>
      <c r="T137" s="23">
        <f>IF(Inputs!$C$91="GmbH",MAX(0,T125-T135),0)</f>
        <v>0</v>
      </c>
      <c r="U137" s="23">
        <f>IF(Inputs!$C$91="GmbH",MAX(0,U125-U135),0)</f>
        <v>0</v>
      </c>
      <c r="V137" s="23">
        <f>IF(Inputs!$C$91="GmbH",MAX(0,V125-V135),0)</f>
        <v>0</v>
      </c>
      <c r="W137" s="23">
        <f>IF(Inputs!$C$91="GmbH",MAX(0,W125-W135),0)</f>
        <v>0</v>
      </c>
      <c r="X137" s="23">
        <f>IF(Inputs!$C$91="GmbH",MAX(0,X125-X135),0)</f>
        <v>0</v>
      </c>
      <c r="Y137" s="23">
        <f>IF(Inputs!$C$91="GmbH",MAX(0,Y125-Y135),0)</f>
        <v>0</v>
      </c>
      <c r="Z137" s="23">
        <f>IF(Inputs!$C$91="GmbH",MAX(0,Z125-Z135),0)</f>
        <v>0</v>
      </c>
      <c r="AA137" s="23">
        <f>IF(Inputs!$C$91="GmbH",MAX(0,AA125-AA135),0)</f>
        <v>0</v>
      </c>
      <c r="AB137" s="23">
        <f>IF(Inputs!$C$91="GmbH",MAX(0,AB125-AB135),0)</f>
        <v>0</v>
      </c>
      <c r="AC137" s="23">
        <f>IF(Inputs!$C$91="GmbH",MAX(0,AC125-AC135),0)</f>
        <v>0</v>
      </c>
      <c r="AD137" s="23">
        <f>IF(Inputs!$C$91="GmbH",MAX(0,AD125-AD135),0)</f>
        <v>0</v>
      </c>
      <c r="AE137" s="23">
        <f>IF(Inputs!$C$91="GmbH",MAX(0,AE125-AE135),0)</f>
        <v>0</v>
      </c>
    </row>
    <row r="138">
      <c r="A138" s="6" t="inlineStr">
        <is>
          <t xml:space="preserve">Corporate tax rate (§ 23 KStG)</t>
        </is>
      </c>
      <c r="F138" s="24">
        <f>IF(Inputs!$C$91="GmbH",MAX(Inputs!$C$125,Inputs!$C$124-Inputs!$C$126*MAX(0,Timing!F59-Inputs!$C$127)),0)</f>
        <v>0</v>
      </c>
      <c r="G138" s="24">
        <f>IF(Inputs!$C$91="GmbH",MAX(Inputs!$C$125,Inputs!$C$124-Inputs!$C$126*MAX(0,Timing!G59-Inputs!$C$127)),0)</f>
        <v>0</v>
      </c>
      <c r="H138" s="24">
        <f>IF(Inputs!$C$91="GmbH",MAX(Inputs!$C$125,Inputs!$C$124-Inputs!$C$126*MAX(0,Timing!H59-Inputs!$C$127)),0)</f>
        <v>0</v>
      </c>
      <c r="I138" s="24">
        <f>IF(Inputs!$C$91="GmbH",MAX(Inputs!$C$125,Inputs!$C$124-Inputs!$C$126*MAX(0,Timing!I59-Inputs!$C$127)),0)</f>
        <v>0</v>
      </c>
      <c r="J138" s="24">
        <f>IF(Inputs!$C$91="GmbH",MAX(Inputs!$C$125,Inputs!$C$124-Inputs!$C$126*MAX(0,Timing!J59-Inputs!$C$127)),0)</f>
        <v>0</v>
      </c>
      <c r="K138" s="24">
        <f>IF(Inputs!$C$91="GmbH",MAX(Inputs!$C$125,Inputs!$C$124-Inputs!$C$126*MAX(0,Timing!K59-Inputs!$C$127)),0)</f>
        <v>0</v>
      </c>
      <c r="L138" s="24">
        <f>IF(Inputs!$C$91="GmbH",MAX(Inputs!$C$125,Inputs!$C$124-Inputs!$C$126*MAX(0,Timing!L59-Inputs!$C$127)),0)</f>
        <v>0</v>
      </c>
      <c r="M138" s="24">
        <f>IF(Inputs!$C$91="GmbH",MAX(Inputs!$C$125,Inputs!$C$124-Inputs!$C$126*MAX(0,Timing!M59-Inputs!$C$127)),0)</f>
        <v>0</v>
      </c>
      <c r="N138" s="24">
        <f>IF(Inputs!$C$91="GmbH",MAX(Inputs!$C$125,Inputs!$C$124-Inputs!$C$126*MAX(0,Timing!N59-Inputs!$C$127)),0)</f>
        <v>0</v>
      </c>
      <c r="O138" s="24">
        <f>IF(Inputs!$C$91="GmbH",MAX(Inputs!$C$125,Inputs!$C$124-Inputs!$C$126*MAX(0,Timing!O59-Inputs!$C$127)),0)</f>
        <v>0</v>
      </c>
      <c r="P138" s="24">
        <f>IF(Inputs!$C$91="GmbH",MAX(Inputs!$C$125,Inputs!$C$124-Inputs!$C$126*MAX(0,Timing!P59-Inputs!$C$127)),0)</f>
        <v>0</v>
      </c>
      <c r="Q138" s="24">
        <f>IF(Inputs!$C$91="GmbH",MAX(Inputs!$C$125,Inputs!$C$124-Inputs!$C$126*MAX(0,Timing!Q59-Inputs!$C$127)),0)</f>
        <v>0</v>
      </c>
      <c r="R138" s="24">
        <f>IF(Inputs!$C$91="GmbH",MAX(Inputs!$C$125,Inputs!$C$124-Inputs!$C$126*MAX(0,Timing!R59-Inputs!$C$127)),0)</f>
        <v>0</v>
      </c>
      <c r="S138" s="24">
        <f>IF(Inputs!$C$91="GmbH",MAX(Inputs!$C$125,Inputs!$C$124-Inputs!$C$126*MAX(0,Timing!S59-Inputs!$C$127)),0)</f>
        <v>0</v>
      </c>
      <c r="T138" s="24">
        <f>IF(Inputs!$C$91="GmbH",MAX(Inputs!$C$125,Inputs!$C$124-Inputs!$C$126*MAX(0,Timing!T59-Inputs!$C$127)),0)</f>
        <v>0</v>
      </c>
      <c r="U138" s="24">
        <f>IF(Inputs!$C$91="GmbH",MAX(Inputs!$C$125,Inputs!$C$124-Inputs!$C$126*MAX(0,Timing!U59-Inputs!$C$127)),0)</f>
        <v>0</v>
      </c>
      <c r="V138" s="24">
        <f>IF(Inputs!$C$91="GmbH",MAX(Inputs!$C$125,Inputs!$C$124-Inputs!$C$126*MAX(0,Timing!V59-Inputs!$C$127)),0)</f>
        <v>0</v>
      </c>
      <c r="W138" s="24">
        <f>IF(Inputs!$C$91="GmbH",MAX(Inputs!$C$125,Inputs!$C$124-Inputs!$C$126*MAX(0,Timing!W59-Inputs!$C$127)),0)</f>
        <v>0</v>
      </c>
      <c r="X138" s="24">
        <f>IF(Inputs!$C$91="GmbH",MAX(Inputs!$C$125,Inputs!$C$124-Inputs!$C$126*MAX(0,Timing!X59-Inputs!$C$127)),0)</f>
        <v>0</v>
      </c>
      <c r="Y138" s="24">
        <f>IF(Inputs!$C$91="GmbH",MAX(Inputs!$C$125,Inputs!$C$124-Inputs!$C$126*MAX(0,Timing!Y59-Inputs!$C$127)),0)</f>
        <v>0</v>
      </c>
      <c r="Z138" s="24">
        <f>IF(Inputs!$C$91="GmbH",MAX(Inputs!$C$125,Inputs!$C$124-Inputs!$C$126*MAX(0,Timing!Z59-Inputs!$C$127)),0)</f>
        <v>0</v>
      </c>
      <c r="AA138" s="24">
        <f>IF(Inputs!$C$91="GmbH",MAX(Inputs!$C$125,Inputs!$C$124-Inputs!$C$126*MAX(0,Timing!AA59-Inputs!$C$127)),0)</f>
        <v>0</v>
      </c>
      <c r="AB138" s="24">
        <f>IF(Inputs!$C$91="GmbH",MAX(Inputs!$C$125,Inputs!$C$124-Inputs!$C$126*MAX(0,Timing!AB59-Inputs!$C$127)),0)</f>
        <v>0</v>
      </c>
      <c r="AC138" s="24">
        <f>IF(Inputs!$C$91="GmbH",MAX(Inputs!$C$125,Inputs!$C$124-Inputs!$C$126*MAX(0,Timing!AC59-Inputs!$C$127)),0)</f>
        <v>0</v>
      </c>
      <c r="AD138" s="24">
        <f>IF(Inputs!$C$91="GmbH",MAX(Inputs!$C$125,Inputs!$C$124-Inputs!$C$126*MAX(0,Timing!AD59-Inputs!$C$127)),0)</f>
        <v>0</v>
      </c>
      <c r="AE138" s="24">
        <f>IF(Inputs!$C$91="GmbH",MAX(Inputs!$C$125,Inputs!$C$124-Inputs!$C$126*MAX(0,Timing!AE59-Inputs!$C$127)),0)</f>
        <v>0</v>
      </c>
    </row>
    <row r="139">
      <c r="A139" s="6" t="inlineStr">
        <is>
          <t xml:space="preserve">Corporate tax</t>
        </is>
      </c>
      <c r="B139" s="10" t="inlineStr">
        <is>
          <t xml:space="preserve">€</t>
        </is>
      </c>
      <c r="F139" s="23">
        <f>F137*F138</f>
        <v>0</v>
      </c>
      <c r="G139" s="23">
        <f>G137*G138</f>
        <v>0</v>
      </c>
      <c r="H139" s="23">
        <f>H137*H138</f>
        <v>0</v>
      </c>
      <c r="I139" s="23">
        <f>I137*I138</f>
        <v>0</v>
      </c>
      <c r="J139" s="23">
        <f>J137*J138</f>
        <v>0</v>
      </c>
      <c r="K139" s="23">
        <f>K137*K138</f>
        <v>0</v>
      </c>
      <c r="L139" s="23">
        <f>L137*L138</f>
        <v>0</v>
      </c>
      <c r="M139" s="23">
        <f>M137*M138</f>
        <v>0</v>
      </c>
      <c r="N139" s="23">
        <f>N137*N138</f>
        <v>0</v>
      </c>
      <c r="O139" s="23">
        <f>O137*O138</f>
        <v>0</v>
      </c>
      <c r="P139" s="23">
        <f>P137*P138</f>
        <v>0</v>
      </c>
      <c r="Q139" s="23">
        <f>Q137*Q138</f>
        <v>0</v>
      </c>
      <c r="R139" s="23">
        <f>R137*R138</f>
        <v>0</v>
      </c>
      <c r="S139" s="23">
        <f>S137*S138</f>
        <v>0</v>
      </c>
      <c r="T139" s="23">
        <f>T137*T138</f>
        <v>0</v>
      </c>
      <c r="U139" s="23">
        <f>U137*U138</f>
        <v>0</v>
      </c>
      <c r="V139" s="23">
        <f>V137*V138</f>
        <v>0</v>
      </c>
      <c r="W139" s="23">
        <f>W137*W138</f>
        <v>0</v>
      </c>
      <c r="X139" s="23">
        <f>X137*X138</f>
        <v>0</v>
      </c>
      <c r="Y139" s="23">
        <f>Y137*Y138</f>
        <v>0</v>
      </c>
      <c r="Z139" s="23">
        <f>Z137*Z138</f>
        <v>0</v>
      </c>
      <c r="AA139" s="23">
        <f>AA137*AA138</f>
        <v>0</v>
      </c>
      <c r="AB139" s="23">
        <f>AB137*AB138</f>
        <v>0</v>
      </c>
      <c r="AC139" s="23">
        <f>AC137*AC138</f>
        <v>0</v>
      </c>
      <c r="AD139" s="23">
        <f>AD137*AD138</f>
        <v>0</v>
      </c>
      <c r="AE139" s="23">
        <f>AE137*AE138</f>
        <v>0</v>
      </c>
    </row>
    <row r="140">
      <c r="A140" s="6" t="inlineStr">
        <is>
          <t xml:space="preserve">Solidarity surcharge</t>
        </is>
      </c>
      <c r="B140" s="10" t="inlineStr">
        <is>
          <t xml:space="preserve">€</t>
        </is>
      </c>
      <c r="F140" s="23">
        <f>F139*Inputs!$C$128</f>
        <v>0</v>
      </c>
      <c r="G140" s="23">
        <f>G139*Inputs!$C$128</f>
        <v>0</v>
      </c>
      <c r="H140" s="23">
        <f>H139*Inputs!$C$128</f>
        <v>0</v>
      </c>
      <c r="I140" s="23">
        <f>I139*Inputs!$C$128</f>
        <v>0</v>
      </c>
      <c r="J140" s="23">
        <f>J139*Inputs!$C$128</f>
        <v>0</v>
      </c>
      <c r="K140" s="23">
        <f>K139*Inputs!$C$128</f>
        <v>0</v>
      </c>
      <c r="L140" s="23">
        <f>L139*Inputs!$C$128</f>
        <v>0</v>
      </c>
      <c r="M140" s="23">
        <f>M139*Inputs!$C$128</f>
        <v>0</v>
      </c>
      <c r="N140" s="23">
        <f>N139*Inputs!$C$128</f>
        <v>0</v>
      </c>
      <c r="O140" s="23">
        <f>O139*Inputs!$C$128</f>
        <v>0</v>
      </c>
      <c r="P140" s="23">
        <f>P139*Inputs!$C$128</f>
        <v>0</v>
      </c>
      <c r="Q140" s="23">
        <f>Q139*Inputs!$C$128</f>
        <v>0</v>
      </c>
      <c r="R140" s="23">
        <f>R139*Inputs!$C$128</f>
        <v>0</v>
      </c>
      <c r="S140" s="23">
        <f>S139*Inputs!$C$128</f>
        <v>0</v>
      </c>
      <c r="T140" s="23">
        <f>T139*Inputs!$C$128</f>
        <v>0</v>
      </c>
      <c r="U140" s="23">
        <f>U139*Inputs!$C$128</f>
        <v>0</v>
      </c>
      <c r="V140" s="23">
        <f>V139*Inputs!$C$128</f>
        <v>0</v>
      </c>
      <c r="W140" s="23">
        <f>W139*Inputs!$C$128</f>
        <v>0</v>
      </c>
      <c r="X140" s="23">
        <f>X139*Inputs!$C$128</f>
        <v>0</v>
      </c>
      <c r="Y140" s="23">
        <f>Y139*Inputs!$C$128</f>
        <v>0</v>
      </c>
      <c r="Z140" s="23">
        <f>Z139*Inputs!$C$128</f>
        <v>0</v>
      </c>
      <c r="AA140" s="23">
        <f>AA139*Inputs!$C$128</f>
        <v>0</v>
      </c>
      <c r="AB140" s="23">
        <f>AB139*Inputs!$C$128</f>
        <v>0</v>
      </c>
      <c r="AC140" s="23">
        <f>AC139*Inputs!$C$128</f>
        <v>0</v>
      </c>
      <c r="AD140" s="23">
        <f>AD139*Inputs!$C$128</f>
        <v>0</v>
      </c>
      <c r="AE140" s="23">
        <f>AE139*Inputs!$C$128</f>
        <v>0</v>
      </c>
    </row>
    <row r="141">
      <c r="A141" s="41" t="inlineStr">
        <is>
          <t xml:space="preserve">Taxes</t>
        </is>
      </c>
      <c r="B141" s="10" t="inlineStr">
        <is>
          <t xml:space="preserve">€</t>
        </is>
      </c>
      <c r="F141" s="42">
        <f>F132+F139+F140</f>
        <v>0</v>
      </c>
      <c r="G141" s="42">
        <f>G132+G139+G140</f>
        <v>0</v>
      </c>
      <c r="H141" s="42">
        <f>H132+H139+H140</f>
        <v>0</v>
      </c>
      <c r="I141" s="42">
        <f>I132+I139+I140</f>
        <v>0</v>
      </c>
      <c r="J141" s="42">
        <f>J132+J139+J140</f>
        <v>0</v>
      </c>
      <c r="K141" s="42">
        <f>K132+K139+K140</f>
        <v>0</v>
      </c>
      <c r="L141" s="42">
        <f>L132+L139+L140</f>
        <v>0</v>
      </c>
      <c r="M141" s="42">
        <f>M132+M139+M140</f>
        <v>0</v>
      </c>
      <c r="N141" s="42">
        <f>N132+N139+N140</f>
        <v>0</v>
      </c>
      <c r="O141" s="42">
        <f>O132+O139+O140</f>
        <v>0</v>
      </c>
      <c r="P141" s="42">
        <f>P132+P139+P140</f>
        <v>0</v>
      </c>
      <c r="Q141" s="42">
        <f>Q132+Q139+Q140</f>
        <v>0</v>
      </c>
      <c r="R141" s="42">
        <f>R132+R139+R140</f>
        <v>0</v>
      </c>
      <c r="S141" s="42">
        <f>S132+S139+S140</f>
        <v>0</v>
      </c>
      <c r="T141" s="42">
        <f>T132+T139+T140</f>
        <v>0</v>
      </c>
      <c r="U141" s="42">
        <f>U132+U139+U140</f>
        <v>0</v>
      </c>
      <c r="V141" s="42">
        <f>V132+V139+V140</f>
        <v>0</v>
      </c>
      <c r="W141" s="42">
        <f>W132+W139+W140</f>
        <v>54796.00000000001</v>
      </c>
      <c r="X141" s="42">
        <f>X132+X139+X140</f>
        <v>58940.00000000001</v>
      </c>
      <c r="Y141" s="42">
        <f>Y132+Y139+Y140</f>
        <v>62006.00000000001</v>
      </c>
      <c r="Z141" s="42">
        <f>Z132+Z139+Z140</f>
        <v>58338.00000000001</v>
      </c>
      <c r="AA141" s="42">
        <f>AA132+AA139+AA140</f>
        <v>59514.00000000001</v>
      </c>
      <c r="AB141" s="42">
        <f>AB132+AB139+AB140</f>
        <v>60592.00000000001</v>
      </c>
      <c r="AC141" s="42">
        <f>AC132+AC139+AC140</f>
        <v>61586.00000000001</v>
      </c>
      <c r="AD141" s="42">
        <f>AD132+AD139+AD140</f>
        <v>58632.00000000001</v>
      </c>
      <c r="AE141" s="42">
        <f>AE132+AE139+AE140</f>
        <v>3234.0000000000005</v>
      </c>
    </row>
    <row r="142">
      <c r="A142" s="41" t="inlineStr">
        <is>
          <t xml:space="preserve">CFADS: EBITDA − change in working capital − taxes</t>
        </is>
      </c>
      <c r="B142" s="10" t="inlineStr">
        <is>
          <t xml:space="preserve">€</t>
        </is>
      </c>
      <c r="F142" s="42">
        <f>Operations!F217-Operations!F225-F141</f>
        <v>1453615.112304504</v>
      </c>
      <c r="G142" s="42">
        <f>Operations!G217-Operations!G225-G141</f>
        <v>1934443.9192025843</v>
      </c>
      <c r="H142" s="42">
        <f>Operations!H217-Operations!H225-H141</f>
        <v>3151921.8944625584</v>
      </c>
      <c r="I142" s="42">
        <f>Operations!I217-Operations!I225-I141</f>
        <v>2683529.8667177265</v>
      </c>
      <c r="J142" s="42">
        <f>Operations!J217-Operations!J225-J141</f>
        <v>2558516.524607921</v>
      </c>
      <c r="K142" s="42">
        <f>Operations!K217-Operations!K225-K141</f>
        <v>2502426.270594942</v>
      </c>
      <c r="L142" s="42">
        <f>Operations!L217-Operations!L225-L141</f>
        <v>4338307.176837427</v>
      </c>
      <c r="M142" s="42">
        <f>Operations!M217-Operations!M225-M141</f>
        <v>2756836.8576003914</v>
      </c>
      <c r="N142" s="42">
        <f>Operations!N217-Operations!N225-N141</f>
        <v>2729025.784782538</v>
      </c>
      <c r="O142" s="42">
        <f>Operations!O217-Operations!O225-O141</f>
        <v>2698206.6364277154</v>
      </c>
      <c r="P142" s="42">
        <f>Operations!P217-Operations!P225-P141</f>
        <v>2528807.3220999893</v>
      </c>
      <c r="Q142" s="42">
        <f>Operations!Q217-Operations!Q225-Q141</f>
        <v>2486740.259837407</v>
      </c>
      <c r="R142" s="42">
        <f>Operations!R217-Operations!R225-R141</f>
        <v>2444947.022996936</v>
      </c>
      <c r="S142" s="42">
        <f>Operations!S217-Operations!S225-S141</f>
        <v>2399689.182738581</v>
      </c>
      <c r="T142" s="42">
        <f>Operations!T217-Operations!T225-T141</f>
        <v>2356540.2441139184</v>
      </c>
      <c r="U142" s="42">
        <f>Operations!U217-Operations!U225-U141</f>
        <v>2311761.2314536283</v>
      </c>
      <c r="V142" s="42">
        <f>Operations!V217-Operations!V225-V141</f>
        <v>2267268.9329940462</v>
      </c>
      <c r="W142" s="42">
        <f>Operations!W217-Operations!W225-W141</f>
        <v>2154168.9757873775</v>
      </c>
      <c r="X142" s="42">
        <f>Operations!X217-Operations!X225-X141</f>
        <v>2211960.57311389</v>
      </c>
      <c r="Y142" s="42">
        <f>Operations!Y217-Operations!Y225-Y141</f>
        <v>2248314.5406976775</v>
      </c>
      <c r="Z142" s="42">
        <f>Operations!Z217-Operations!Z225-Z141</f>
        <v>2204383.992413605</v>
      </c>
      <c r="AA142" s="42">
        <f>Operations!AA217-Operations!AA225-AA141</f>
        <v>2239956.984071967</v>
      </c>
      <c r="AB142" s="42">
        <f>Operations!AB217-Operations!AB225-AB141</f>
        <v>2279453.4884312395</v>
      </c>
      <c r="AC142" s="42">
        <f>Operations!AC217-Operations!AC225-AC141</f>
        <v>2318573.6346889487</v>
      </c>
      <c r="AD142" s="42">
        <f>Operations!AD217-Operations!AD225-AD141</f>
        <v>2363417.3461972345</v>
      </c>
      <c r="AE142" s="42">
        <f>Operations!AE217-Operations!AE225-AE141</f>
        <v>1642374.952655662</v>
      </c>
    </row>
    <row r="144">
      <c r="A144" s="5" t="inlineStr">
        <is>
          <t xml:space="preserve">Base without debt (project IRR)</t>
        </is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>
      <c r="A145" s="6" t="inlineStr">
        <is>
          <t xml:space="preserve">Depreciable base: capex</t>
        </is>
      </c>
      <c r="B145" s="10" t="inlineStr">
        <is>
          <t xml:space="preserve">€</t>
        </is>
      </c>
      <c r="C145" s="45">
        <f>Construction!$C$44</f>
        <v>57135645</v>
      </c>
    </row>
    <row r="146">
      <c r="A146" s="6" t="inlineStr">
        <is>
          <t xml:space="preserve">Book value at the start of the year</t>
        </is>
      </c>
      <c r="B146" s="10" t="inlineStr">
        <is>
          <t xml:space="preserve">€</t>
        </is>
      </c>
      <c r="F146" s="23">
        <f>E153</f>
        <v>57135645</v>
      </c>
      <c r="G146" s="23">
        <f>F153</f>
        <v>55350156.09375</v>
      </c>
      <c r="H146" s="23">
        <f>G153</f>
        <v>51779178.28125</v>
      </c>
      <c r="I146" s="23">
        <f>H153</f>
        <v>48208200.46875</v>
      </c>
      <c r="J146" s="23">
        <f>I153</f>
        <v>44637222.65625</v>
      </c>
      <c r="K146" s="23">
        <f>J153</f>
        <v>41066244.84375</v>
      </c>
      <c r="L146" s="23">
        <f>K153</f>
        <v>37495267.03125</v>
      </c>
      <c r="M146" s="23">
        <f>L153</f>
        <v>33924289.21875</v>
      </c>
      <c r="N146" s="23">
        <f>M153</f>
        <v>30353311.40625</v>
      </c>
      <c r="O146" s="23">
        <f>N153</f>
        <v>26782333.59375</v>
      </c>
      <c r="P146" s="23">
        <f>O153</f>
        <v>23211355.78125</v>
      </c>
      <c r="Q146" s="23">
        <f>P153</f>
        <v>19640377.96875</v>
      </c>
      <c r="R146" s="23">
        <f>Q153</f>
        <v>16069400.15625</v>
      </c>
      <c r="S146" s="23">
        <f>R153</f>
        <v>12498422.34375</v>
      </c>
      <c r="T146" s="23">
        <f>S153</f>
        <v>8927444.53125</v>
      </c>
      <c r="U146" s="23">
        <f>T153</f>
        <v>5356466.71875</v>
      </c>
      <c r="V146" s="23">
        <f>U153</f>
        <v>1785488.90625</v>
      </c>
      <c r="W146" s="23">
        <f>V153</f>
        <v>0</v>
      </c>
      <c r="X146" s="23">
        <f>W153</f>
        <v>0</v>
      </c>
      <c r="Y146" s="23">
        <f>X153</f>
        <v>0</v>
      </c>
      <c r="Z146" s="23">
        <f>Y153</f>
        <v>0</v>
      </c>
      <c r="AA146" s="23">
        <f>Z153</f>
        <v>0</v>
      </c>
      <c r="AB146" s="23">
        <f>AA153</f>
        <v>0</v>
      </c>
      <c r="AC146" s="23">
        <f>AB153</f>
        <v>0</v>
      </c>
      <c r="AD146" s="23">
        <f>AC153</f>
        <v>0</v>
      </c>
      <c r="AE146" s="23">
        <f>AD153</f>
        <v>0</v>
      </c>
    </row>
    <row r="147">
      <c r="A147" s="6" t="inlineStr">
        <is>
          <t xml:space="preserve">Months depreciated before the year</t>
        </is>
      </c>
      <c r="E147" s="9">
        <v>0</v>
      </c>
      <c r="F147" s="23">
        <f>E154</f>
        <v>0</v>
      </c>
      <c r="G147" s="23">
        <f>F154</f>
        <v>6</v>
      </c>
      <c r="H147" s="23">
        <f>G154</f>
        <v>18</v>
      </c>
      <c r="I147" s="23">
        <f>H154</f>
        <v>30</v>
      </c>
      <c r="J147" s="23">
        <f>I154</f>
        <v>42</v>
      </c>
      <c r="K147" s="23">
        <f>J154</f>
        <v>54</v>
      </c>
      <c r="L147" s="23">
        <f>K154</f>
        <v>66</v>
      </c>
      <c r="M147" s="23">
        <f>L154</f>
        <v>78</v>
      </c>
      <c r="N147" s="23">
        <f>M154</f>
        <v>90</v>
      </c>
      <c r="O147" s="23">
        <f>N154</f>
        <v>102</v>
      </c>
      <c r="P147" s="23">
        <f>O154</f>
        <v>114</v>
      </c>
      <c r="Q147" s="23">
        <f>P154</f>
        <v>126</v>
      </c>
      <c r="R147" s="23">
        <f>Q154</f>
        <v>138</v>
      </c>
      <c r="S147" s="23">
        <f>R154</f>
        <v>150</v>
      </c>
      <c r="T147" s="23">
        <f>S154</f>
        <v>162</v>
      </c>
      <c r="U147" s="23">
        <f>T154</f>
        <v>174</v>
      </c>
      <c r="V147" s="23">
        <f>U154</f>
        <v>186</v>
      </c>
      <c r="W147" s="23">
        <f>V154</f>
        <v>198</v>
      </c>
      <c r="X147" s="23">
        <f>W154</f>
        <v>198</v>
      </c>
      <c r="Y147" s="23">
        <f>X154</f>
        <v>198</v>
      </c>
      <c r="Z147" s="23">
        <f>Y154</f>
        <v>198</v>
      </c>
      <c r="AA147" s="23">
        <f>Z154</f>
        <v>198</v>
      </c>
      <c r="AB147" s="23">
        <f>AA154</f>
        <v>198</v>
      </c>
      <c r="AC147" s="23">
        <f>AB154</f>
        <v>198</v>
      </c>
      <c r="AD147" s="23">
        <f>AC154</f>
        <v>198</v>
      </c>
      <c r="AE147" s="23">
        <f>AD154</f>
        <v>198</v>
      </c>
    </row>
    <row r="148">
      <c r="A148" s="6" t="inlineStr">
        <is>
          <t xml:space="preserve">Remaining useful life</t>
        </is>
      </c>
      <c r="B148" s="10" t="inlineStr">
        <is>
          <t xml:space="preserve">years</t>
        </is>
      </c>
      <c r="F148" s="21">
        <f>Inputs!$C$93-F147/12</f>
        <v>16</v>
      </c>
      <c r="G148" s="21">
        <f>Inputs!$C$93-G147/12</f>
        <v>15.5</v>
      </c>
      <c r="H148" s="21">
        <f>Inputs!$C$93-H147/12</f>
        <v>14.5</v>
      </c>
      <c r="I148" s="21">
        <f>Inputs!$C$93-I147/12</f>
        <v>13.5</v>
      </c>
      <c r="J148" s="21">
        <f>Inputs!$C$93-J147/12</f>
        <v>12.5</v>
      </c>
      <c r="K148" s="21">
        <f>Inputs!$C$93-K147/12</f>
        <v>11.5</v>
      </c>
      <c r="L148" s="21">
        <f>Inputs!$C$93-L147/12</f>
        <v>10.5</v>
      </c>
      <c r="M148" s="21">
        <f>Inputs!$C$93-M147/12</f>
        <v>9.5</v>
      </c>
      <c r="N148" s="21">
        <f>Inputs!$C$93-N147/12</f>
        <v>8.5</v>
      </c>
      <c r="O148" s="21">
        <f>Inputs!$C$93-O147/12</f>
        <v>7.5</v>
      </c>
      <c r="P148" s="21">
        <f>Inputs!$C$93-P147/12</f>
        <v>6.5</v>
      </c>
      <c r="Q148" s="21">
        <f>Inputs!$C$93-Q147/12</f>
        <v>5.5</v>
      </c>
      <c r="R148" s="21">
        <f>Inputs!$C$93-R147/12</f>
        <v>4.5</v>
      </c>
      <c r="S148" s="21">
        <f>Inputs!$C$93-S147/12</f>
        <v>3.5</v>
      </c>
      <c r="T148" s="21">
        <f>Inputs!$C$93-T147/12</f>
        <v>2.5</v>
      </c>
      <c r="U148" s="21">
        <f>Inputs!$C$93-U147/12</f>
        <v>1.5</v>
      </c>
      <c r="V148" s="21">
        <f>Inputs!$C$93-V147/12</f>
        <v>0.5</v>
      </c>
      <c r="W148" s="21">
        <f>Inputs!$C$93-W147/12</f>
        <v>-0.5</v>
      </c>
      <c r="X148" s="21">
        <f>Inputs!$C$93-X147/12</f>
        <v>-0.5</v>
      </c>
      <c r="Y148" s="21">
        <f>Inputs!$C$93-Y147/12</f>
        <v>-0.5</v>
      </c>
      <c r="Z148" s="21">
        <f>Inputs!$C$93-Z147/12</f>
        <v>-0.5</v>
      </c>
      <c r="AA148" s="21">
        <f>Inputs!$C$93-AA147/12</f>
        <v>-0.5</v>
      </c>
      <c r="AB148" s="21">
        <f>Inputs!$C$93-AB147/12</f>
        <v>-0.5</v>
      </c>
      <c r="AC148" s="21">
        <f>Inputs!$C$93-AC147/12</f>
        <v>-0.5</v>
      </c>
      <c r="AD148" s="21">
        <f>Inputs!$C$93-AD147/12</f>
        <v>-0.5</v>
      </c>
      <c r="AE148" s="21">
        <f>Inputs!$C$93-AE147/12</f>
        <v>-0.5</v>
      </c>
    </row>
    <row r="149">
      <c r="A149" s="6" t="inlineStr">
        <is>
          <t xml:space="preserve">Straight-line amount</t>
        </is>
      </c>
      <c r="B149" s="10" t="inlineStr">
        <is>
          <t xml:space="preserve">€</t>
        </is>
      </c>
      <c r="F149" s="23">
        <f>IF(F148&gt;0,F146/F148*Timing!F87/12,F146)</f>
        <v>1785488.90625</v>
      </c>
      <c r="G149" s="23">
        <f>IF(G148&gt;0,G146/G148*Timing!G87/12,G146)</f>
        <v>3570977.8125</v>
      </c>
      <c r="H149" s="23">
        <f>IF(H148&gt;0,H146/H148*Timing!H87/12,H146)</f>
        <v>3570977.8125</v>
      </c>
      <c r="I149" s="23">
        <f>IF(I148&gt;0,I146/I148*Timing!I87/12,I146)</f>
        <v>3570977.8125</v>
      </c>
      <c r="J149" s="23">
        <f>IF(J148&gt;0,J146/J148*Timing!J87/12,J146)</f>
        <v>3570977.8125</v>
      </c>
      <c r="K149" s="23">
        <f>IF(K148&gt;0,K146/K148*Timing!K87/12,K146)</f>
        <v>3570977.8125</v>
      </c>
      <c r="L149" s="23">
        <f>IF(L148&gt;0,L146/L148*Timing!L87/12,L146)</f>
        <v>3570977.8125</v>
      </c>
      <c r="M149" s="23">
        <f>IF(M148&gt;0,M146/M148*Timing!M87/12,M146)</f>
        <v>3570977.8125</v>
      </c>
      <c r="N149" s="23">
        <f>IF(N148&gt;0,N146/N148*Timing!N87/12,N146)</f>
        <v>3570977.8125</v>
      </c>
      <c r="O149" s="23">
        <f>IF(O148&gt;0,O146/O148*Timing!O87/12,O146)</f>
        <v>3570977.8125</v>
      </c>
      <c r="P149" s="23">
        <f>IF(P148&gt;0,P146/P148*Timing!P87/12,P146)</f>
        <v>3570977.8125</v>
      </c>
      <c r="Q149" s="23">
        <f>IF(Q148&gt;0,Q146/Q148*Timing!Q87/12,Q146)</f>
        <v>3570977.8125</v>
      </c>
      <c r="R149" s="23">
        <f>IF(R148&gt;0,R146/R148*Timing!R87/12,R146)</f>
        <v>3570977.8125</v>
      </c>
      <c r="S149" s="23">
        <f>IF(S148&gt;0,S146/S148*Timing!S87/12,S146)</f>
        <v>3570977.8125</v>
      </c>
      <c r="T149" s="23">
        <f>IF(T148&gt;0,T146/T148*Timing!T87/12,T146)</f>
        <v>3570977.8125</v>
      </c>
      <c r="U149" s="23">
        <f>IF(U148&gt;0,U146/U148*Timing!U87/12,U146)</f>
        <v>3570977.8125</v>
      </c>
      <c r="V149" s="23">
        <f>IF(V148&gt;0,V146/V148*Timing!V87/12,V146)</f>
        <v>3570977.8125</v>
      </c>
      <c r="W149" s="23">
        <f>IF(W148&gt;0,W146/W148*Timing!W87/12,W146)</f>
        <v>0</v>
      </c>
      <c r="X149" s="23">
        <f>IF(X148&gt;0,X146/X148*Timing!X87/12,X146)</f>
        <v>0</v>
      </c>
      <c r="Y149" s="23">
        <f>IF(Y148&gt;0,Y146/Y148*Timing!Y87/12,Y146)</f>
        <v>0</v>
      </c>
      <c r="Z149" s="23">
        <f>IF(Z148&gt;0,Z146/Z148*Timing!Z87/12,Z146)</f>
        <v>0</v>
      </c>
      <c r="AA149" s="23">
        <f>IF(AA148&gt;0,AA146/AA148*Timing!AA87/12,AA146)</f>
        <v>0</v>
      </c>
      <c r="AB149" s="23">
        <f>IF(AB148&gt;0,AB146/AB148*Timing!AB87/12,AB146)</f>
        <v>0</v>
      </c>
      <c r="AC149" s="23">
        <f>IF(AC148&gt;0,AC146/AC148*Timing!AC87/12,AC146)</f>
        <v>0</v>
      </c>
      <c r="AD149" s="23">
        <f>IF(AD148&gt;0,AD146/AD148*Timing!AD87/12,AD146)</f>
        <v>0</v>
      </c>
      <c r="AE149" s="23">
        <f>IF(AE148&gt;0,AE146/AE148*Timing!AE87/12,AE146)</f>
        <v>0</v>
      </c>
    </row>
    <row r="150">
      <c r="A150" s="6" t="inlineStr">
        <is>
          <t xml:space="preserve">Declining-balance amount</t>
        </is>
      </c>
      <c r="B150" s="10" t="inlineStr">
        <is>
          <t xml:space="preserve">€</t>
        </is>
      </c>
      <c r="F150" s="23">
        <f>F146*Timing!$C$36*Timing!F87/12</f>
        <v>5356466.71875</v>
      </c>
      <c r="G150" s="23">
        <f>G146*Timing!$C$36*Timing!G87/12</f>
        <v>10378154.267578125</v>
      </c>
      <c r="H150" s="23">
        <f>H146*Timing!$C$36*Timing!H87/12</f>
        <v>9708595.927734375</v>
      </c>
      <c r="I150" s="23">
        <f>I146*Timing!$C$36*Timing!I87/12</f>
        <v>9039037.587890625</v>
      </c>
      <c r="J150" s="23">
        <f>J146*Timing!$C$36*Timing!J87/12</f>
        <v>8369479.248046875</v>
      </c>
      <c r="K150" s="23">
        <f>K146*Timing!$C$36*Timing!K87/12</f>
        <v>7699920.908203125</v>
      </c>
      <c r="L150" s="23">
        <f>L146*Timing!$C$36*Timing!L87/12</f>
        <v>7030362.568359375</v>
      </c>
      <c r="M150" s="23">
        <f>M146*Timing!$C$36*Timing!M87/12</f>
        <v>6360804.228515625</v>
      </c>
      <c r="N150" s="23">
        <f>N146*Timing!$C$36*Timing!N87/12</f>
        <v>5691245.888671875</v>
      </c>
      <c r="O150" s="23">
        <f>O146*Timing!$C$36*Timing!O87/12</f>
        <v>5021687.548828125</v>
      </c>
      <c r="P150" s="23">
        <f>P146*Timing!$C$36*Timing!P87/12</f>
        <v>4352129.208984375</v>
      </c>
      <c r="Q150" s="23">
        <f>Q146*Timing!$C$36*Timing!Q87/12</f>
        <v>3682570.869140625</v>
      </c>
      <c r="R150" s="23">
        <f>R146*Timing!$C$36*Timing!R87/12</f>
        <v>3013012.529296875</v>
      </c>
      <c r="S150" s="23">
        <f>S146*Timing!$C$36*Timing!S87/12</f>
        <v>2343454.189453125</v>
      </c>
      <c r="T150" s="23">
        <f>T146*Timing!$C$36*Timing!T87/12</f>
        <v>1673895.849609375</v>
      </c>
      <c r="U150" s="23">
        <f>U146*Timing!$C$36*Timing!U87/12</f>
        <v>1004337.509765625</v>
      </c>
      <c r="V150" s="23">
        <f>V146*Timing!$C$36*Timing!V87/12</f>
        <v>334779.169921875</v>
      </c>
      <c r="W150" s="23">
        <f>W146*Timing!$C$36*Timing!W87/12</f>
        <v>0</v>
      </c>
      <c r="X150" s="23">
        <f>X146*Timing!$C$36*Timing!X87/12</f>
        <v>0</v>
      </c>
      <c r="Y150" s="23">
        <f>Y146*Timing!$C$36*Timing!Y87/12</f>
        <v>0</v>
      </c>
      <c r="Z150" s="23">
        <f>Z146*Timing!$C$36*Timing!Z87/12</f>
        <v>0</v>
      </c>
      <c r="AA150" s="23">
        <f>AA146*Timing!$C$36*Timing!AA87/12</f>
        <v>0</v>
      </c>
      <c r="AB150" s="23">
        <f>AB146*Timing!$C$36*Timing!AB87/12</f>
        <v>0</v>
      </c>
      <c r="AC150" s="23">
        <f>AC146*Timing!$C$36*Timing!AC87/12</f>
        <v>0</v>
      </c>
      <c r="AD150" s="23">
        <f>AD146*Timing!$C$36*Timing!AD87/12</f>
        <v>0</v>
      </c>
      <c r="AE150" s="23">
        <f>AE146*Timing!$C$36*Timing!AE87/12</f>
        <v>0</v>
      </c>
    </row>
    <row r="151">
      <c r="A151" s="6" t="inlineStr">
        <is>
          <t xml:space="preserve">Straight-line from this year (1 = yes)</t>
        </is>
      </c>
      <c r="E151" s="9">
        <v>0</v>
      </c>
      <c r="F151" s="23">
        <f>IF(OR(Timing!$C$35=0,E151=1,F149&gt;=F150),1,0)</f>
        <v>1</v>
      </c>
      <c r="G151" s="23">
        <f>IF(OR(Timing!$C$35=0,F151=1,G149&gt;=G150),1,0)</f>
        <v>1</v>
      </c>
      <c r="H151" s="23">
        <f>IF(OR(Timing!$C$35=0,G151=1,H149&gt;=H150),1,0)</f>
        <v>1</v>
      </c>
      <c r="I151" s="23">
        <f>IF(OR(Timing!$C$35=0,H151=1,I149&gt;=I150),1,0)</f>
        <v>1</v>
      </c>
      <c r="J151" s="23">
        <f>IF(OR(Timing!$C$35=0,I151=1,J149&gt;=J150),1,0)</f>
        <v>1</v>
      </c>
      <c r="K151" s="23">
        <f>IF(OR(Timing!$C$35=0,J151=1,K149&gt;=K150),1,0)</f>
        <v>1</v>
      </c>
      <c r="L151" s="23">
        <f>IF(OR(Timing!$C$35=0,K151=1,L149&gt;=L150),1,0)</f>
        <v>1</v>
      </c>
      <c r="M151" s="23">
        <f>IF(OR(Timing!$C$35=0,L151=1,M149&gt;=M150),1,0)</f>
        <v>1</v>
      </c>
      <c r="N151" s="23">
        <f>IF(OR(Timing!$C$35=0,M151=1,N149&gt;=N150),1,0)</f>
        <v>1</v>
      </c>
      <c r="O151" s="23">
        <f>IF(OR(Timing!$C$35=0,N151=1,O149&gt;=O150),1,0)</f>
        <v>1</v>
      </c>
      <c r="P151" s="23">
        <f>IF(OR(Timing!$C$35=0,O151=1,P149&gt;=P150),1,0)</f>
        <v>1</v>
      </c>
      <c r="Q151" s="23">
        <f>IF(OR(Timing!$C$35=0,P151=1,Q149&gt;=Q150),1,0)</f>
        <v>1</v>
      </c>
      <c r="R151" s="23">
        <f>IF(OR(Timing!$C$35=0,Q151=1,R149&gt;=R150),1,0)</f>
        <v>1</v>
      </c>
      <c r="S151" s="23">
        <f>IF(OR(Timing!$C$35=0,R151=1,S149&gt;=S150),1,0)</f>
        <v>1</v>
      </c>
      <c r="T151" s="23">
        <f>IF(OR(Timing!$C$35=0,S151=1,T149&gt;=T150),1,0)</f>
        <v>1</v>
      </c>
      <c r="U151" s="23">
        <f>IF(OR(Timing!$C$35=0,T151=1,U149&gt;=U150),1,0)</f>
        <v>1</v>
      </c>
      <c r="V151" s="23">
        <f>IF(OR(Timing!$C$35=0,U151=1,V149&gt;=V150),1,0)</f>
        <v>1</v>
      </c>
      <c r="W151" s="23">
        <f>IF(OR(Timing!$C$35=0,V151=1,W149&gt;=W150),1,0)</f>
        <v>1</v>
      </c>
      <c r="X151" s="23">
        <f>IF(OR(Timing!$C$35=0,W151=1,X149&gt;=X150),1,0)</f>
        <v>1</v>
      </c>
      <c r="Y151" s="23">
        <f>IF(OR(Timing!$C$35=0,X151=1,Y149&gt;=Y150),1,0)</f>
        <v>1</v>
      </c>
      <c r="Z151" s="23">
        <f>IF(OR(Timing!$C$35=0,Y151=1,Z149&gt;=Z150),1,0)</f>
        <v>1</v>
      </c>
      <c r="AA151" s="23">
        <f>IF(OR(Timing!$C$35=0,Z151=1,AA149&gt;=AA150),1,0)</f>
        <v>1</v>
      </c>
      <c r="AB151" s="23">
        <f>IF(OR(Timing!$C$35=0,AA151=1,AB149&gt;=AB150),1,0)</f>
        <v>1</v>
      </c>
      <c r="AC151" s="23">
        <f>IF(OR(Timing!$C$35=0,AB151=1,AC149&gt;=AC150),1,0)</f>
        <v>1</v>
      </c>
      <c r="AD151" s="23">
        <f>IF(OR(Timing!$C$35=0,AC151=1,AD149&gt;=AD150),1,0)</f>
        <v>1</v>
      </c>
      <c r="AE151" s="23">
        <f>IF(OR(Timing!$C$35=0,AD151=1,AE149&gt;=AE150),1,0)</f>
        <v>1</v>
      </c>
    </row>
    <row r="152">
      <c r="A152" s="6" t="inlineStr">
        <is>
          <t xml:space="preserve">Depreciation by schedule</t>
        </is>
      </c>
      <c r="B152" s="10" t="inlineStr">
        <is>
          <t xml:space="preserve">€</t>
        </is>
      </c>
      <c r="F152" s="23">
        <f>IF(F146&lt;=Inputs!$C$157,0,MIN(F146,IF(F151=1,F149,F150)))</f>
        <v>1785488.90625</v>
      </c>
      <c r="G152" s="23">
        <f>IF(G146&lt;=Inputs!$C$157,0,MIN(G146,IF(G151=1,G149,G150)))</f>
        <v>3570977.8125</v>
      </c>
      <c r="H152" s="23">
        <f>IF(H146&lt;=Inputs!$C$157,0,MIN(H146,IF(H151=1,H149,H150)))</f>
        <v>3570977.8125</v>
      </c>
      <c r="I152" s="23">
        <f>IF(I146&lt;=Inputs!$C$157,0,MIN(I146,IF(I151=1,I149,I150)))</f>
        <v>3570977.8125</v>
      </c>
      <c r="J152" s="23">
        <f>IF(J146&lt;=Inputs!$C$157,0,MIN(J146,IF(J151=1,J149,J150)))</f>
        <v>3570977.8125</v>
      </c>
      <c r="K152" s="23">
        <f>IF(K146&lt;=Inputs!$C$157,0,MIN(K146,IF(K151=1,K149,K150)))</f>
        <v>3570977.8125</v>
      </c>
      <c r="L152" s="23">
        <f>IF(L146&lt;=Inputs!$C$157,0,MIN(L146,IF(L151=1,L149,L150)))</f>
        <v>3570977.8125</v>
      </c>
      <c r="M152" s="23">
        <f>IF(M146&lt;=Inputs!$C$157,0,MIN(M146,IF(M151=1,M149,M150)))</f>
        <v>3570977.8125</v>
      </c>
      <c r="N152" s="23">
        <f>IF(N146&lt;=Inputs!$C$157,0,MIN(N146,IF(N151=1,N149,N150)))</f>
        <v>3570977.8125</v>
      </c>
      <c r="O152" s="23">
        <f>IF(O146&lt;=Inputs!$C$157,0,MIN(O146,IF(O151=1,O149,O150)))</f>
        <v>3570977.8125</v>
      </c>
      <c r="P152" s="23">
        <f>IF(P146&lt;=Inputs!$C$157,0,MIN(P146,IF(P151=1,P149,P150)))</f>
        <v>3570977.8125</v>
      </c>
      <c r="Q152" s="23">
        <f>IF(Q146&lt;=Inputs!$C$157,0,MIN(Q146,IF(Q151=1,Q149,Q150)))</f>
        <v>3570977.8125</v>
      </c>
      <c r="R152" s="23">
        <f>IF(R146&lt;=Inputs!$C$157,0,MIN(R146,IF(R151=1,R149,R150)))</f>
        <v>3570977.8125</v>
      </c>
      <c r="S152" s="23">
        <f>IF(S146&lt;=Inputs!$C$157,0,MIN(S146,IF(S151=1,S149,S150)))</f>
        <v>3570977.8125</v>
      </c>
      <c r="T152" s="23">
        <f>IF(T146&lt;=Inputs!$C$157,0,MIN(T146,IF(T151=1,T149,T150)))</f>
        <v>3570977.8125</v>
      </c>
      <c r="U152" s="23">
        <f>IF(U146&lt;=Inputs!$C$157,0,MIN(U146,IF(U151=1,U149,U150)))</f>
        <v>3570977.8125</v>
      </c>
      <c r="V152" s="23">
        <f>IF(V146&lt;=Inputs!$C$157,0,MIN(V146,IF(V151=1,V149,V150)))</f>
        <v>1785488.90625</v>
      </c>
      <c r="W152" s="23">
        <f>IF(W146&lt;=Inputs!$C$157,0,MIN(W146,IF(W151=1,W149,W150)))</f>
        <v>0</v>
      </c>
      <c r="X152" s="23">
        <f>IF(X146&lt;=Inputs!$C$157,0,MIN(X146,IF(X151=1,X149,X150)))</f>
        <v>0</v>
      </c>
      <c r="Y152" s="23">
        <f>IF(Y146&lt;=Inputs!$C$157,0,MIN(Y146,IF(Y151=1,Y149,Y150)))</f>
        <v>0</v>
      </c>
      <c r="Z152" s="23">
        <f>IF(Z146&lt;=Inputs!$C$157,0,MIN(Z146,IF(Z151=1,Z149,Z150)))</f>
        <v>0</v>
      </c>
      <c r="AA152" s="23">
        <f>IF(AA146&lt;=Inputs!$C$157,0,MIN(AA146,IF(AA151=1,AA149,AA150)))</f>
        <v>0</v>
      </c>
      <c r="AB152" s="23">
        <f>IF(AB146&lt;=Inputs!$C$157,0,MIN(AB146,IF(AB151=1,AB149,AB150)))</f>
        <v>0</v>
      </c>
      <c r="AC152" s="23">
        <f>IF(AC146&lt;=Inputs!$C$157,0,MIN(AC146,IF(AC151=1,AC149,AC150)))</f>
        <v>0</v>
      </c>
      <c r="AD152" s="23">
        <f>IF(AD146&lt;=Inputs!$C$157,0,MIN(AD146,IF(AD151=1,AD149,AD150)))</f>
        <v>0</v>
      </c>
      <c r="AE152" s="23">
        <f>IF(AE146&lt;=Inputs!$C$157,0,MIN(AE146,IF(AE151=1,AE149,AE150)))</f>
        <v>0</v>
      </c>
    </row>
    <row r="153">
      <c r="A153" s="6" t="inlineStr">
        <is>
          <t xml:space="preserve">Book value at the year end</t>
        </is>
      </c>
      <c r="B153" s="10" t="inlineStr">
        <is>
          <t xml:space="preserve">€</t>
        </is>
      </c>
      <c r="E153" s="23">
        <f>$C$145</f>
        <v>57135645</v>
      </c>
      <c r="F153" s="23">
        <f>F146-F152</f>
        <v>55350156.09375</v>
      </c>
      <c r="G153" s="23">
        <f>G146-G152</f>
        <v>51779178.28125</v>
      </c>
      <c r="H153" s="23">
        <f>H146-H152</f>
        <v>48208200.46875</v>
      </c>
      <c r="I153" s="23">
        <f>I146-I152</f>
        <v>44637222.65625</v>
      </c>
      <c r="J153" s="23">
        <f>J146-J152</f>
        <v>41066244.84375</v>
      </c>
      <c r="K153" s="23">
        <f>K146-K152</f>
        <v>37495267.03125</v>
      </c>
      <c r="L153" s="23">
        <f>L146-L152</f>
        <v>33924289.21875</v>
      </c>
      <c r="M153" s="23">
        <f>M146-M152</f>
        <v>30353311.40625</v>
      </c>
      <c r="N153" s="23">
        <f>N146-N152</f>
        <v>26782333.59375</v>
      </c>
      <c r="O153" s="23">
        <f>O146-O152</f>
        <v>23211355.78125</v>
      </c>
      <c r="P153" s="23">
        <f>P146-P152</f>
        <v>19640377.96875</v>
      </c>
      <c r="Q153" s="23">
        <f>Q146-Q152</f>
        <v>16069400.15625</v>
      </c>
      <c r="R153" s="23">
        <f>R146-R152</f>
        <v>12498422.34375</v>
      </c>
      <c r="S153" s="23">
        <f>S146-S152</f>
        <v>8927444.53125</v>
      </c>
      <c r="T153" s="23">
        <f>T146-T152</f>
        <v>5356466.71875</v>
      </c>
      <c r="U153" s="23">
        <f>U146-U152</f>
        <v>1785488.90625</v>
      </c>
      <c r="V153" s="23">
        <f>V146-V152</f>
        <v>0</v>
      </c>
      <c r="W153" s="23">
        <f>W146-W152</f>
        <v>0</v>
      </c>
      <c r="X153" s="23">
        <f>X146-X152</f>
        <v>0</v>
      </c>
      <c r="Y153" s="23">
        <f>Y146-Y152</f>
        <v>0</v>
      </c>
      <c r="Z153" s="23">
        <f>Z146-Z152</f>
        <v>0</v>
      </c>
      <c r="AA153" s="23">
        <f>AA146-AA152</f>
        <v>0</v>
      </c>
      <c r="AB153" s="23">
        <f>AB146-AB152</f>
        <v>0</v>
      </c>
      <c r="AC153" s="23">
        <f>AC146-AC152</f>
        <v>0</v>
      </c>
      <c r="AD153" s="23">
        <f>AD146-AD152</f>
        <v>0</v>
      </c>
      <c r="AE153" s="23">
        <f>AE146-AE152</f>
        <v>0</v>
      </c>
    </row>
    <row r="154">
      <c r="A154" s="6" t="inlineStr">
        <is>
          <t xml:space="preserve">Months depreciated</t>
        </is>
      </c>
      <c r="F154" s="23">
        <f>F147+IF(F146&gt;Inputs!$C$157,Timing!F87,0)</f>
        <v>6</v>
      </c>
      <c r="G154" s="23">
        <f>G147+IF(G146&gt;Inputs!$C$157,Timing!G87,0)</f>
        <v>18</v>
      </c>
      <c r="H154" s="23">
        <f>H147+IF(H146&gt;Inputs!$C$157,Timing!H87,0)</f>
        <v>30</v>
      </c>
      <c r="I154" s="23">
        <f>I147+IF(I146&gt;Inputs!$C$157,Timing!I87,0)</f>
        <v>42</v>
      </c>
      <c r="J154" s="23">
        <f>J147+IF(J146&gt;Inputs!$C$157,Timing!J87,0)</f>
        <v>54</v>
      </c>
      <c r="K154" s="23">
        <f>K147+IF(K146&gt;Inputs!$C$157,Timing!K87,0)</f>
        <v>66</v>
      </c>
      <c r="L154" s="23">
        <f>L147+IF(L146&gt;Inputs!$C$157,Timing!L87,0)</f>
        <v>78</v>
      </c>
      <c r="M154" s="23">
        <f>M147+IF(M146&gt;Inputs!$C$157,Timing!M87,0)</f>
        <v>90</v>
      </c>
      <c r="N154" s="23">
        <f>N147+IF(N146&gt;Inputs!$C$157,Timing!N87,0)</f>
        <v>102</v>
      </c>
      <c r="O154" s="23">
        <f>O147+IF(O146&gt;Inputs!$C$157,Timing!O87,0)</f>
        <v>114</v>
      </c>
      <c r="P154" s="23">
        <f>P147+IF(P146&gt;Inputs!$C$157,Timing!P87,0)</f>
        <v>126</v>
      </c>
      <c r="Q154" s="23">
        <f>Q147+IF(Q146&gt;Inputs!$C$157,Timing!Q87,0)</f>
        <v>138</v>
      </c>
      <c r="R154" s="23">
        <f>R147+IF(R146&gt;Inputs!$C$157,Timing!R87,0)</f>
        <v>150</v>
      </c>
      <c r="S154" s="23">
        <f>S147+IF(S146&gt;Inputs!$C$157,Timing!S87,0)</f>
        <v>162</v>
      </c>
      <c r="T154" s="23">
        <f>T147+IF(T146&gt;Inputs!$C$157,Timing!T87,0)</f>
        <v>174</v>
      </c>
      <c r="U154" s="23">
        <f>U147+IF(U146&gt;Inputs!$C$157,Timing!U87,0)</f>
        <v>186</v>
      </c>
      <c r="V154" s="23">
        <f>V147+IF(V146&gt;Inputs!$C$157,Timing!V87,0)</f>
        <v>198</v>
      </c>
      <c r="W154" s="23">
        <f>W147+IF(W146&gt;Inputs!$C$157,Timing!W87,0)</f>
        <v>198</v>
      </c>
      <c r="X154" s="23">
        <f>X147+IF(X146&gt;Inputs!$C$157,Timing!X87,0)</f>
        <v>198</v>
      </c>
      <c r="Y154" s="23">
        <f>Y147+IF(Y146&gt;Inputs!$C$157,Timing!Y87,0)</f>
        <v>198</v>
      </c>
      <c r="Z154" s="23">
        <f>Z147+IF(Z146&gt;Inputs!$C$157,Timing!Z87,0)</f>
        <v>198</v>
      </c>
      <c r="AA154" s="23">
        <f>AA147+IF(AA146&gt;Inputs!$C$157,Timing!AA87,0)</f>
        <v>198</v>
      </c>
      <c r="AB154" s="23">
        <f>AB147+IF(AB146&gt;Inputs!$C$157,Timing!AB87,0)</f>
        <v>198</v>
      </c>
      <c r="AC154" s="23">
        <f>AC147+IF(AC146&gt;Inputs!$C$157,Timing!AC87,0)</f>
        <v>198</v>
      </c>
      <c r="AD154" s="23">
        <f>AD147+IF(AD146&gt;Inputs!$C$157,Timing!AD87,0)</f>
        <v>198</v>
      </c>
      <c r="AE154" s="23">
        <f>AE147+IF(AE146&gt;Inputs!$C$157,Timing!AE87,0)</f>
        <v>198</v>
      </c>
    </row>
    <row r="155">
      <c r="A155" s="6" t="inlineStr">
        <is>
          <t xml:space="preserve">Book value written off when the farm is dismantled</t>
        </is>
      </c>
      <c r="B155" s="10" t="inlineStr">
        <is>
          <t xml:space="preserve">€</t>
        </is>
      </c>
      <c r="F155" s="23">
        <f>IF(AND(Timing!F72=1,F153&gt;Inputs!$C$157),F153,0)</f>
        <v>0</v>
      </c>
      <c r="G155" s="23">
        <f>IF(AND(Timing!G72=1,G153&gt;Inputs!$C$157),G153,0)</f>
        <v>0</v>
      </c>
      <c r="H155" s="23">
        <f>IF(AND(Timing!H72=1,H153&gt;Inputs!$C$157),H153,0)</f>
        <v>0</v>
      </c>
      <c r="I155" s="23">
        <f>IF(AND(Timing!I72=1,I153&gt;Inputs!$C$157),I153,0)</f>
        <v>0</v>
      </c>
      <c r="J155" s="23">
        <f>IF(AND(Timing!J72=1,J153&gt;Inputs!$C$157),J153,0)</f>
        <v>0</v>
      </c>
      <c r="K155" s="23">
        <f>IF(AND(Timing!K72=1,K153&gt;Inputs!$C$157),K153,0)</f>
        <v>0</v>
      </c>
      <c r="L155" s="23">
        <f>IF(AND(Timing!L72=1,L153&gt;Inputs!$C$157),L153,0)</f>
        <v>0</v>
      </c>
      <c r="M155" s="23">
        <f>IF(AND(Timing!M72=1,M153&gt;Inputs!$C$157),M153,0)</f>
        <v>0</v>
      </c>
      <c r="N155" s="23">
        <f>IF(AND(Timing!N72=1,N153&gt;Inputs!$C$157),N153,0)</f>
        <v>0</v>
      </c>
      <c r="O155" s="23">
        <f>IF(AND(Timing!O72=1,O153&gt;Inputs!$C$157),O153,0)</f>
        <v>0</v>
      </c>
      <c r="P155" s="23">
        <f>IF(AND(Timing!P72=1,P153&gt;Inputs!$C$157),P153,0)</f>
        <v>0</v>
      </c>
      <c r="Q155" s="23">
        <f>IF(AND(Timing!Q72=1,Q153&gt;Inputs!$C$157),Q153,0)</f>
        <v>0</v>
      </c>
      <c r="R155" s="23">
        <f>IF(AND(Timing!R72=1,R153&gt;Inputs!$C$157),R153,0)</f>
        <v>0</v>
      </c>
      <c r="S155" s="23">
        <f>IF(AND(Timing!S72=1,S153&gt;Inputs!$C$157),S153,0)</f>
        <v>0</v>
      </c>
      <c r="T155" s="23">
        <f>IF(AND(Timing!T72=1,T153&gt;Inputs!$C$157),T153,0)</f>
        <v>0</v>
      </c>
      <c r="U155" s="23">
        <f>IF(AND(Timing!U72=1,U153&gt;Inputs!$C$157),U153,0)</f>
        <v>0</v>
      </c>
      <c r="V155" s="23">
        <f>IF(AND(Timing!V72=1,V153&gt;Inputs!$C$157),V153,0)</f>
        <v>0</v>
      </c>
      <c r="W155" s="23">
        <f>IF(AND(Timing!W72=1,W153&gt;Inputs!$C$157),W153,0)</f>
        <v>0</v>
      </c>
      <c r="X155" s="23">
        <f>IF(AND(Timing!X72=1,X153&gt;Inputs!$C$157),X153,0)</f>
        <v>0</v>
      </c>
      <c r="Y155" s="23">
        <f>IF(AND(Timing!Y72=1,Y153&gt;Inputs!$C$157),Y153,0)</f>
        <v>0</v>
      </c>
      <c r="Z155" s="23">
        <f>IF(AND(Timing!Z72=1,Z153&gt;Inputs!$C$157),Z153,0)</f>
        <v>0</v>
      </c>
      <c r="AA155" s="23">
        <f>IF(AND(Timing!AA72=1,AA153&gt;Inputs!$C$157),AA153,0)</f>
        <v>0</v>
      </c>
      <c r="AB155" s="23">
        <f>IF(AND(Timing!AB72=1,AB153&gt;Inputs!$C$157),AB153,0)</f>
        <v>0</v>
      </c>
      <c r="AC155" s="23">
        <f>IF(AND(Timing!AC72=1,AC153&gt;Inputs!$C$157),AC153,0)</f>
        <v>0</v>
      </c>
      <c r="AD155" s="23">
        <f>IF(AND(Timing!AD72=1,AD153&gt;Inputs!$C$157),AD153,0)</f>
        <v>0</v>
      </c>
      <c r="AE155" s="23">
        <f>IF(AND(Timing!AE72=1,AE153&gt;Inputs!$C$157),AE153,0)</f>
        <v>0</v>
      </c>
    </row>
    <row r="156">
      <c r="A156" s="41" t="inlineStr">
        <is>
          <t xml:space="preserve">Depreciation</t>
        </is>
      </c>
      <c r="B156" s="10" t="inlineStr">
        <is>
          <t xml:space="preserve">€</t>
        </is>
      </c>
      <c r="F156" s="42">
        <f>F152+F155</f>
        <v>1785488.90625</v>
      </c>
      <c r="G156" s="42">
        <f>G152+G155</f>
        <v>3570977.8125</v>
      </c>
      <c r="H156" s="42">
        <f>H152+H155</f>
        <v>3570977.8125</v>
      </c>
      <c r="I156" s="42">
        <f>I152+I155</f>
        <v>3570977.8125</v>
      </c>
      <c r="J156" s="42">
        <f>J152+J155</f>
        <v>3570977.8125</v>
      </c>
      <c r="K156" s="42">
        <f>K152+K155</f>
        <v>3570977.8125</v>
      </c>
      <c r="L156" s="42">
        <f>L152+L155</f>
        <v>3570977.8125</v>
      </c>
      <c r="M156" s="42">
        <f>M152+M155</f>
        <v>3570977.8125</v>
      </c>
      <c r="N156" s="42">
        <f>N152+N155</f>
        <v>3570977.8125</v>
      </c>
      <c r="O156" s="42">
        <f>O152+O155</f>
        <v>3570977.8125</v>
      </c>
      <c r="P156" s="42">
        <f>P152+P155</f>
        <v>3570977.8125</v>
      </c>
      <c r="Q156" s="42">
        <f>Q152+Q155</f>
        <v>3570977.8125</v>
      </c>
      <c r="R156" s="42">
        <f>R152+R155</f>
        <v>3570977.8125</v>
      </c>
      <c r="S156" s="42">
        <f>S152+S155</f>
        <v>3570977.8125</v>
      </c>
      <c r="T156" s="42">
        <f>T152+T155</f>
        <v>3570977.8125</v>
      </c>
      <c r="U156" s="42">
        <f>U152+U155</f>
        <v>3570977.8125</v>
      </c>
      <c r="V156" s="42">
        <f>V152+V155</f>
        <v>1785488.90625</v>
      </c>
      <c r="W156" s="42">
        <f>W152+W155</f>
        <v>0</v>
      </c>
      <c r="X156" s="42">
        <f>X152+X155</f>
        <v>0</v>
      </c>
      <c r="Y156" s="42">
        <f>Y152+Y155</f>
        <v>0</v>
      </c>
      <c r="Z156" s="42">
        <f>Z152+Z155</f>
        <v>0</v>
      </c>
      <c r="AA156" s="42">
        <f>AA152+AA155</f>
        <v>0</v>
      </c>
      <c r="AB156" s="42">
        <f>AB152+AB155</f>
        <v>0</v>
      </c>
      <c r="AC156" s="42">
        <f>AC152+AC155</f>
        <v>0</v>
      </c>
      <c r="AD156" s="42">
        <f>AD152+AD155</f>
        <v>0</v>
      </c>
      <c r="AE156" s="42">
        <f>AE152+AE155</f>
        <v>0</v>
      </c>
    </row>
    <row r="157">
      <c r="A157" s="6" t="inlineStr">
        <is>
          <t xml:space="preserve">Interest</t>
        </is>
      </c>
      <c r="B157" s="10" t="inlineStr">
        <is>
          <t xml:space="preserve">€</t>
        </is>
      </c>
      <c r="F157" s="23">
        <f>0</f>
        <v>0</v>
      </c>
      <c r="G157" s="23">
        <f>0</f>
        <v>0</v>
      </c>
      <c r="H157" s="23">
        <f>0</f>
        <v>0</v>
      </c>
      <c r="I157" s="23">
        <f>0</f>
        <v>0</v>
      </c>
      <c r="J157" s="23">
        <f>0</f>
        <v>0</v>
      </c>
      <c r="K157" s="23">
        <f>0</f>
        <v>0</v>
      </c>
      <c r="L157" s="23">
        <f>0</f>
        <v>0</v>
      </c>
      <c r="M157" s="23">
        <f>0</f>
        <v>0</v>
      </c>
      <c r="N157" s="23">
        <f>0</f>
        <v>0</v>
      </c>
      <c r="O157" s="23">
        <f>0</f>
        <v>0</v>
      </c>
      <c r="P157" s="23">
        <f>0</f>
        <v>0</v>
      </c>
      <c r="Q157" s="23">
        <f>0</f>
        <v>0</v>
      </c>
      <c r="R157" s="23">
        <f>0</f>
        <v>0</v>
      </c>
      <c r="S157" s="23">
        <f>0</f>
        <v>0</v>
      </c>
      <c r="T157" s="23">
        <f>0</f>
        <v>0</v>
      </c>
      <c r="U157" s="23">
        <f>0</f>
        <v>0</v>
      </c>
      <c r="V157" s="23">
        <f>0</f>
        <v>0</v>
      </c>
      <c r="W157" s="23">
        <f>0</f>
        <v>0</v>
      </c>
      <c r="X157" s="23">
        <f>0</f>
        <v>0</v>
      </c>
      <c r="Y157" s="23">
        <f>0</f>
        <v>0</v>
      </c>
      <c r="Z157" s="23">
        <f>0</f>
        <v>0</v>
      </c>
      <c r="AA157" s="23">
        <f>0</f>
        <v>0</v>
      </c>
      <c r="AB157" s="23">
        <f>0</f>
        <v>0</v>
      </c>
      <c r="AC157" s="23">
        <f>0</f>
        <v>0</v>
      </c>
      <c r="AD157" s="23">
        <f>0</f>
        <v>0</v>
      </c>
      <c r="AE157" s="23">
        <f>0</f>
        <v>0</v>
      </c>
    </row>
    <row r="158">
      <c r="A158" s="41" t="inlineStr">
        <is>
          <t xml:space="preserve">Profit before tax</t>
        </is>
      </c>
      <c r="B158" s="10" t="inlineStr">
        <is>
          <t xml:space="preserve">€</t>
        </is>
      </c>
      <c r="F158" s="42">
        <f>Operations!F51-F156-F157-F10</f>
        <v>369457.87136204774</v>
      </c>
      <c r="G158" s="42">
        <f>Operations!G51-G156-G157-G10</f>
        <v>-207663.19272223779</v>
      </c>
      <c r="H158" s="42">
        <f>Operations!H51-H156-H157-H10</f>
        <v>-299062.1871238642</v>
      </c>
      <c r="I158" s="42">
        <f>Operations!I51-I156-I157-I10</f>
        <v>-241749.72825013916</v>
      </c>
      <c r="J158" s="42">
        <f>Operations!J51-J156-J157-J10</f>
        <v>-183841.24727877433</v>
      </c>
      <c r="K158" s="42">
        <f>Operations!K51-K156-K157-K10</f>
        <v>-125123.1014857038</v>
      </c>
      <c r="L158" s="42">
        <f>Operations!L51-L156-L157-L10</f>
        <v>-65841.4335438131</v>
      </c>
      <c r="M158" s="42">
        <f>Operations!M51-M156-M157-M10</f>
        <v>-5950.145308806066</v>
      </c>
      <c r="N158" s="42">
        <f>Operations!N51-N156-N157-N10</f>
        <v>54393.88358622411</v>
      </c>
      <c r="O158" s="42">
        <f>Operations!O51-O156-O157-O10</f>
        <v>115523.60526509199</v>
      </c>
      <c r="P158" s="42">
        <f>Operations!P51-P156-P157-P10</f>
        <v>52997.713548129774</v>
      </c>
      <c r="Q158" s="42">
        <f>Operations!Q51-Q156-Q157-Q10</f>
        <v>112503.55863833445</v>
      </c>
      <c r="R158" s="42">
        <f>Operations!R51-R156-R157-R10</f>
        <v>172178.4782727824</v>
      </c>
      <c r="S158" s="42">
        <f>Operations!S51-S156-S157-S10</f>
        <v>232531.60570103338</v>
      </c>
      <c r="T158" s="42">
        <f>Operations!T51-T156-T157-T10</f>
        <v>292953.92708250694</v>
      </c>
      <c r="U158" s="42">
        <f>Operations!U51-U156-U157-U10</f>
        <v>353551.1154840846</v>
      </c>
      <c r="V158" s="42">
        <f>Operations!V51-V156-V157-V10</f>
        <v>2199437.5674346425</v>
      </c>
      <c r="W158" s="42">
        <f>Operations!W51-W156-W157-W10</f>
        <v>4045894.154165725</v>
      </c>
      <c r="X158" s="42">
        <f>Operations!X51-X156-X157-X10</f>
        <v>4106506.975949991</v>
      </c>
      <c r="Y158" s="42">
        <f>Operations!Y51-Y156-Y157-Y10</f>
        <v>4166925.268703188</v>
      </c>
      <c r="Z158" s="42">
        <f>Operations!Z51-Z156-Z157-Z10</f>
        <v>4145940.181257123</v>
      </c>
      <c r="AA158" s="42">
        <f>Operations!AA51-AA156-AA157-AA10</f>
        <v>4204385.3456339445</v>
      </c>
      <c r="AB158" s="42">
        <f>Operations!AB51-AB156-AB157-AB10</f>
        <v>4261809.186935576</v>
      </c>
      <c r="AC158" s="42">
        <f>Operations!AC51-AC156-AC157-AC10</f>
        <v>4318452.541695523</v>
      </c>
      <c r="AD158" s="42">
        <f>Operations!AD51-AD156-AD157-AD10</f>
        <v>4305400.676139118</v>
      </c>
      <c r="AE158" s="42">
        <f>Operations!AE51-AE156-AE157-AE10</f>
        <v>2241094.265065904</v>
      </c>
    </row>
    <row r="159">
      <c r="A159" s="6" t="inlineStr">
        <is>
          <t xml:space="preserve">Trade tax: add-back of interest and land lease</t>
        </is>
      </c>
      <c r="B159" s="10" t="inlineStr">
        <is>
          <t xml:space="preserve">€</t>
        </is>
      </c>
      <c r="F159" s="23">
        <f>Inputs!$C$116*MAX(0,F157+Inputs!$C$118*Operations!F44-Inputs!$C$117)</f>
        <v>0</v>
      </c>
      <c r="G159" s="23">
        <f>Inputs!$C$116*MAX(0,G157+Inputs!$C$118*Operations!G44-Inputs!$C$117)</f>
        <v>13427.780844747998</v>
      </c>
      <c r="H159" s="23">
        <f>Inputs!$C$116*MAX(0,H157+Inputs!$C$118*Operations!H44-Inputs!$C$117)</f>
        <v>12474.210447849619</v>
      </c>
      <c r="I159" s="23">
        <f>Inputs!$C$116*MAX(0,I157+Inputs!$C$118*Operations!I44-Inputs!$C$117)</f>
        <v>13596.247267492989</v>
      </c>
      <c r="J159" s="23">
        <f>Inputs!$C$116*MAX(0,J157+Inputs!$C$118*Operations!J44-Inputs!$C$117)</f>
        <v>14738.43586841716</v>
      </c>
      <c r="K159" s="23">
        <f>Inputs!$C$116*MAX(0,K157+Inputs!$C$118*Operations!K44-Inputs!$C$117)</f>
        <v>15901.138176613953</v>
      </c>
      <c r="L159" s="23">
        <f>Inputs!$C$116*MAX(0,L157+Inputs!$C$118*Operations!L44-Inputs!$C$117)</f>
        <v>17084.722618265936</v>
      </c>
      <c r="M159" s="23">
        <f>Inputs!$C$116*MAX(0,M157+Inputs!$C$118*Operations!M44-Inputs!$C$117)</f>
        <v>18289.564236489983</v>
      </c>
      <c r="N159" s="23">
        <f>Inputs!$C$116*MAX(0,N157+Inputs!$C$118*Operations!N44-Inputs!$C$117)</f>
        <v>19516.044810177336</v>
      </c>
      <c r="O159" s="23">
        <f>Inputs!$C$116*MAX(0,O157+Inputs!$C$118*Operations!O44-Inputs!$C$117)</f>
        <v>20764.552974968145</v>
      </c>
      <c r="P159" s="23">
        <f>Inputs!$C$116*MAX(0,P157+Inputs!$C$118*Operations!P44-Inputs!$C$117)</f>
        <v>22035.484346398545</v>
      </c>
      <c r="Q159" s="23">
        <f>Inputs!$C$116*MAX(0,Q157+Inputs!$C$118*Operations!Q44-Inputs!$C$117)</f>
        <v>23329.24164525987</v>
      </c>
      <c r="R159" s="23">
        <f>Inputs!$C$116*MAX(0,R157+Inputs!$C$118*Operations!R44-Inputs!$C$117)</f>
        <v>24646.23482520874</v>
      </c>
      <c r="S159" s="23">
        <f>Inputs!$C$116*MAX(0,S157+Inputs!$C$118*Operations!S44-Inputs!$C$117)</f>
        <v>25986.88120266951</v>
      </c>
      <c r="T159" s="23">
        <f>Inputs!$C$116*MAX(0,T157+Inputs!$C$118*Operations!T44-Inputs!$C$117)</f>
        <v>27351.60558906944</v>
      </c>
      <c r="U159" s="23">
        <f>Inputs!$C$116*MAX(0,U157+Inputs!$C$118*Operations!U44-Inputs!$C$117)</f>
        <v>28740.840425449118</v>
      </c>
      <c r="V159" s="23">
        <f>Inputs!$C$116*MAX(0,V157+Inputs!$C$118*Operations!V44-Inputs!$C$117)</f>
        <v>30155.025919490174</v>
      </c>
      <c r="W159" s="23">
        <f>Inputs!$C$116*MAX(0,W157+Inputs!$C$118*Operations!W44-Inputs!$C$117)</f>
        <v>31594.610185004218</v>
      </c>
      <c r="X159" s="23">
        <f>Inputs!$C$116*MAX(0,X157+Inputs!$C$118*Operations!X44-Inputs!$C$117)</f>
        <v>33060.049383926904</v>
      </c>
      <c r="Y159" s="23">
        <f>Inputs!$C$116*MAX(0,Y157+Inputs!$C$118*Operations!Y44-Inputs!$C$117)</f>
        <v>34551.807870862234</v>
      </c>
      <c r="Z159" s="23">
        <f>Inputs!$C$116*MAX(0,Z157+Inputs!$C$118*Operations!Z44-Inputs!$C$117)</f>
        <v>36070.35834022293</v>
      </c>
      <c r="AA159" s="23">
        <f>Inputs!$C$116*MAX(0,AA157+Inputs!$C$118*Operations!AA44-Inputs!$C$117)</f>
        <v>37616.18197601332</v>
      </c>
      <c r="AB159" s="23">
        <f>Inputs!$C$116*MAX(0,AB157+Inputs!$C$118*Operations!AB44-Inputs!$C$117)</f>
        <v>39189.76860430252</v>
      </c>
      <c r="AC159" s="23">
        <f>Inputs!$C$116*MAX(0,AC157+Inputs!$C$118*Operations!AC44-Inputs!$C$117)</f>
        <v>40791.616848435806</v>
      </c>
      <c r="AD159" s="23">
        <f>Inputs!$C$116*MAX(0,AD157+Inputs!$C$118*Operations!AD44-Inputs!$C$117)</f>
        <v>42422.234287033716</v>
      </c>
      <c r="AE159" s="23">
        <f>Inputs!$C$116*MAX(0,AE157+Inputs!$C$118*Operations!AE44-Inputs!$C$117)</f>
        <v>0</v>
      </c>
    </row>
    <row r="160">
      <c r="A160" s="6" t="inlineStr">
        <is>
          <t xml:space="preserve">Trade income before losses</t>
        </is>
      </c>
      <c r="B160" s="10" t="inlineStr">
        <is>
          <t xml:space="preserve">€</t>
        </is>
      </c>
      <c r="F160" s="23">
        <f>F158+F159</f>
        <v>369457.87136204774</v>
      </c>
      <c r="G160" s="23">
        <f>G158+G159</f>
        <v>-194235.4118774898</v>
      </c>
      <c r="H160" s="23">
        <f>H158+H159</f>
        <v>-286587.9766760146</v>
      </c>
      <c r="I160" s="23">
        <f>I158+I159</f>
        <v>-228153.48098264617</v>
      </c>
      <c r="J160" s="23">
        <f>J158+J159</f>
        <v>-169102.8114103572</v>
      </c>
      <c r="K160" s="23">
        <f>K158+K159</f>
        <v>-109221.96330908984</v>
      </c>
      <c r="L160" s="23">
        <f>L158+L159</f>
        <v>-48756.71092554716</v>
      </c>
      <c r="M160" s="23">
        <f>M158+M159</f>
        <v>12339.418927683917</v>
      </c>
      <c r="N160" s="23">
        <f>N158+N159</f>
        <v>73909.92839640145</v>
      </c>
      <c r="O160" s="23">
        <f>O158+O159</f>
        <v>136288.15824006015</v>
      </c>
      <c r="P160" s="23">
        <f>P158+P159</f>
        <v>75033.19789452832</v>
      </c>
      <c r="Q160" s="23">
        <f>Q158+Q159</f>
        <v>135832.80028359432</v>
      </c>
      <c r="R160" s="23">
        <f>R158+R159</f>
        <v>196824.71309799113</v>
      </c>
      <c r="S160" s="23">
        <f>S158+S159</f>
        <v>258518.4869037029</v>
      </c>
      <c r="T160" s="23">
        <f>T158+T159</f>
        <v>320305.53267157637</v>
      </c>
      <c r="U160" s="23">
        <f>U158+U159</f>
        <v>382291.9559095337</v>
      </c>
      <c r="V160" s="23">
        <f>V158+V159</f>
        <v>2229592.5933541325</v>
      </c>
      <c r="W160" s="23">
        <f>W158+W159</f>
        <v>4077488.7643507295</v>
      </c>
      <c r="X160" s="23">
        <f>X158+X159</f>
        <v>4139567.0253339177</v>
      </c>
      <c r="Y160" s="23">
        <f>Y158+Y159</f>
        <v>4201477.07657405</v>
      </c>
      <c r="Z160" s="23">
        <f>Z158+Z159</f>
        <v>4182010.539597346</v>
      </c>
      <c r="AA160" s="23">
        <f>AA158+AA159</f>
        <v>4242001.527609957</v>
      </c>
      <c r="AB160" s="23">
        <f>AB158+AB159</f>
        <v>4300998.955539878</v>
      </c>
      <c r="AC160" s="23">
        <f>AC158+AC159</f>
        <v>4359244.158543959</v>
      </c>
      <c r="AD160" s="23">
        <f>AD158+AD159</f>
        <v>4347822.910426152</v>
      </c>
      <c r="AE160" s="23">
        <f>AE158+AE159</f>
        <v>2241094.265065904</v>
      </c>
    </row>
    <row r="161">
      <c r="A161" s="6" t="inlineStr">
        <is>
          <t xml:space="preserve">Trade loss carry-forward at the start</t>
        </is>
      </c>
      <c r="B161" s="10" t="inlineStr">
        <is>
          <t xml:space="preserve">€</t>
        </is>
      </c>
      <c r="E161" s="9">
        <v>0</v>
      </c>
      <c r="F161" s="23">
        <f>E163</f>
        <v>0</v>
      </c>
      <c r="G161" s="23">
        <f>F163</f>
        <v>0</v>
      </c>
      <c r="H161" s="23">
        <f>G163</f>
        <v>194235.4118774898</v>
      </c>
      <c r="I161" s="23">
        <f>H163</f>
        <v>480823.38855350437</v>
      </c>
      <c r="J161" s="23">
        <f>I163</f>
        <v>708976.8695361505</v>
      </c>
      <c r="K161" s="23">
        <f>J163</f>
        <v>878079.6809465077</v>
      </c>
      <c r="L161" s="23">
        <f>K163</f>
        <v>987301.6442555976</v>
      </c>
      <c r="M161" s="23">
        <f>L163</f>
        <v>1036058.3551811448</v>
      </c>
      <c r="N161" s="23">
        <f>M163</f>
        <v>1023718.9362534608</v>
      </c>
      <c r="O161" s="23">
        <f>N163</f>
        <v>949809.0078570594</v>
      </c>
      <c r="P161" s="23">
        <f>O163</f>
        <v>813520.8496169993</v>
      </c>
      <c r="Q161" s="23">
        <f>P163</f>
        <v>738487.651722471</v>
      </c>
      <c r="R161" s="23">
        <f>Q163</f>
        <v>602654.8514388767</v>
      </c>
      <c r="S161" s="23">
        <f>R163</f>
        <v>405830.1383408856</v>
      </c>
      <c r="T161" s="23">
        <f>S163</f>
        <v>147311.65143718268</v>
      </c>
      <c r="U161" s="23">
        <f>T163</f>
        <v>0</v>
      </c>
      <c r="V161" s="23">
        <f>U163</f>
        <v>0</v>
      </c>
      <c r="W161" s="23">
        <f>V163</f>
        <v>0</v>
      </c>
      <c r="X161" s="23">
        <f>W163</f>
        <v>0</v>
      </c>
      <c r="Y161" s="23">
        <f>X163</f>
        <v>0</v>
      </c>
      <c r="Z161" s="23">
        <f>Y163</f>
        <v>0</v>
      </c>
      <c r="AA161" s="23">
        <f>Z163</f>
        <v>0</v>
      </c>
      <c r="AB161" s="23">
        <f>AA163</f>
        <v>0</v>
      </c>
      <c r="AC161" s="23">
        <f>AB163</f>
        <v>0</v>
      </c>
      <c r="AD161" s="23">
        <f>AC163</f>
        <v>0</v>
      </c>
      <c r="AE161" s="23">
        <f>AD163</f>
        <v>0</v>
      </c>
    </row>
    <row r="162">
      <c r="A162" s="6" t="inlineStr">
        <is>
          <t xml:space="preserve">Trade losses used (€1m in full, 60 % above)</t>
        </is>
      </c>
      <c r="B162" s="10" t="inlineStr">
        <is>
          <t xml:space="preserve">€</t>
        </is>
      </c>
      <c r="F162" s="23">
        <f>IF(F160&gt;0,MIN(F161,MIN(F160,Inputs!$C$119)+Inputs!$C$120*MAX(0,F160-Inputs!$C$119)),0)</f>
        <v>0</v>
      </c>
      <c r="G162" s="23">
        <f>IF(G160&gt;0,MIN(G161,MIN(G160,Inputs!$C$119)+Inputs!$C$120*MAX(0,G160-Inputs!$C$119)),0)</f>
        <v>0</v>
      </c>
      <c r="H162" s="23">
        <f>IF(H160&gt;0,MIN(H161,MIN(H160,Inputs!$C$119)+Inputs!$C$120*MAX(0,H160-Inputs!$C$119)),0)</f>
        <v>0</v>
      </c>
      <c r="I162" s="23">
        <f>IF(I160&gt;0,MIN(I161,MIN(I160,Inputs!$C$119)+Inputs!$C$120*MAX(0,I160-Inputs!$C$119)),0)</f>
        <v>0</v>
      </c>
      <c r="J162" s="23">
        <f>IF(J160&gt;0,MIN(J161,MIN(J160,Inputs!$C$119)+Inputs!$C$120*MAX(0,J160-Inputs!$C$119)),0)</f>
        <v>0</v>
      </c>
      <c r="K162" s="23">
        <f>IF(K160&gt;0,MIN(K161,MIN(K160,Inputs!$C$119)+Inputs!$C$120*MAX(0,K160-Inputs!$C$119)),0)</f>
        <v>0</v>
      </c>
      <c r="L162" s="23">
        <f>IF(L160&gt;0,MIN(L161,MIN(L160,Inputs!$C$119)+Inputs!$C$120*MAX(0,L160-Inputs!$C$119)),0)</f>
        <v>0</v>
      </c>
      <c r="M162" s="23">
        <f>IF(M160&gt;0,MIN(M161,MIN(M160,Inputs!$C$119)+Inputs!$C$120*MAX(0,M160-Inputs!$C$119)),0)</f>
        <v>12339.41892768396</v>
      </c>
      <c r="N162" s="23">
        <f>IF(N160&gt;0,MIN(N161,MIN(N160,Inputs!$C$119)+Inputs!$C$120*MAX(0,N160-Inputs!$C$119)),0)</f>
        <v>73909.92839640146</v>
      </c>
      <c r="O162" s="23">
        <f>IF(O160&gt;0,MIN(O161,MIN(O160,Inputs!$C$119)+Inputs!$C$120*MAX(0,O160-Inputs!$C$119)),0)</f>
        <v>136288.1582400601</v>
      </c>
      <c r="P162" s="23">
        <f>IF(P160&gt;0,MIN(P161,MIN(P160,Inputs!$C$119)+Inputs!$C$120*MAX(0,P160-Inputs!$C$119)),0)</f>
        <v>75033.19789452828</v>
      </c>
      <c r="Q162" s="23">
        <f>IF(Q160&gt;0,MIN(Q161,MIN(Q160,Inputs!$C$119)+Inputs!$C$120*MAX(0,Q160-Inputs!$C$119)),0)</f>
        <v>135832.8002835943</v>
      </c>
      <c r="R162" s="23">
        <f>IF(R160&gt;0,MIN(R161,MIN(R160,Inputs!$C$119)+Inputs!$C$120*MAX(0,R160-Inputs!$C$119)),0)</f>
        <v>196824.71309799113</v>
      </c>
      <c r="S162" s="23">
        <f>IF(S160&gt;0,MIN(S161,MIN(S160,Inputs!$C$119)+Inputs!$C$120*MAX(0,S160-Inputs!$C$119)),0)</f>
        <v>258518.4869037029</v>
      </c>
      <c r="T162" s="23">
        <f>IF(T160&gt;0,MIN(T161,MIN(T160,Inputs!$C$119)+Inputs!$C$120*MAX(0,T160-Inputs!$C$119)),0)</f>
        <v>147311.65143718268</v>
      </c>
      <c r="U162" s="23">
        <f>IF(U160&gt;0,MIN(U161,MIN(U160,Inputs!$C$119)+Inputs!$C$120*MAX(0,U160-Inputs!$C$119)),0)</f>
        <v>0</v>
      </c>
      <c r="V162" s="23">
        <f>IF(V160&gt;0,MIN(V161,MIN(V160,Inputs!$C$119)+Inputs!$C$120*MAX(0,V160-Inputs!$C$119)),0)</f>
        <v>0</v>
      </c>
      <c r="W162" s="23">
        <f>IF(W160&gt;0,MIN(W161,MIN(W160,Inputs!$C$119)+Inputs!$C$120*MAX(0,W160-Inputs!$C$119)),0)</f>
        <v>0</v>
      </c>
      <c r="X162" s="23">
        <f>IF(X160&gt;0,MIN(X161,MIN(X160,Inputs!$C$119)+Inputs!$C$120*MAX(0,X160-Inputs!$C$119)),0)</f>
        <v>0</v>
      </c>
      <c r="Y162" s="23">
        <f>IF(Y160&gt;0,MIN(Y161,MIN(Y160,Inputs!$C$119)+Inputs!$C$120*MAX(0,Y160-Inputs!$C$119)),0)</f>
        <v>0</v>
      </c>
      <c r="Z162" s="23">
        <f>IF(Z160&gt;0,MIN(Z161,MIN(Z160,Inputs!$C$119)+Inputs!$C$120*MAX(0,Z160-Inputs!$C$119)),0)</f>
        <v>0</v>
      </c>
      <c r="AA162" s="23">
        <f>IF(AA160&gt;0,MIN(AA161,MIN(AA160,Inputs!$C$119)+Inputs!$C$120*MAX(0,AA160-Inputs!$C$119)),0)</f>
        <v>0</v>
      </c>
      <c r="AB162" s="23">
        <f>IF(AB160&gt;0,MIN(AB161,MIN(AB160,Inputs!$C$119)+Inputs!$C$120*MAX(0,AB160-Inputs!$C$119)),0)</f>
        <v>0</v>
      </c>
      <c r="AC162" s="23">
        <f>IF(AC160&gt;0,MIN(AC161,MIN(AC160,Inputs!$C$119)+Inputs!$C$120*MAX(0,AC160-Inputs!$C$119)),0)</f>
        <v>0</v>
      </c>
      <c r="AD162" s="23">
        <f>IF(AD160&gt;0,MIN(AD161,MIN(AD160,Inputs!$C$119)+Inputs!$C$120*MAX(0,AD160-Inputs!$C$119)),0)</f>
        <v>0</v>
      </c>
      <c r="AE162" s="23">
        <f>IF(AE160&gt;0,MIN(AE161,MIN(AE160,Inputs!$C$119)+Inputs!$C$120*MAX(0,AE160-Inputs!$C$119)),0)</f>
        <v>0</v>
      </c>
    </row>
    <row r="163">
      <c r="A163" s="6" t="inlineStr">
        <is>
          <t xml:space="preserve">Trade loss carry-forward at the year end</t>
        </is>
      </c>
      <c r="B163" s="10" t="inlineStr">
        <is>
          <t xml:space="preserve">€</t>
        </is>
      </c>
      <c r="F163" s="23">
        <f>F161-F162+MAX(0,-F160)</f>
        <v>0</v>
      </c>
      <c r="G163" s="23">
        <f>G161-G162+MAX(0,-G160)</f>
        <v>194235.4118774898</v>
      </c>
      <c r="H163" s="23">
        <f>H161-H162+MAX(0,-H160)</f>
        <v>480823.38855350437</v>
      </c>
      <c r="I163" s="23">
        <f>I161-I162+MAX(0,-I160)</f>
        <v>708976.8695361505</v>
      </c>
      <c r="J163" s="23">
        <f>J161-J162+MAX(0,-J160)</f>
        <v>878079.6809465077</v>
      </c>
      <c r="K163" s="23">
        <f>K161-K162+MAX(0,-K160)</f>
        <v>987301.6442555976</v>
      </c>
      <c r="L163" s="23">
        <f>L161-L162+MAX(0,-L160)</f>
        <v>1036058.3551811448</v>
      </c>
      <c r="M163" s="23">
        <f>M161-M162+MAX(0,-M160)</f>
        <v>1023718.9362534608</v>
      </c>
      <c r="N163" s="23">
        <f>N161-N162+MAX(0,-N160)</f>
        <v>949809.0078570594</v>
      </c>
      <c r="O163" s="23">
        <f>O161-O162+MAX(0,-O160)</f>
        <v>813520.8496169993</v>
      </c>
      <c r="P163" s="23">
        <f>P161-P162+MAX(0,-P160)</f>
        <v>738487.651722471</v>
      </c>
      <c r="Q163" s="23">
        <f>Q161-Q162+MAX(0,-Q160)</f>
        <v>602654.8514388767</v>
      </c>
      <c r="R163" s="23">
        <f>R161-R162+MAX(0,-R160)</f>
        <v>405830.1383408856</v>
      </c>
      <c r="S163" s="23">
        <f>S161-S162+MAX(0,-S160)</f>
        <v>147311.65143718268</v>
      </c>
      <c r="T163" s="23">
        <f>T161-T162+MAX(0,-T160)</f>
        <v>0</v>
      </c>
      <c r="U163" s="23">
        <f>U161-U162+MAX(0,-U160)</f>
        <v>0</v>
      </c>
      <c r="V163" s="23">
        <f>V161-V162+MAX(0,-V160)</f>
        <v>0</v>
      </c>
      <c r="W163" s="23">
        <f>W161-W162+MAX(0,-W160)</f>
        <v>0</v>
      </c>
      <c r="X163" s="23">
        <f>X161-X162+MAX(0,-X160)</f>
        <v>0</v>
      </c>
      <c r="Y163" s="23">
        <f>Y161-Y162+MAX(0,-Y160)</f>
        <v>0</v>
      </c>
      <c r="Z163" s="23">
        <f>Z161-Z162+MAX(0,-Z160)</f>
        <v>0</v>
      </c>
      <c r="AA163" s="23">
        <f>AA161-AA162+MAX(0,-AA160)</f>
        <v>0</v>
      </c>
      <c r="AB163" s="23">
        <f>AB161-AB162+MAX(0,-AB160)</f>
        <v>0</v>
      </c>
      <c r="AC163" s="23">
        <f>AC161-AC162+MAX(0,-AC160)</f>
        <v>0</v>
      </c>
      <c r="AD163" s="23">
        <f>AD161-AD162+MAX(0,-AD160)</f>
        <v>0</v>
      </c>
      <c r="AE163" s="23">
        <f>AE161-AE162+MAX(0,-AE160)</f>
        <v>0</v>
      </c>
    </row>
    <row r="164">
      <c r="A164" s="6" t="inlineStr">
        <is>
          <t xml:space="preserve">Trade tax base (rounded down to €100; KG allowance)</t>
        </is>
      </c>
      <c r="B164" s="10" t="inlineStr">
        <is>
          <t xml:space="preserve">€</t>
        </is>
      </c>
      <c r="F164" s="23">
        <f>IF(Inputs!$C$91="KG",MAX(0,ROUNDDOWN(MAX(0,F160-F162)/100,0)*100-Inputs!$C$115),ROUNDDOWN(MAX(0,F160-F162)/100,0)*100)</f>
        <v>344900</v>
      </c>
      <c r="G164" s="23">
        <f>IF(Inputs!$C$91="KG",MAX(0,ROUNDDOWN(MAX(0,G160-G162)/100,0)*100-Inputs!$C$115),ROUNDDOWN(MAX(0,G160-G162)/100,0)*100)</f>
        <v>0</v>
      </c>
      <c r="H164" s="23">
        <f>IF(Inputs!$C$91="KG",MAX(0,ROUNDDOWN(MAX(0,H160-H162)/100,0)*100-Inputs!$C$115),ROUNDDOWN(MAX(0,H160-H162)/100,0)*100)</f>
        <v>0</v>
      </c>
      <c r="I164" s="23">
        <f>IF(Inputs!$C$91="KG",MAX(0,ROUNDDOWN(MAX(0,I160-I162)/100,0)*100-Inputs!$C$115),ROUNDDOWN(MAX(0,I160-I162)/100,0)*100)</f>
        <v>0</v>
      </c>
      <c r="J164" s="23">
        <f>IF(Inputs!$C$91="KG",MAX(0,ROUNDDOWN(MAX(0,J160-J162)/100,0)*100-Inputs!$C$115),ROUNDDOWN(MAX(0,J160-J162)/100,0)*100)</f>
        <v>0</v>
      </c>
      <c r="K164" s="23">
        <f>IF(Inputs!$C$91="KG",MAX(0,ROUNDDOWN(MAX(0,K160-K162)/100,0)*100-Inputs!$C$115),ROUNDDOWN(MAX(0,K160-K162)/100,0)*100)</f>
        <v>0</v>
      </c>
      <c r="L164" s="23">
        <f>IF(Inputs!$C$91="KG",MAX(0,ROUNDDOWN(MAX(0,L160-L162)/100,0)*100-Inputs!$C$115),ROUNDDOWN(MAX(0,L160-L162)/100,0)*100)</f>
        <v>0</v>
      </c>
      <c r="M164" s="23">
        <f>IF(Inputs!$C$91="KG",MAX(0,ROUNDDOWN(MAX(0,M160-M162)/100,0)*100-Inputs!$C$115),ROUNDDOWN(MAX(0,M160-M162)/100,0)*100)</f>
        <v>0</v>
      </c>
      <c r="N164" s="23">
        <f>IF(Inputs!$C$91="KG",MAX(0,ROUNDDOWN(MAX(0,N160-N162)/100,0)*100-Inputs!$C$115),ROUNDDOWN(MAX(0,N160-N162)/100,0)*100)</f>
        <v>0</v>
      </c>
      <c r="O164" s="23">
        <f>IF(Inputs!$C$91="KG",MAX(0,ROUNDDOWN(MAX(0,O160-O162)/100,0)*100-Inputs!$C$115),ROUNDDOWN(MAX(0,O160-O162)/100,0)*100)</f>
        <v>0</v>
      </c>
      <c r="P164" s="23">
        <f>IF(Inputs!$C$91="KG",MAX(0,ROUNDDOWN(MAX(0,P160-P162)/100,0)*100-Inputs!$C$115),ROUNDDOWN(MAX(0,P160-P162)/100,0)*100)</f>
        <v>0</v>
      </c>
      <c r="Q164" s="23">
        <f>IF(Inputs!$C$91="KG",MAX(0,ROUNDDOWN(MAX(0,Q160-Q162)/100,0)*100-Inputs!$C$115),ROUNDDOWN(MAX(0,Q160-Q162)/100,0)*100)</f>
        <v>0</v>
      </c>
      <c r="R164" s="23">
        <f>IF(Inputs!$C$91="KG",MAX(0,ROUNDDOWN(MAX(0,R160-R162)/100,0)*100-Inputs!$C$115),ROUNDDOWN(MAX(0,R160-R162)/100,0)*100)</f>
        <v>0</v>
      </c>
      <c r="S164" s="23">
        <f>IF(Inputs!$C$91="KG",MAX(0,ROUNDDOWN(MAX(0,S160-S162)/100,0)*100-Inputs!$C$115),ROUNDDOWN(MAX(0,S160-S162)/100,0)*100)</f>
        <v>0</v>
      </c>
      <c r="T164" s="23">
        <f>IF(Inputs!$C$91="KG",MAX(0,ROUNDDOWN(MAX(0,T160-T162)/100,0)*100-Inputs!$C$115),ROUNDDOWN(MAX(0,T160-T162)/100,0)*100)</f>
        <v>148400</v>
      </c>
      <c r="U164" s="23">
        <f>IF(Inputs!$C$91="KG",MAX(0,ROUNDDOWN(MAX(0,U160-U162)/100,0)*100-Inputs!$C$115),ROUNDDOWN(MAX(0,U160-U162)/100,0)*100)</f>
        <v>357700</v>
      </c>
      <c r="V164" s="23">
        <f>IF(Inputs!$C$91="KG",MAX(0,ROUNDDOWN(MAX(0,V160-V162)/100,0)*100-Inputs!$C$115),ROUNDDOWN(MAX(0,V160-V162)/100,0)*100)</f>
        <v>2205000</v>
      </c>
      <c r="W164" s="23">
        <f>IF(Inputs!$C$91="KG",MAX(0,ROUNDDOWN(MAX(0,W160-W162)/100,0)*100-Inputs!$C$115),ROUNDDOWN(MAX(0,W160-W162)/100,0)*100)</f>
        <v>4052900</v>
      </c>
      <c r="X164" s="23">
        <f>IF(Inputs!$C$91="KG",MAX(0,ROUNDDOWN(MAX(0,X160-X162)/100,0)*100-Inputs!$C$115),ROUNDDOWN(MAX(0,X160-X162)/100,0)*100)</f>
        <v>4115000</v>
      </c>
      <c r="Y164" s="23">
        <f>IF(Inputs!$C$91="KG",MAX(0,ROUNDDOWN(MAX(0,Y160-Y162)/100,0)*100-Inputs!$C$115),ROUNDDOWN(MAX(0,Y160-Y162)/100,0)*100)</f>
        <v>4176900</v>
      </c>
      <c r="Z164" s="23">
        <f>IF(Inputs!$C$91="KG",MAX(0,ROUNDDOWN(MAX(0,Z160-Z162)/100,0)*100-Inputs!$C$115),ROUNDDOWN(MAX(0,Z160-Z162)/100,0)*100)</f>
        <v>4157500</v>
      </c>
      <c r="AA164" s="23">
        <f>IF(Inputs!$C$91="KG",MAX(0,ROUNDDOWN(MAX(0,AA160-AA162)/100,0)*100-Inputs!$C$115),ROUNDDOWN(MAX(0,AA160-AA162)/100,0)*100)</f>
        <v>4217500</v>
      </c>
      <c r="AB164" s="23">
        <f>IF(Inputs!$C$91="KG",MAX(0,ROUNDDOWN(MAX(0,AB160-AB162)/100,0)*100-Inputs!$C$115),ROUNDDOWN(MAX(0,AB160-AB162)/100,0)*100)</f>
        <v>4276400</v>
      </c>
      <c r="AC164" s="23">
        <f>IF(Inputs!$C$91="KG",MAX(0,ROUNDDOWN(MAX(0,AC160-AC162)/100,0)*100-Inputs!$C$115),ROUNDDOWN(MAX(0,AC160-AC162)/100,0)*100)</f>
        <v>4334700</v>
      </c>
      <c r="AD164" s="23">
        <f>IF(Inputs!$C$91="KG",MAX(0,ROUNDDOWN(MAX(0,AD160-AD162)/100,0)*100-Inputs!$C$115),ROUNDDOWN(MAX(0,AD160-AD162)/100,0)*100)</f>
        <v>4323300</v>
      </c>
      <c r="AE164" s="23">
        <f>IF(Inputs!$C$91="KG",MAX(0,ROUNDDOWN(MAX(0,AE160-AE162)/100,0)*100-Inputs!$C$115),ROUNDDOWN(MAX(0,AE160-AE162)/100,0)*100)</f>
        <v>2216500</v>
      </c>
    </row>
    <row r="165">
      <c r="A165" s="6" t="inlineStr">
        <is>
          <t xml:space="preserve">Trade tax</t>
        </is>
      </c>
      <c r="B165" s="10" t="inlineStr">
        <is>
          <t xml:space="preserve">€</t>
        </is>
      </c>
      <c r="F165" s="23">
        <f>F164*Inputs!$C$114*Inputs!$C$92</f>
        <v>48286.00000000001</v>
      </c>
      <c r="G165" s="23">
        <f>G164*Inputs!$C$114*Inputs!$C$92</f>
        <v>0</v>
      </c>
      <c r="H165" s="23">
        <f>H164*Inputs!$C$114*Inputs!$C$92</f>
        <v>0</v>
      </c>
      <c r="I165" s="23">
        <f>I164*Inputs!$C$114*Inputs!$C$92</f>
        <v>0</v>
      </c>
      <c r="J165" s="23">
        <f>J164*Inputs!$C$114*Inputs!$C$92</f>
        <v>0</v>
      </c>
      <c r="K165" s="23">
        <f>K164*Inputs!$C$114*Inputs!$C$92</f>
        <v>0</v>
      </c>
      <c r="L165" s="23">
        <f>L164*Inputs!$C$114*Inputs!$C$92</f>
        <v>0</v>
      </c>
      <c r="M165" s="23">
        <f>M164*Inputs!$C$114*Inputs!$C$92</f>
        <v>0</v>
      </c>
      <c r="N165" s="23">
        <f>N164*Inputs!$C$114*Inputs!$C$92</f>
        <v>0</v>
      </c>
      <c r="O165" s="23">
        <f>O164*Inputs!$C$114*Inputs!$C$92</f>
        <v>0</v>
      </c>
      <c r="P165" s="23">
        <f>P164*Inputs!$C$114*Inputs!$C$92</f>
        <v>0</v>
      </c>
      <c r="Q165" s="23">
        <f>Q164*Inputs!$C$114*Inputs!$C$92</f>
        <v>0</v>
      </c>
      <c r="R165" s="23">
        <f>R164*Inputs!$C$114*Inputs!$C$92</f>
        <v>0</v>
      </c>
      <c r="S165" s="23">
        <f>S164*Inputs!$C$114*Inputs!$C$92</f>
        <v>0</v>
      </c>
      <c r="T165" s="23">
        <f>T164*Inputs!$C$114*Inputs!$C$92</f>
        <v>20776.000000000004</v>
      </c>
      <c r="U165" s="23">
        <f>U164*Inputs!$C$114*Inputs!$C$92</f>
        <v>50078.00000000001</v>
      </c>
      <c r="V165" s="23">
        <f>V164*Inputs!$C$114*Inputs!$C$92</f>
        <v>308700.00000000006</v>
      </c>
      <c r="W165" s="23">
        <f>W164*Inputs!$C$114*Inputs!$C$92</f>
        <v>567406</v>
      </c>
      <c r="X165" s="23">
        <f>X164*Inputs!$C$114*Inputs!$C$92</f>
        <v>576100</v>
      </c>
      <c r="Y165" s="23">
        <f>Y164*Inputs!$C$114*Inputs!$C$92</f>
        <v>584766</v>
      </c>
      <c r="Z165" s="23">
        <f>Z164*Inputs!$C$114*Inputs!$C$92</f>
        <v>582050</v>
      </c>
      <c r="AA165" s="23">
        <f>AA164*Inputs!$C$114*Inputs!$C$92</f>
        <v>590450</v>
      </c>
      <c r="AB165" s="23">
        <f>AB164*Inputs!$C$114*Inputs!$C$92</f>
        <v>598696</v>
      </c>
      <c r="AC165" s="23">
        <f>AC164*Inputs!$C$114*Inputs!$C$92</f>
        <v>606858</v>
      </c>
      <c r="AD165" s="23">
        <f>AD164*Inputs!$C$114*Inputs!$C$92</f>
        <v>605262</v>
      </c>
      <c r="AE165" s="23">
        <f>AE164*Inputs!$C$114*Inputs!$C$92</f>
        <v>310310.00000000006</v>
      </c>
    </row>
    <row r="166">
      <c r="A166" s="6" t="inlineStr">
        <is>
          <t xml:space="preserve">Corporate loss carry-forward at the start (GmbH)</t>
        </is>
      </c>
      <c r="B166" s="10" t="inlineStr">
        <is>
          <t xml:space="preserve">€</t>
        </is>
      </c>
      <c r="E166" s="9">
        <v>0</v>
      </c>
      <c r="F166" s="23">
        <f>E169</f>
        <v>0</v>
      </c>
      <c r="G166" s="23">
        <f>F169</f>
        <v>0</v>
      </c>
      <c r="H166" s="23">
        <f>G169</f>
        <v>0</v>
      </c>
      <c r="I166" s="23">
        <f>H169</f>
        <v>0</v>
      </c>
      <c r="J166" s="23">
        <f>I169</f>
        <v>0</v>
      </c>
      <c r="K166" s="23">
        <f>J169</f>
        <v>0</v>
      </c>
      <c r="L166" s="23">
        <f>K169</f>
        <v>0</v>
      </c>
      <c r="M166" s="23">
        <f>L169</f>
        <v>0</v>
      </c>
      <c r="N166" s="23">
        <f>M169</f>
        <v>0</v>
      </c>
      <c r="O166" s="23">
        <f>N169</f>
        <v>0</v>
      </c>
      <c r="P166" s="23">
        <f>O169</f>
        <v>0</v>
      </c>
      <c r="Q166" s="23">
        <f>P169</f>
        <v>0</v>
      </c>
      <c r="R166" s="23">
        <f>Q169</f>
        <v>0</v>
      </c>
      <c r="S166" s="23">
        <f>R169</f>
        <v>0</v>
      </c>
      <c r="T166" s="23">
        <f>S169</f>
        <v>0</v>
      </c>
      <c r="U166" s="23">
        <f>T169</f>
        <v>0</v>
      </c>
      <c r="V166" s="23">
        <f>U169</f>
        <v>0</v>
      </c>
      <c r="W166" s="23">
        <f>V169</f>
        <v>0</v>
      </c>
      <c r="X166" s="23">
        <f>W169</f>
        <v>0</v>
      </c>
      <c r="Y166" s="23">
        <f>X169</f>
        <v>0</v>
      </c>
      <c r="Z166" s="23">
        <f>Y169</f>
        <v>0</v>
      </c>
      <c r="AA166" s="23">
        <f>Z169</f>
        <v>0</v>
      </c>
      <c r="AB166" s="23">
        <f>AA169</f>
        <v>0</v>
      </c>
      <c r="AC166" s="23">
        <f>AB169</f>
        <v>0</v>
      </c>
      <c r="AD166" s="23">
        <f>AC169</f>
        <v>0</v>
      </c>
      <c r="AE166" s="23">
        <f>AD169</f>
        <v>0</v>
      </c>
    </row>
    <row r="167">
      <c r="A167" s="6" t="inlineStr">
        <is>
          <t xml:space="preserve">Corporate tax: share of profit above €1m that losses may offset</t>
        </is>
      </c>
      <c r="F167" s="24">
        <f>IF(Timing!F59&lt;=Inputs!$C$123,Inputs!$C$121,Inputs!$C$122)</f>
        <v>0.6</v>
      </c>
      <c r="G167" s="24">
        <f>IF(Timing!G59&lt;=Inputs!$C$123,Inputs!$C$121,Inputs!$C$122)</f>
        <v>0.6</v>
      </c>
      <c r="H167" s="24">
        <f>IF(Timing!H59&lt;=Inputs!$C$123,Inputs!$C$121,Inputs!$C$122)</f>
        <v>0.6</v>
      </c>
      <c r="I167" s="24">
        <f>IF(Timing!I59&lt;=Inputs!$C$123,Inputs!$C$121,Inputs!$C$122)</f>
        <v>0.6</v>
      </c>
      <c r="J167" s="24">
        <f>IF(Timing!J59&lt;=Inputs!$C$123,Inputs!$C$121,Inputs!$C$122)</f>
        <v>0.6</v>
      </c>
      <c r="K167" s="24">
        <f>IF(Timing!K59&lt;=Inputs!$C$123,Inputs!$C$121,Inputs!$C$122)</f>
        <v>0.6</v>
      </c>
      <c r="L167" s="24">
        <f>IF(Timing!L59&lt;=Inputs!$C$123,Inputs!$C$121,Inputs!$C$122)</f>
        <v>0.6</v>
      </c>
      <c r="M167" s="24">
        <f>IF(Timing!M59&lt;=Inputs!$C$123,Inputs!$C$121,Inputs!$C$122)</f>
        <v>0.6</v>
      </c>
      <c r="N167" s="24">
        <f>IF(Timing!N59&lt;=Inputs!$C$123,Inputs!$C$121,Inputs!$C$122)</f>
        <v>0.6</v>
      </c>
      <c r="O167" s="24">
        <f>IF(Timing!O59&lt;=Inputs!$C$123,Inputs!$C$121,Inputs!$C$122)</f>
        <v>0.6</v>
      </c>
      <c r="P167" s="24">
        <f>IF(Timing!P59&lt;=Inputs!$C$123,Inputs!$C$121,Inputs!$C$122)</f>
        <v>0.6</v>
      </c>
      <c r="Q167" s="24">
        <f>IF(Timing!Q59&lt;=Inputs!$C$123,Inputs!$C$121,Inputs!$C$122)</f>
        <v>0.6</v>
      </c>
      <c r="R167" s="24">
        <f>IF(Timing!R59&lt;=Inputs!$C$123,Inputs!$C$121,Inputs!$C$122)</f>
        <v>0.6</v>
      </c>
      <c r="S167" s="24">
        <f>IF(Timing!S59&lt;=Inputs!$C$123,Inputs!$C$121,Inputs!$C$122)</f>
        <v>0.6</v>
      </c>
      <c r="T167" s="24">
        <f>IF(Timing!T59&lt;=Inputs!$C$123,Inputs!$C$121,Inputs!$C$122)</f>
        <v>0.6</v>
      </c>
      <c r="U167" s="24">
        <f>IF(Timing!U59&lt;=Inputs!$C$123,Inputs!$C$121,Inputs!$C$122)</f>
        <v>0.6</v>
      </c>
      <c r="V167" s="24">
        <f>IF(Timing!V59&lt;=Inputs!$C$123,Inputs!$C$121,Inputs!$C$122)</f>
        <v>0.6</v>
      </c>
      <c r="W167" s="24">
        <f>IF(Timing!W59&lt;=Inputs!$C$123,Inputs!$C$121,Inputs!$C$122)</f>
        <v>0.6</v>
      </c>
      <c r="X167" s="24">
        <f>IF(Timing!X59&lt;=Inputs!$C$123,Inputs!$C$121,Inputs!$C$122)</f>
        <v>0.6</v>
      </c>
      <c r="Y167" s="24">
        <f>IF(Timing!Y59&lt;=Inputs!$C$123,Inputs!$C$121,Inputs!$C$122)</f>
        <v>0.6</v>
      </c>
      <c r="Z167" s="24">
        <f>IF(Timing!Z59&lt;=Inputs!$C$123,Inputs!$C$121,Inputs!$C$122)</f>
        <v>0.6</v>
      </c>
      <c r="AA167" s="24">
        <f>IF(Timing!AA59&lt;=Inputs!$C$123,Inputs!$C$121,Inputs!$C$122)</f>
        <v>0.6</v>
      </c>
      <c r="AB167" s="24">
        <f>IF(Timing!AB59&lt;=Inputs!$C$123,Inputs!$C$121,Inputs!$C$122)</f>
        <v>0.6</v>
      </c>
      <c r="AC167" s="24">
        <f>IF(Timing!AC59&lt;=Inputs!$C$123,Inputs!$C$121,Inputs!$C$122)</f>
        <v>0.6</v>
      </c>
      <c r="AD167" s="24">
        <f>IF(Timing!AD59&lt;=Inputs!$C$123,Inputs!$C$121,Inputs!$C$122)</f>
        <v>0.6</v>
      </c>
      <c r="AE167" s="24">
        <f>IF(Timing!AE59&lt;=Inputs!$C$123,Inputs!$C$121,Inputs!$C$122)</f>
        <v>0.6</v>
      </c>
    </row>
    <row r="168">
      <c r="A168" s="6" t="inlineStr">
        <is>
          <t xml:space="preserve">Corporate losses used</t>
        </is>
      </c>
      <c r="B168" s="10" t="inlineStr">
        <is>
          <t xml:space="preserve">€</t>
        </is>
      </c>
      <c r="F168" s="23">
        <f>IF(AND(Inputs!$C$91="GmbH",F158&gt;0),MIN(F166,MIN(F158,Inputs!$C$119)+F167*MAX(0,F158-Inputs!$C$119)),0)</f>
        <v>0</v>
      </c>
      <c r="G168" s="23">
        <f>IF(AND(Inputs!$C$91="GmbH",G158&gt;0),MIN(G166,MIN(G158,Inputs!$C$119)+G167*MAX(0,G158-Inputs!$C$119)),0)</f>
        <v>0</v>
      </c>
      <c r="H168" s="23">
        <f>IF(AND(Inputs!$C$91="GmbH",H158&gt;0),MIN(H166,MIN(H158,Inputs!$C$119)+H167*MAX(0,H158-Inputs!$C$119)),0)</f>
        <v>0</v>
      </c>
      <c r="I168" s="23">
        <f>IF(AND(Inputs!$C$91="GmbH",I158&gt;0),MIN(I166,MIN(I158,Inputs!$C$119)+I167*MAX(0,I158-Inputs!$C$119)),0)</f>
        <v>0</v>
      </c>
      <c r="J168" s="23">
        <f>IF(AND(Inputs!$C$91="GmbH",J158&gt;0),MIN(J166,MIN(J158,Inputs!$C$119)+J167*MAX(0,J158-Inputs!$C$119)),0)</f>
        <v>0</v>
      </c>
      <c r="K168" s="23">
        <f>IF(AND(Inputs!$C$91="GmbH",K158&gt;0),MIN(K166,MIN(K158,Inputs!$C$119)+K167*MAX(0,K158-Inputs!$C$119)),0)</f>
        <v>0</v>
      </c>
      <c r="L168" s="23">
        <f>IF(AND(Inputs!$C$91="GmbH",L158&gt;0),MIN(L166,MIN(L158,Inputs!$C$119)+L167*MAX(0,L158-Inputs!$C$119)),0)</f>
        <v>0</v>
      </c>
      <c r="M168" s="23">
        <f>IF(AND(Inputs!$C$91="GmbH",M158&gt;0),MIN(M166,MIN(M158,Inputs!$C$119)+M167*MAX(0,M158-Inputs!$C$119)),0)</f>
        <v>0</v>
      </c>
      <c r="N168" s="23">
        <f>IF(AND(Inputs!$C$91="GmbH",N158&gt;0),MIN(N166,MIN(N158,Inputs!$C$119)+N167*MAX(0,N158-Inputs!$C$119)),0)</f>
        <v>0</v>
      </c>
      <c r="O168" s="23">
        <f>IF(AND(Inputs!$C$91="GmbH",O158&gt;0),MIN(O166,MIN(O158,Inputs!$C$119)+O167*MAX(0,O158-Inputs!$C$119)),0)</f>
        <v>0</v>
      </c>
      <c r="P168" s="23">
        <f>IF(AND(Inputs!$C$91="GmbH",P158&gt;0),MIN(P166,MIN(P158,Inputs!$C$119)+P167*MAX(0,P158-Inputs!$C$119)),0)</f>
        <v>0</v>
      </c>
      <c r="Q168" s="23">
        <f>IF(AND(Inputs!$C$91="GmbH",Q158&gt;0),MIN(Q166,MIN(Q158,Inputs!$C$119)+Q167*MAX(0,Q158-Inputs!$C$119)),0)</f>
        <v>0</v>
      </c>
      <c r="R168" s="23">
        <f>IF(AND(Inputs!$C$91="GmbH",R158&gt;0),MIN(R166,MIN(R158,Inputs!$C$119)+R167*MAX(0,R158-Inputs!$C$119)),0)</f>
        <v>0</v>
      </c>
      <c r="S168" s="23">
        <f>IF(AND(Inputs!$C$91="GmbH",S158&gt;0),MIN(S166,MIN(S158,Inputs!$C$119)+S167*MAX(0,S158-Inputs!$C$119)),0)</f>
        <v>0</v>
      </c>
      <c r="T168" s="23">
        <f>IF(AND(Inputs!$C$91="GmbH",T158&gt;0),MIN(T166,MIN(T158,Inputs!$C$119)+T167*MAX(0,T158-Inputs!$C$119)),0)</f>
        <v>0</v>
      </c>
      <c r="U168" s="23">
        <f>IF(AND(Inputs!$C$91="GmbH",U158&gt;0),MIN(U166,MIN(U158,Inputs!$C$119)+U167*MAX(0,U158-Inputs!$C$119)),0)</f>
        <v>0</v>
      </c>
      <c r="V168" s="23">
        <f>IF(AND(Inputs!$C$91="GmbH",V158&gt;0),MIN(V166,MIN(V158,Inputs!$C$119)+V167*MAX(0,V158-Inputs!$C$119)),0)</f>
        <v>0</v>
      </c>
      <c r="W168" s="23">
        <f>IF(AND(Inputs!$C$91="GmbH",W158&gt;0),MIN(W166,MIN(W158,Inputs!$C$119)+W167*MAX(0,W158-Inputs!$C$119)),0)</f>
        <v>0</v>
      </c>
      <c r="X168" s="23">
        <f>IF(AND(Inputs!$C$91="GmbH",X158&gt;0),MIN(X166,MIN(X158,Inputs!$C$119)+X167*MAX(0,X158-Inputs!$C$119)),0)</f>
        <v>0</v>
      </c>
      <c r="Y168" s="23">
        <f>IF(AND(Inputs!$C$91="GmbH",Y158&gt;0),MIN(Y166,MIN(Y158,Inputs!$C$119)+Y167*MAX(0,Y158-Inputs!$C$119)),0)</f>
        <v>0</v>
      </c>
      <c r="Z168" s="23">
        <f>IF(AND(Inputs!$C$91="GmbH",Z158&gt;0),MIN(Z166,MIN(Z158,Inputs!$C$119)+Z167*MAX(0,Z158-Inputs!$C$119)),0)</f>
        <v>0</v>
      </c>
      <c r="AA168" s="23">
        <f>IF(AND(Inputs!$C$91="GmbH",AA158&gt;0),MIN(AA166,MIN(AA158,Inputs!$C$119)+AA167*MAX(0,AA158-Inputs!$C$119)),0)</f>
        <v>0</v>
      </c>
      <c r="AB168" s="23">
        <f>IF(AND(Inputs!$C$91="GmbH",AB158&gt;0),MIN(AB166,MIN(AB158,Inputs!$C$119)+AB167*MAX(0,AB158-Inputs!$C$119)),0)</f>
        <v>0</v>
      </c>
      <c r="AC168" s="23">
        <f>IF(AND(Inputs!$C$91="GmbH",AC158&gt;0),MIN(AC166,MIN(AC158,Inputs!$C$119)+AC167*MAX(0,AC158-Inputs!$C$119)),0)</f>
        <v>0</v>
      </c>
      <c r="AD168" s="23">
        <f>IF(AND(Inputs!$C$91="GmbH",AD158&gt;0),MIN(AD166,MIN(AD158,Inputs!$C$119)+AD167*MAX(0,AD158-Inputs!$C$119)),0)</f>
        <v>0</v>
      </c>
      <c r="AE168" s="23">
        <f>IF(AND(Inputs!$C$91="GmbH",AE158&gt;0),MIN(AE166,MIN(AE158,Inputs!$C$119)+AE167*MAX(0,AE158-Inputs!$C$119)),0)</f>
        <v>0</v>
      </c>
    </row>
    <row r="169">
      <c r="A169" s="6" t="inlineStr">
        <is>
          <t xml:space="preserve">Corporate loss carry-forward at the year end</t>
        </is>
      </c>
      <c r="B169" s="10" t="inlineStr">
        <is>
          <t xml:space="preserve">€</t>
        </is>
      </c>
      <c r="F169" s="23">
        <f>IF(Inputs!$C$91="GmbH",F166-F168+MAX(0,-F158),0)</f>
        <v>0</v>
      </c>
      <c r="G169" s="23">
        <f>IF(Inputs!$C$91="GmbH",G166-G168+MAX(0,-G158),0)</f>
        <v>0</v>
      </c>
      <c r="H169" s="23">
        <f>IF(Inputs!$C$91="GmbH",H166-H168+MAX(0,-H158),0)</f>
        <v>0</v>
      </c>
      <c r="I169" s="23">
        <f>IF(Inputs!$C$91="GmbH",I166-I168+MAX(0,-I158),0)</f>
        <v>0</v>
      </c>
      <c r="J169" s="23">
        <f>IF(Inputs!$C$91="GmbH",J166-J168+MAX(0,-J158),0)</f>
        <v>0</v>
      </c>
      <c r="K169" s="23">
        <f>IF(Inputs!$C$91="GmbH",K166-K168+MAX(0,-K158),0)</f>
        <v>0</v>
      </c>
      <c r="L169" s="23">
        <f>IF(Inputs!$C$91="GmbH",L166-L168+MAX(0,-L158),0)</f>
        <v>0</v>
      </c>
      <c r="M169" s="23">
        <f>IF(Inputs!$C$91="GmbH",M166-M168+MAX(0,-M158),0)</f>
        <v>0</v>
      </c>
      <c r="N169" s="23">
        <f>IF(Inputs!$C$91="GmbH",N166-N168+MAX(0,-N158),0)</f>
        <v>0</v>
      </c>
      <c r="O169" s="23">
        <f>IF(Inputs!$C$91="GmbH",O166-O168+MAX(0,-O158),0)</f>
        <v>0</v>
      </c>
      <c r="P169" s="23">
        <f>IF(Inputs!$C$91="GmbH",P166-P168+MAX(0,-P158),0)</f>
        <v>0</v>
      </c>
      <c r="Q169" s="23">
        <f>IF(Inputs!$C$91="GmbH",Q166-Q168+MAX(0,-Q158),0)</f>
        <v>0</v>
      </c>
      <c r="R169" s="23">
        <f>IF(Inputs!$C$91="GmbH",R166-R168+MAX(0,-R158),0)</f>
        <v>0</v>
      </c>
      <c r="S169" s="23">
        <f>IF(Inputs!$C$91="GmbH",S166-S168+MAX(0,-S158),0)</f>
        <v>0</v>
      </c>
      <c r="T169" s="23">
        <f>IF(Inputs!$C$91="GmbH",T166-T168+MAX(0,-T158),0)</f>
        <v>0</v>
      </c>
      <c r="U169" s="23">
        <f>IF(Inputs!$C$91="GmbH",U166-U168+MAX(0,-U158),0)</f>
        <v>0</v>
      </c>
      <c r="V169" s="23">
        <f>IF(Inputs!$C$91="GmbH",V166-V168+MAX(0,-V158),0)</f>
        <v>0</v>
      </c>
      <c r="W169" s="23">
        <f>IF(Inputs!$C$91="GmbH",W166-W168+MAX(0,-W158),0)</f>
        <v>0</v>
      </c>
      <c r="X169" s="23">
        <f>IF(Inputs!$C$91="GmbH",X166-X168+MAX(0,-X158),0)</f>
        <v>0</v>
      </c>
      <c r="Y169" s="23">
        <f>IF(Inputs!$C$91="GmbH",Y166-Y168+MAX(0,-Y158),0)</f>
        <v>0</v>
      </c>
      <c r="Z169" s="23">
        <f>IF(Inputs!$C$91="GmbH",Z166-Z168+MAX(0,-Z158),0)</f>
        <v>0</v>
      </c>
      <c r="AA169" s="23">
        <f>IF(Inputs!$C$91="GmbH",AA166-AA168+MAX(0,-AA158),0)</f>
        <v>0</v>
      </c>
      <c r="AB169" s="23">
        <f>IF(Inputs!$C$91="GmbH",AB166-AB168+MAX(0,-AB158),0)</f>
        <v>0</v>
      </c>
      <c r="AC169" s="23">
        <f>IF(Inputs!$C$91="GmbH",AC166-AC168+MAX(0,-AC158),0)</f>
        <v>0</v>
      </c>
      <c r="AD169" s="23">
        <f>IF(Inputs!$C$91="GmbH",AD166-AD168+MAX(0,-AD158),0)</f>
        <v>0</v>
      </c>
      <c r="AE169" s="23">
        <f>IF(Inputs!$C$91="GmbH",AE166-AE168+MAX(0,-AE158),0)</f>
        <v>0</v>
      </c>
    </row>
    <row r="170">
      <c r="A170" s="6" t="inlineStr">
        <is>
          <t xml:space="preserve">Corporate taxable income</t>
        </is>
      </c>
      <c r="B170" s="10" t="inlineStr">
        <is>
          <t xml:space="preserve">€</t>
        </is>
      </c>
      <c r="F170" s="23">
        <f>IF(Inputs!$C$91="GmbH",MAX(0,F158-F168),0)</f>
        <v>0</v>
      </c>
      <c r="G170" s="23">
        <f>IF(Inputs!$C$91="GmbH",MAX(0,G158-G168),0)</f>
        <v>0</v>
      </c>
      <c r="H170" s="23">
        <f>IF(Inputs!$C$91="GmbH",MAX(0,H158-H168),0)</f>
        <v>0</v>
      </c>
      <c r="I170" s="23">
        <f>IF(Inputs!$C$91="GmbH",MAX(0,I158-I168),0)</f>
        <v>0</v>
      </c>
      <c r="J170" s="23">
        <f>IF(Inputs!$C$91="GmbH",MAX(0,J158-J168),0)</f>
        <v>0</v>
      </c>
      <c r="K170" s="23">
        <f>IF(Inputs!$C$91="GmbH",MAX(0,K158-K168),0)</f>
        <v>0</v>
      </c>
      <c r="L170" s="23">
        <f>IF(Inputs!$C$91="GmbH",MAX(0,L158-L168),0)</f>
        <v>0</v>
      </c>
      <c r="M170" s="23">
        <f>IF(Inputs!$C$91="GmbH",MAX(0,M158-M168),0)</f>
        <v>0</v>
      </c>
      <c r="N170" s="23">
        <f>IF(Inputs!$C$91="GmbH",MAX(0,N158-N168),0)</f>
        <v>0</v>
      </c>
      <c r="O170" s="23">
        <f>IF(Inputs!$C$91="GmbH",MAX(0,O158-O168),0)</f>
        <v>0</v>
      </c>
      <c r="P170" s="23">
        <f>IF(Inputs!$C$91="GmbH",MAX(0,P158-P168),0)</f>
        <v>0</v>
      </c>
      <c r="Q170" s="23">
        <f>IF(Inputs!$C$91="GmbH",MAX(0,Q158-Q168),0)</f>
        <v>0</v>
      </c>
      <c r="R170" s="23">
        <f>IF(Inputs!$C$91="GmbH",MAX(0,R158-R168),0)</f>
        <v>0</v>
      </c>
      <c r="S170" s="23">
        <f>IF(Inputs!$C$91="GmbH",MAX(0,S158-S168),0)</f>
        <v>0</v>
      </c>
      <c r="T170" s="23">
        <f>IF(Inputs!$C$91="GmbH",MAX(0,T158-T168),0)</f>
        <v>0</v>
      </c>
      <c r="U170" s="23">
        <f>IF(Inputs!$C$91="GmbH",MAX(0,U158-U168),0)</f>
        <v>0</v>
      </c>
      <c r="V170" s="23">
        <f>IF(Inputs!$C$91="GmbH",MAX(0,V158-V168),0)</f>
        <v>0</v>
      </c>
      <c r="W170" s="23">
        <f>IF(Inputs!$C$91="GmbH",MAX(0,W158-W168),0)</f>
        <v>0</v>
      </c>
      <c r="X170" s="23">
        <f>IF(Inputs!$C$91="GmbH",MAX(0,X158-X168),0)</f>
        <v>0</v>
      </c>
      <c r="Y170" s="23">
        <f>IF(Inputs!$C$91="GmbH",MAX(0,Y158-Y168),0)</f>
        <v>0</v>
      </c>
      <c r="Z170" s="23">
        <f>IF(Inputs!$C$91="GmbH",MAX(0,Z158-Z168),0)</f>
        <v>0</v>
      </c>
      <c r="AA170" s="23">
        <f>IF(Inputs!$C$91="GmbH",MAX(0,AA158-AA168),0)</f>
        <v>0</v>
      </c>
      <c r="AB170" s="23">
        <f>IF(Inputs!$C$91="GmbH",MAX(0,AB158-AB168),0)</f>
        <v>0</v>
      </c>
      <c r="AC170" s="23">
        <f>IF(Inputs!$C$91="GmbH",MAX(0,AC158-AC168),0)</f>
        <v>0</v>
      </c>
      <c r="AD170" s="23">
        <f>IF(Inputs!$C$91="GmbH",MAX(0,AD158-AD168),0)</f>
        <v>0</v>
      </c>
      <c r="AE170" s="23">
        <f>IF(Inputs!$C$91="GmbH",MAX(0,AE158-AE168),0)</f>
        <v>0</v>
      </c>
    </row>
    <row r="171">
      <c r="A171" s="6" t="inlineStr">
        <is>
          <t xml:space="preserve">Corporate tax rate (§ 23 KStG)</t>
        </is>
      </c>
      <c r="F171" s="24">
        <f>IF(Inputs!$C$91="GmbH",MAX(Inputs!$C$125,Inputs!$C$124-Inputs!$C$126*MAX(0,Timing!F59-Inputs!$C$127)),0)</f>
        <v>0</v>
      </c>
      <c r="G171" s="24">
        <f>IF(Inputs!$C$91="GmbH",MAX(Inputs!$C$125,Inputs!$C$124-Inputs!$C$126*MAX(0,Timing!G59-Inputs!$C$127)),0)</f>
        <v>0</v>
      </c>
      <c r="H171" s="24">
        <f>IF(Inputs!$C$91="GmbH",MAX(Inputs!$C$125,Inputs!$C$124-Inputs!$C$126*MAX(0,Timing!H59-Inputs!$C$127)),0)</f>
        <v>0</v>
      </c>
      <c r="I171" s="24">
        <f>IF(Inputs!$C$91="GmbH",MAX(Inputs!$C$125,Inputs!$C$124-Inputs!$C$126*MAX(0,Timing!I59-Inputs!$C$127)),0)</f>
        <v>0</v>
      </c>
      <c r="J171" s="24">
        <f>IF(Inputs!$C$91="GmbH",MAX(Inputs!$C$125,Inputs!$C$124-Inputs!$C$126*MAX(0,Timing!J59-Inputs!$C$127)),0)</f>
        <v>0</v>
      </c>
      <c r="K171" s="24">
        <f>IF(Inputs!$C$91="GmbH",MAX(Inputs!$C$125,Inputs!$C$124-Inputs!$C$126*MAX(0,Timing!K59-Inputs!$C$127)),0)</f>
        <v>0</v>
      </c>
      <c r="L171" s="24">
        <f>IF(Inputs!$C$91="GmbH",MAX(Inputs!$C$125,Inputs!$C$124-Inputs!$C$126*MAX(0,Timing!L59-Inputs!$C$127)),0)</f>
        <v>0</v>
      </c>
      <c r="M171" s="24">
        <f>IF(Inputs!$C$91="GmbH",MAX(Inputs!$C$125,Inputs!$C$124-Inputs!$C$126*MAX(0,Timing!M59-Inputs!$C$127)),0)</f>
        <v>0</v>
      </c>
      <c r="N171" s="24">
        <f>IF(Inputs!$C$91="GmbH",MAX(Inputs!$C$125,Inputs!$C$124-Inputs!$C$126*MAX(0,Timing!N59-Inputs!$C$127)),0)</f>
        <v>0</v>
      </c>
      <c r="O171" s="24">
        <f>IF(Inputs!$C$91="GmbH",MAX(Inputs!$C$125,Inputs!$C$124-Inputs!$C$126*MAX(0,Timing!O59-Inputs!$C$127)),0)</f>
        <v>0</v>
      </c>
      <c r="P171" s="24">
        <f>IF(Inputs!$C$91="GmbH",MAX(Inputs!$C$125,Inputs!$C$124-Inputs!$C$126*MAX(0,Timing!P59-Inputs!$C$127)),0)</f>
        <v>0</v>
      </c>
      <c r="Q171" s="24">
        <f>IF(Inputs!$C$91="GmbH",MAX(Inputs!$C$125,Inputs!$C$124-Inputs!$C$126*MAX(0,Timing!Q59-Inputs!$C$127)),0)</f>
        <v>0</v>
      </c>
      <c r="R171" s="24">
        <f>IF(Inputs!$C$91="GmbH",MAX(Inputs!$C$125,Inputs!$C$124-Inputs!$C$126*MAX(0,Timing!R59-Inputs!$C$127)),0)</f>
        <v>0</v>
      </c>
      <c r="S171" s="24">
        <f>IF(Inputs!$C$91="GmbH",MAX(Inputs!$C$125,Inputs!$C$124-Inputs!$C$126*MAX(0,Timing!S59-Inputs!$C$127)),0)</f>
        <v>0</v>
      </c>
      <c r="T171" s="24">
        <f>IF(Inputs!$C$91="GmbH",MAX(Inputs!$C$125,Inputs!$C$124-Inputs!$C$126*MAX(0,Timing!T59-Inputs!$C$127)),0)</f>
        <v>0</v>
      </c>
      <c r="U171" s="24">
        <f>IF(Inputs!$C$91="GmbH",MAX(Inputs!$C$125,Inputs!$C$124-Inputs!$C$126*MAX(0,Timing!U59-Inputs!$C$127)),0)</f>
        <v>0</v>
      </c>
      <c r="V171" s="24">
        <f>IF(Inputs!$C$91="GmbH",MAX(Inputs!$C$125,Inputs!$C$124-Inputs!$C$126*MAX(0,Timing!V59-Inputs!$C$127)),0)</f>
        <v>0</v>
      </c>
      <c r="W171" s="24">
        <f>IF(Inputs!$C$91="GmbH",MAX(Inputs!$C$125,Inputs!$C$124-Inputs!$C$126*MAX(0,Timing!W59-Inputs!$C$127)),0)</f>
        <v>0</v>
      </c>
      <c r="X171" s="24">
        <f>IF(Inputs!$C$91="GmbH",MAX(Inputs!$C$125,Inputs!$C$124-Inputs!$C$126*MAX(0,Timing!X59-Inputs!$C$127)),0)</f>
        <v>0</v>
      </c>
      <c r="Y171" s="24">
        <f>IF(Inputs!$C$91="GmbH",MAX(Inputs!$C$125,Inputs!$C$124-Inputs!$C$126*MAX(0,Timing!Y59-Inputs!$C$127)),0)</f>
        <v>0</v>
      </c>
      <c r="Z171" s="24">
        <f>IF(Inputs!$C$91="GmbH",MAX(Inputs!$C$125,Inputs!$C$124-Inputs!$C$126*MAX(0,Timing!Z59-Inputs!$C$127)),0)</f>
        <v>0</v>
      </c>
      <c r="AA171" s="24">
        <f>IF(Inputs!$C$91="GmbH",MAX(Inputs!$C$125,Inputs!$C$124-Inputs!$C$126*MAX(0,Timing!AA59-Inputs!$C$127)),0)</f>
        <v>0</v>
      </c>
      <c r="AB171" s="24">
        <f>IF(Inputs!$C$91="GmbH",MAX(Inputs!$C$125,Inputs!$C$124-Inputs!$C$126*MAX(0,Timing!AB59-Inputs!$C$127)),0)</f>
        <v>0</v>
      </c>
      <c r="AC171" s="24">
        <f>IF(Inputs!$C$91="GmbH",MAX(Inputs!$C$125,Inputs!$C$124-Inputs!$C$126*MAX(0,Timing!AC59-Inputs!$C$127)),0)</f>
        <v>0</v>
      </c>
      <c r="AD171" s="24">
        <f>IF(Inputs!$C$91="GmbH",MAX(Inputs!$C$125,Inputs!$C$124-Inputs!$C$126*MAX(0,Timing!AD59-Inputs!$C$127)),0)</f>
        <v>0</v>
      </c>
      <c r="AE171" s="24">
        <f>IF(Inputs!$C$91="GmbH",MAX(Inputs!$C$125,Inputs!$C$124-Inputs!$C$126*MAX(0,Timing!AE59-Inputs!$C$127)),0)</f>
        <v>0</v>
      </c>
    </row>
    <row r="172">
      <c r="A172" s="6" t="inlineStr">
        <is>
          <t xml:space="preserve">Corporate tax</t>
        </is>
      </c>
      <c r="B172" s="10" t="inlineStr">
        <is>
          <t xml:space="preserve">€</t>
        </is>
      </c>
      <c r="F172" s="23">
        <f>F170*F171</f>
        <v>0</v>
      </c>
      <c r="G172" s="23">
        <f>G170*G171</f>
        <v>0</v>
      </c>
      <c r="H172" s="23">
        <f>H170*H171</f>
        <v>0</v>
      </c>
      <c r="I172" s="23">
        <f>I170*I171</f>
        <v>0</v>
      </c>
      <c r="J172" s="23">
        <f>J170*J171</f>
        <v>0</v>
      </c>
      <c r="K172" s="23">
        <f>K170*K171</f>
        <v>0</v>
      </c>
      <c r="L172" s="23">
        <f>L170*L171</f>
        <v>0</v>
      </c>
      <c r="M172" s="23">
        <f>M170*M171</f>
        <v>0</v>
      </c>
      <c r="N172" s="23">
        <f>N170*N171</f>
        <v>0</v>
      </c>
      <c r="O172" s="23">
        <f>O170*O171</f>
        <v>0</v>
      </c>
      <c r="P172" s="23">
        <f>P170*P171</f>
        <v>0</v>
      </c>
      <c r="Q172" s="23">
        <f>Q170*Q171</f>
        <v>0</v>
      </c>
      <c r="R172" s="23">
        <f>R170*R171</f>
        <v>0</v>
      </c>
      <c r="S172" s="23">
        <f>S170*S171</f>
        <v>0</v>
      </c>
      <c r="T172" s="23">
        <f>T170*T171</f>
        <v>0</v>
      </c>
      <c r="U172" s="23">
        <f>U170*U171</f>
        <v>0</v>
      </c>
      <c r="V172" s="23">
        <f>V170*V171</f>
        <v>0</v>
      </c>
      <c r="W172" s="23">
        <f>W170*W171</f>
        <v>0</v>
      </c>
      <c r="X172" s="23">
        <f>X170*X171</f>
        <v>0</v>
      </c>
      <c r="Y172" s="23">
        <f>Y170*Y171</f>
        <v>0</v>
      </c>
      <c r="Z172" s="23">
        <f>Z170*Z171</f>
        <v>0</v>
      </c>
      <c r="AA172" s="23">
        <f>AA170*AA171</f>
        <v>0</v>
      </c>
      <c r="AB172" s="23">
        <f>AB170*AB171</f>
        <v>0</v>
      </c>
      <c r="AC172" s="23">
        <f>AC170*AC171</f>
        <v>0</v>
      </c>
      <c r="AD172" s="23">
        <f>AD170*AD171</f>
        <v>0</v>
      </c>
      <c r="AE172" s="23">
        <f>AE170*AE171</f>
        <v>0</v>
      </c>
    </row>
    <row r="173">
      <c r="A173" s="6" t="inlineStr">
        <is>
          <t xml:space="preserve">Solidarity surcharge</t>
        </is>
      </c>
      <c r="B173" s="10" t="inlineStr">
        <is>
          <t xml:space="preserve">€</t>
        </is>
      </c>
      <c r="F173" s="23">
        <f>F172*Inputs!$C$128</f>
        <v>0</v>
      </c>
      <c r="G173" s="23">
        <f>G172*Inputs!$C$128</f>
        <v>0</v>
      </c>
      <c r="H173" s="23">
        <f>H172*Inputs!$C$128</f>
        <v>0</v>
      </c>
      <c r="I173" s="23">
        <f>I172*Inputs!$C$128</f>
        <v>0</v>
      </c>
      <c r="J173" s="23">
        <f>J172*Inputs!$C$128</f>
        <v>0</v>
      </c>
      <c r="K173" s="23">
        <f>K172*Inputs!$C$128</f>
        <v>0</v>
      </c>
      <c r="L173" s="23">
        <f>L172*Inputs!$C$128</f>
        <v>0</v>
      </c>
      <c r="M173" s="23">
        <f>M172*Inputs!$C$128</f>
        <v>0</v>
      </c>
      <c r="N173" s="23">
        <f>N172*Inputs!$C$128</f>
        <v>0</v>
      </c>
      <c r="O173" s="23">
        <f>O172*Inputs!$C$128</f>
        <v>0</v>
      </c>
      <c r="P173" s="23">
        <f>P172*Inputs!$C$128</f>
        <v>0</v>
      </c>
      <c r="Q173" s="23">
        <f>Q172*Inputs!$C$128</f>
        <v>0</v>
      </c>
      <c r="R173" s="23">
        <f>R172*Inputs!$C$128</f>
        <v>0</v>
      </c>
      <c r="S173" s="23">
        <f>S172*Inputs!$C$128</f>
        <v>0</v>
      </c>
      <c r="T173" s="23">
        <f>T172*Inputs!$C$128</f>
        <v>0</v>
      </c>
      <c r="U173" s="23">
        <f>U172*Inputs!$C$128</f>
        <v>0</v>
      </c>
      <c r="V173" s="23">
        <f>V172*Inputs!$C$128</f>
        <v>0</v>
      </c>
      <c r="W173" s="23">
        <f>W172*Inputs!$C$128</f>
        <v>0</v>
      </c>
      <c r="X173" s="23">
        <f>X172*Inputs!$C$128</f>
        <v>0</v>
      </c>
      <c r="Y173" s="23">
        <f>Y172*Inputs!$C$128</f>
        <v>0</v>
      </c>
      <c r="Z173" s="23">
        <f>Z172*Inputs!$C$128</f>
        <v>0</v>
      </c>
      <c r="AA173" s="23">
        <f>AA172*Inputs!$C$128</f>
        <v>0</v>
      </c>
      <c r="AB173" s="23">
        <f>AB172*Inputs!$C$128</f>
        <v>0</v>
      </c>
      <c r="AC173" s="23">
        <f>AC172*Inputs!$C$128</f>
        <v>0</v>
      </c>
      <c r="AD173" s="23">
        <f>AD172*Inputs!$C$128</f>
        <v>0</v>
      </c>
      <c r="AE173" s="23">
        <f>AE172*Inputs!$C$128</f>
        <v>0</v>
      </c>
    </row>
    <row r="174">
      <c r="A174" s="41" t="inlineStr">
        <is>
          <t xml:space="preserve">Taxes</t>
        </is>
      </c>
      <c r="B174" s="10" t="inlineStr">
        <is>
          <t xml:space="preserve">€</t>
        </is>
      </c>
      <c r="F174" s="42">
        <f>F165+F172+F173</f>
        <v>48286.00000000001</v>
      </c>
      <c r="G174" s="42">
        <f>G165+G172+G173</f>
        <v>0</v>
      </c>
      <c r="H174" s="42">
        <f>H165+H172+H173</f>
        <v>0</v>
      </c>
      <c r="I174" s="42">
        <f>I165+I172+I173</f>
        <v>0</v>
      </c>
      <c r="J174" s="42">
        <f>J165+J172+J173</f>
        <v>0</v>
      </c>
      <c r="K174" s="42">
        <f>K165+K172+K173</f>
        <v>0</v>
      </c>
      <c r="L174" s="42">
        <f>L165+L172+L173</f>
        <v>0</v>
      </c>
      <c r="M174" s="42">
        <f>M165+M172+M173</f>
        <v>0</v>
      </c>
      <c r="N174" s="42">
        <f>N165+N172+N173</f>
        <v>0</v>
      </c>
      <c r="O174" s="42">
        <f>O165+O172+O173</f>
        <v>0</v>
      </c>
      <c r="P174" s="42">
        <f>P165+P172+P173</f>
        <v>0</v>
      </c>
      <c r="Q174" s="42">
        <f>Q165+Q172+Q173</f>
        <v>0</v>
      </c>
      <c r="R174" s="42">
        <f>R165+R172+R173</f>
        <v>0</v>
      </c>
      <c r="S174" s="42">
        <f>S165+S172+S173</f>
        <v>0</v>
      </c>
      <c r="T174" s="42">
        <f>T165+T172+T173</f>
        <v>20776.000000000004</v>
      </c>
      <c r="U174" s="42">
        <f>U165+U172+U173</f>
        <v>50078.00000000001</v>
      </c>
      <c r="V174" s="42">
        <f>V165+V172+V173</f>
        <v>308700.00000000006</v>
      </c>
      <c r="W174" s="42">
        <f>W165+W172+W173</f>
        <v>567406</v>
      </c>
      <c r="X174" s="42">
        <f>X165+X172+X173</f>
        <v>576100</v>
      </c>
      <c r="Y174" s="42">
        <f>Y165+Y172+Y173</f>
        <v>584766</v>
      </c>
      <c r="Z174" s="42">
        <f>Z165+Z172+Z173</f>
        <v>582050</v>
      </c>
      <c r="AA174" s="42">
        <f>AA165+AA172+AA173</f>
        <v>590450</v>
      </c>
      <c r="AB174" s="42">
        <f>AB165+AB172+AB173</f>
        <v>598696</v>
      </c>
      <c r="AC174" s="42">
        <f>AC165+AC172+AC173</f>
        <v>606858</v>
      </c>
      <c r="AD174" s="42">
        <f>AD165+AD172+AD173</f>
        <v>605262</v>
      </c>
      <c r="AE174" s="42">
        <f>AE165+AE172+AE173</f>
        <v>310310.00000000006</v>
      </c>
    </row>
    <row r="175">
      <c r="A175" s="41" t="inlineStr">
        <is>
          <t xml:space="preserve">CFADS: EBITDA − change in working capital − taxes</t>
        </is>
      </c>
      <c r="B175" s="10" t="inlineStr">
        <is>
          <t xml:space="preserve">€</t>
        </is>
      </c>
      <c r="F175" s="42">
        <f>Operations!F51-Operations!F59-F174</f>
        <v>2115601.0907577514</v>
      </c>
      <c r="G175" s="42">
        <f>Operations!G51-Operations!G59-G174</f>
        <v>3464069.080725549</v>
      </c>
      <c r="H175" s="42">
        <f>Operations!H51-Operations!H59-H174</f>
        <v>3300906.9518894465</v>
      </c>
      <c r="I175" s="42">
        <f>Operations!I51-Operations!I59-I174</f>
        <v>3347863.5229065535</v>
      </c>
      <c r="J175" s="42">
        <f>Operations!J51-Operations!J59-J174</f>
        <v>3410544.819693078</v>
      </c>
      <c r="K175" s="42">
        <f>Operations!K51-Operations!K59-K174</f>
        <v>3470799.01188069</v>
      </c>
      <c r="L175" s="42">
        <f>Operations!L51-Operations!L59-L174</f>
        <v>3535622.769621907</v>
      </c>
      <c r="M175" s="42">
        <f>Operations!M51-Operations!M59-M174</f>
        <v>3600382.5482792966</v>
      </c>
      <c r="N175" s="42">
        <f>Operations!N51-Operations!N59-N174</f>
        <v>3667509.273020859</v>
      </c>
      <c r="O175" s="42">
        <f>Operations!O51-Operations!O59-O174</f>
        <v>3732026.7182391305</v>
      </c>
      <c r="P175" s="42">
        <f>Operations!P51-Operations!P59-P174</f>
        <v>3677398.7621056084</v>
      </c>
      <c r="Q175" s="42">
        <f>Operations!Q51-Operations!Q59-Q174</f>
        <v>3744267.01469316</v>
      </c>
      <c r="R175" s="42">
        <f>Operations!R51-Operations!R59-R174</f>
        <v>3813624.0227384614</v>
      </c>
      <c r="S175" s="42">
        <f>Operations!S51-Operations!S59-S174</f>
        <v>3880125.2634664923</v>
      </c>
      <c r="T175" s="42">
        <f>Operations!T51-Operations!T59-T174</f>
        <v>3931061.0556790656</v>
      </c>
      <c r="U175" s="42">
        <f>Operations!U51-Operations!U59-U174</f>
        <v>3973337.5513002505</v>
      </c>
      <c r="V175" s="42">
        <f>Operations!V51-Operations!V59-V174</f>
        <v>3788962.5200951137</v>
      </c>
      <c r="W175" s="42">
        <f>Operations!W51-Operations!W59-W174</f>
        <v>3601432.940676834</v>
      </c>
      <c r="X175" s="42">
        <f>Operations!X51-Operations!X59-X174</f>
        <v>3669506.3335927054</v>
      </c>
      <c r="Y175" s="42">
        <f>Operations!Y51-Operations!Y59-Y174</f>
        <v>3737460.398716625</v>
      </c>
      <c r="Z175" s="42">
        <f>Operations!Z51-Operations!Z59-Z174</f>
        <v>3739009.518532468</v>
      </c>
      <c r="AA175" s="42">
        <f>Operations!AA51-Operations!AA59-AA174</f>
        <v>3805176.2298814496</v>
      </c>
      <c r="AB175" s="42">
        <f>Operations!AB51-Operations!AB59-AB174</f>
        <v>3877463.806433188</v>
      </c>
      <c r="AC175" s="42">
        <f>Operations!AC51-Operations!AC59-AC174</f>
        <v>3949639.7339421194</v>
      </c>
      <c r="AD175" s="42">
        <f>Operations!AD51-Operations!AD59-AD174</f>
        <v>4034607.7336467346</v>
      </c>
      <c r="AE175" s="42">
        <f>Operations!AE51-Operations!AE59-AE174</f>
        <v>2642406.1287304964</v>
      </c>
    </row>
    <row r="177">
      <c r="A177" s="5" t="inlineStr">
        <is>
          <t xml:space="preserve">P90 1-yr without debt</t>
        </is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>
      <c r="A178" s="6" t="inlineStr">
        <is>
          <t xml:space="preserve">Depreciable base: capex</t>
        </is>
      </c>
      <c r="B178" s="10" t="inlineStr">
        <is>
          <t xml:space="preserve">€</t>
        </is>
      </c>
      <c r="C178" s="45">
        <f>Construction!$C$44</f>
        <v>57135645</v>
      </c>
    </row>
    <row r="179">
      <c r="A179" s="6" t="inlineStr">
        <is>
          <t xml:space="preserve">Book value at the start of the year</t>
        </is>
      </c>
      <c r="B179" s="10" t="inlineStr">
        <is>
          <t xml:space="preserve">€</t>
        </is>
      </c>
      <c r="F179" s="23">
        <f>E186</f>
        <v>57135645</v>
      </c>
      <c r="G179" s="23">
        <f>F186</f>
        <v>55350156.09375</v>
      </c>
      <c r="H179" s="23">
        <f>G186</f>
        <v>51779178.28125</v>
      </c>
      <c r="I179" s="23">
        <f>H186</f>
        <v>48208200.46875</v>
      </c>
      <c r="J179" s="23">
        <f>I186</f>
        <v>44637222.65625</v>
      </c>
      <c r="K179" s="23">
        <f>J186</f>
        <v>41066244.84375</v>
      </c>
      <c r="L179" s="23">
        <f>K186</f>
        <v>37495267.03125</v>
      </c>
      <c r="M179" s="23">
        <f>L186</f>
        <v>33924289.21875</v>
      </c>
      <c r="N179" s="23">
        <f>M186</f>
        <v>30353311.40625</v>
      </c>
      <c r="O179" s="23">
        <f>N186</f>
        <v>26782333.59375</v>
      </c>
      <c r="P179" s="23">
        <f>O186</f>
        <v>23211355.78125</v>
      </c>
      <c r="Q179" s="23">
        <f>P186</f>
        <v>19640377.96875</v>
      </c>
      <c r="R179" s="23">
        <f>Q186</f>
        <v>16069400.15625</v>
      </c>
      <c r="S179" s="23">
        <f>R186</f>
        <v>12498422.34375</v>
      </c>
      <c r="T179" s="23">
        <f>S186</f>
        <v>8927444.53125</v>
      </c>
      <c r="U179" s="23">
        <f>T186</f>
        <v>5356466.71875</v>
      </c>
      <c r="V179" s="23">
        <f>U186</f>
        <v>1785488.90625</v>
      </c>
      <c r="W179" s="23">
        <f>V186</f>
        <v>0</v>
      </c>
      <c r="X179" s="23">
        <f>W186</f>
        <v>0</v>
      </c>
      <c r="Y179" s="23">
        <f>X186</f>
        <v>0</v>
      </c>
      <c r="Z179" s="23">
        <f>Y186</f>
        <v>0</v>
      </c>
      <c r="AA179" s="23">
        <f>Z186</f>
        <v>0</v>
      </c>
      <c r="AB179" s="23">
        <f>AA186</f>
        <v>0</v>
      </c>
      <c r="AC179" s="23">
        <f>AB186</f>
        <v>0</v>
      </c>
      <c r="AD179" s="23">
        <f>AC186</f>
        <v>0</v>
      </c>
      <c r="AE179" s="23">
        <f>AD186</f>
        <v>0</v>
      </c>
    </row>
    <row r="180">
      <c r="A180" s="6" t="inlineStr">
        <is>
          <t xml:space="preserve">Months depreciated before the year</t>
        </is>
      </c>
      <c r="E180" s="9">
        <v>0</v>
      </c>
      <c r="F180" s="23">
        <f>E187</f>
        <v>0</v>
      </c>
      <c r="G180" s="23">
        <f>F187</f>
        <v>6</v>
      </c>
      <c r="H180" s="23">
        <f>G187</f>
        <v>18</v>
      </c>
      <c r="I180" s="23">
        <f>H187</f>
        <v>30</v>
      </c>
      <c r="J180" s="23">
        <f>I187</f>
        <v>42</v>
      </c>
      <c r="K180" s="23">
        <f>J187</f>
        <v>54</v>
      </c>
      <c r="L180" s="23">
        <f>K187</f>
        <v>66</v>
      </c>
      <c r="M180" s="23">
        <f>L187</f>
        <v>78</v>
      </c>
      <c r="N180" s="23">
        <f>M187</f>
        <v>90</v>
      </c>
      <c r="O180" s="23">
        <f>N187</f>
        <v>102</v>
      </c>
      <c r="P180" s="23">
        <f>O187</f>
        <v>114</v>
      </c>
      <c r="Q180" s="23">
        <f>P187</f>
        <v>126</v>
      </c>
      <c r="R180" s="23">
        <f>Q187</f>
        <v>138</v>
      </c>
      <c r="S180" s="23">
        <f>R187</f>
        <v>150</v>
      </c>
      <c r="T180" s="23">
        <f>S187</f>
        <v>162</v>
      </c>
      <c r="U180" s="23">
        <f>T187</f>
        <v>174</v>
      </c>
      <c r="V180" s="23">
        <f>U187</f>
        <v>186</v>
      </c>
      <c r="W180" s="23">
        <f>V187</f>
        <v>198</v>
      </c>
      <c r="X180" s="23">
        <f>W187</f>
        <v>198</v>
      </c>
      <c r="Y180" s="23">
        <f>X187</f>
        <v>198</v>
      </c>
      <c r="Z180" s="23">
        <f>Y187</f>
        <v>198</v>
      </c>
      <c r="AA180" s="23">
        <f>Z187</f>
        <v>198</v>
      </c>
      <c r="AB180" s="23">
        <f>AA187</f>
        <v>198</v>
      </c>
      <c r="AC180" s="23">
        <f>AB187</f>
        <v>198</v>
      </c>
      <c r="AD180" s="23">
        <f>AC187</f>
        <v>198</v>
      </c>
      <c r="AE180" s="23">
        <f>AD187</f>
        <v>198</v>
      </c>
    </row>
    <row r="181">
      <c r="A181" s="6" t="inlineStr">
        <is>
          <t xml:space="preserve">Remaining useful life</t>
        </is>
      </c>
      <c r="B181" s="10" t="inlineStr">
        <is>
          <t xml:space="preserve">years</t>
        </is>
      </c>
      <c r="F181" s="21">
        <f>Inputs!$C$93-F180/12</f>
        <v>16</v>
      </c>
      <c r="G181" s="21">
        <f>Inputs!$C$93-G180/12</f>
        <v>15.5</v>
      </c>
      <c r="H181" s="21">
        <f>Inputs!$C$93-H180/12</f>
        <v>14.5</v>
      </c>
      <c r="I181" s="21">
        <f>Inputs!$C$93-I180/12</f>
        <v>13.5</v>
      </c>
      <c r="J181" s="21">
        <f>Inputs!$C$93-J180/12</f>
        <v>12.5</v>
      </c>
      <c r="K181" s="21">
        <f>Inputs!$C$93-K180/12</f>
        <v>11.5</v>
      </c>
      <c r="L181" s="21">
        <f>Inputs!$C$93-L180/12</f>
        <v>10.5</v>
      </c>
      <c r="M181" s="21">
        <f>Inputs!$C$93-M180/12</f>
        <v>9.5</v>
      </c>
      <c r="N181" s="21">
        <f>Inputs!$C$93-N180/12</f>
        <v>8.5</v>
      </c>
      <c r="O181" s="21">
        <f>Inputs!$C$93-O180/12</f>
        <v>7.5</v>
      </c>
      <c r="P181" s="21">
        <f>Inputs!$C$93-P180/12</f>
        <v>6.5</v>
      </c>
      <c r="Q181" s="21">
        <f>Inputs!$C$93-Q180/12</f>
        <v>5.5</v>
      </c>
      <c r="R181" s="21">
        <f>Inputs!$C$93-R180/12</f>
        <v>4.5</v>
      </c>
      <c r="S181" s="21">
        <f>Inputs!$C$93-S180/12</f>
        <v>3.5</v>
      </c>
      <c r="T181" s="21">
        <f>Inputs!$C$93-T180/12</f>
        <v>2.5</v>
      </c>
      <c r="U181" s="21">
        <f>Inputs!$C$93-U180/12</f>
        <v>1.5</v>
      </c>
      <c r="V181" s="21">
        <f>Inputs!$C$93-V180/12</f>
        <v>0.5</v>
      </c>
      <c r="W181" s="21">
        <f>Inputs!$C$93-W180/12</f>
        <v>-0.5</v>
      </c>
      <c r="X181" s="21">
        <f>Inputs!$C$93-X180/12</f>
        <v>-0.5</v>
      </c>
      <c r="Y181" s="21">
        <f>Inputs!$C$93-Y180/12</f>
        <v>-0.5</v>
      </c>
      <c r="Z181" s="21">
        <f>Inputs!$C$93-Z180/12</f>
        <v>-0.5</v>
      </c>
      <c r="AA181" s="21">
        <f>Inputs!$C$93-AA180/12</f>
        <v>-0.5</v>
      </c>
      <c r="AB181" s="21">
        <f>Inputs!$C$93-AB180/12</f>
        <v>-0.5</v>
      </c>
      <c r="AC181" s="21">
        <f>Inputs!$C$93-AC180/12</f>
        <v>-0.5</v>
      </c>
      <c r="AD181" s="21">
        <f>Inputs!$C$93-AD180/12</f>
        <v>-0.5</v>
      </c>
      <c r="AE181" s="21">
        <f>Inputs!$C$93-AE180/12</f>
        <v>-0.5</v>
      </c>
    </row>
    <row r="182">
      <c r="A182" s="6" t="inlineStr">
        <is>
          <t xml:space="preserve">Straight-line amount</t>
        </is>
      </c>
      <c r="B182" s="10" t="inlineStr">
        <is>
          <t xml:space="preserve">€</t>
        </is>
      </c>
      <c r="F182" s="23">
        <f>IF(F181&gt;0,F179/F181*Timing!F87/12,F179)</f>
        <v>1785488.90625</v>
      </c>
      <c r="G182" s="23">
        <f>IF(G181&gt;0,G179/G181*Timing!G87/12,G179)</f>
        <v>3570977.8125</v>
      </c>
      <c r="H182" s="23">
        <f>IF(H181&gt;0,H179/H181*Timing!H87/12,H179)</f>
        <v>3570977.8125</v>
      </c>
      <c r="I182" s="23">
        <f>IF(I181&gt;0,I179/I181*Timing!I87/12,I179)</f>
        <v>3570977.8125</v>
      </c>
      <c r="J182" s="23">
        <f>IF(J181&gt;0,J179/J181*Timing!J87/12,J179)</f>
        <v>3570977.8125</v>
      </c>
      <c r="K182" s="23">
        <f>IF(K181&gt;0,K179/K181*Timing!K87/12,K179)</f>
        <v>3570977.8125</v>
      </c>
      <c r="L182" s="23">
        <f>IF(L181&gt;0,L179/L181*Timing!L87/12,L179)</f>
        <v>3570977.8125</v>
      </c>
      <c r="M182" s="23">
        <f>IF(M181&gt;0,M179/M181*Timing!M87/12,M179)</f>
        <v>3570977.8125</v>
      </c>
      <c r="N182" s="23">
        <f>IF(N181&gt;0,N179/N181*Timing!N87/12,N179)</f>
        <v>3570977.8125</v>
      </c>
      <c r="O182" s="23">
        <f>IF(O181&gt;0,O179/O181*Timing!O87/12,O179)</f>
        <v>3570977.8125</v>
      </c>
      <c r="P182" s="23">
        <f>IF(P181&gt;0,P179/P181*Timing!P87/12,P179)</f>
        <v>3570977.8125</v>
      </c>
      <c r="Q182" s="23">
        <f>IF(Q181&gt;0,Q179/Q181*Timing!Q87/12,Q179)</f>
        <v>3570977.8125</v>
      </c>
      <c r="R182" s="23">
        <f>IF(R181&gt;0,R179/R181*Timing!R87/12,R179)</f>
        <v>3570977.8125</v>
      </c>
      <c r="S182" s="23">
        <f>IF(S181&gt;0,S179/S181*Timing!S87/12,S179)</f>
        <v>3570977.8125</v>
      </c>
      <c r="T182" s="23">
        <f>IF(T181&gt;0,T179/T181*Timing!T87/12,T179)</f>
        <v>3570977.8125</v>
      </c>
      <c r="U182" s="23">
        <f>IF(U181&gt;0,U179/U181*Timing!U87/12,U179)</f>
        <v>3570977.8125</v>
      </c>
      <c r="V182" s="23">
        <f>IF(V181&gt;0,V179/V181*Timing!V87/12,V179)</f>
        <v>3570977.8125</v>
      </c>
      <c r="W182" s="23">
        <f>IF(W181&gt;0,W179/W181*Timing!W87/12,W179)</f>
        <v>0</v>
      </c>
      <c r="X182" s="23">
        <f>IF(X181&gt;0,X179/X181*Timing!X87/12,X179)</f>
        <v>0</v>
      </c>
      <c r="Y182" s="23">
        <f>IF(Y181&gt;0,Y179/Y181*Timing!Y87/12,Y179)</f>
        <v>0</v>
      </c>
      <c r="Z182" s="23">
        <f>IF(Z181&gt;0,Z179/Z181*Timing!Z87/12,Z179)</f>
        <v>0</v>
      </c>
      <c r="AA182" s="23">
        <f>IF(AA181&gt;0,AA179/AA181*Timing!AA87/12,AA179)</f>
        <v>0</v>
      </c>
      <c r="AB182" s="23">
        <f>IF(AB181&gt;0,AB179/AB181*Timing!AB87/12,AB179)</f>
        <v>0</v>
      </c>
      <c r="AC182" s="23">
        <f>IF(AC181&gt;0,AC179/AC181*Timing!AC87/12,AC179)</f>
        <v>0</v>
      </c>
      <c r="AD182" s="23">
        <f>IF(AD181&gt;0,AD179/AD181*Timing!AD87/12,AD179)</f>
        <v>0</v>
      </c>
      <c r="AE182" s="23">
        <f>IF(AE181&gt;0,AE179/AE181*Timing!AE87/12,AE179)</f>
        <v>0</v>
      </c>
    </row>
    <row r="183">
      <c r="A183" s="6" t="inlineStr">
        <is>
          <t xml:space="preserve">Declining-balance amount</t>
        </is>
      </c>
      <c r="B183" s="10" t="inlineStr">
        <is>
          <t xml:space="preserve">€</t>
        </is>
      </c>
      <c r="F183" s="23">
        <f>F179*Timing!$C$36*Timing!F87/12</f>
        <v>5356466.71875</v>
      </c>
      <c r="G183" s="23">
        <f>G179*Timing!$C$36*Timing!G87/12</f>
        <v>10378154.267578125</v>
      </c>
      <c r="H183" s="23">
        <f>H179*Timing!$C$36*Timing!H87/12</f>
        <v>9708595.927734375</v>
      </c>
      <c r="I183" s="23">
        <f>I179*Timing!$C$36*Timing!I87/12</f>
        <v>9039037.587890625</v>
      </c>
      <c r="J183" s="23">
        <f>J179*Timing!$C$36*Timing!J87/12</f>
        <v>8369479.248046875</v>
      </c>
      <c r="K183" s="23">
        <f>K179*Timing!$C$36*Timing!K87/12</f>
        <v>7699920.908203125</v>
      </c>
      <c r="L183" s="23">
        <f>L179*Timing!$C$36*Timing!L87/12</f>
        <v>7030362.568359375</v>
      </c>
      <c r="M183" s="23">
        <f>M179*Timing!$C$36*Timing!M87/12</f>
        <v>6360804.228515625</v>
      </c>
      <c r="N183" s="23">
        <f>N179*Timing!$C$36*Timing!N87/12</f>
        <v>5691245.888671875</v>
      </c>
      <c r="O183" s="23">
        <f>O179*Timing!$C$36*Timing!O87/12</f>
        <v>5021687.548828125</v>
      </c>
      <c r="P183" s="23">
        <f>P179*Timing!$C$36*Timing!P87/12</f>
        <v>4352129.208984375</v>
      </c>
      <c r="Q183" s="23">
        <f>Q179*Timing!$C$36*Timing!Q87/12</f>
        <v>3682570.869140625</v>
      </c>
      <c r="R183" s="23">
        <f>R179*Timing!$C$36*Timing!R87/12</f>
        <v>3013012.529296875</v>
      </c>
      <c r="S183" s="23">
        <f>S179*Timing!$C$36*Timing!S87/12</f>
        <v>2343454.189453125</v>
      </c>
      <c r="T183" s="23">
        <f>T179*Timing!$C$36*Timing!T87/12</f>
        <v>1673895.849609375</v>
      </c>
      <c r="U183" s="23">
        <f>U179*Timing!$C$36*Timing!U87/12</f>
        <v>1004337.509765625</v>
      </c>
      <c r="V183" s="23">
        <f>V179*Timing!$C$36*Timing!V87/12</f>
        <v>334779.169921875</v>
      </c>
      <c r="W183" s="23">
        <f>W179*Timing!$C$36*Timing!W87/12</f>
        <v>0</v>
      </c>
      <c r="X183" s="23">
        <f>X179*Timing!$C$36*Timing!X87/12</f>
        <v>0</v>
      </c>
      <c r="Y183" s="23">
        <f>Y179*Timing!$C$36*Timing!Y87/12</f>
        <v>0</v>
      </c>
      <c r="Z183" s="23">
        <f>Z179*Timing!$C$36*Timing!Z87/12</f>
        <v>0</v>
      </c>
      <c r="AA183" s="23">
        <f>AA179*Timing!$C$36*Timing!AA87/12</f>
        <v>0</v>
      </c>
      <c r="AB183" s="23">
        <f>AB179*Timing!$C$36*Timing!AB87/12</f>
        <v>0</v>
      </c>
      <c r="AC183" s="23">
        <f>AC179*Timing!$C$36*Timing!AC87/12</f>
        <v>0</v>
      </c>
      <c r="AD183" s="23">
        <f>AD179*Timing!$C$36*Timing!AD87/12</f>
        <v>0</v>
      </c>
      <c r="AE183" s="23">
        <f>AE179*Timing!$C$36*Timing!AE87/12</f>
        <v>0</v>
      </c>
    </row>
    <row r="184">
      <c r="A184" s="6" t="inlineStr">
        <is>
          <t xml:space="preserve">Straight-line from this year (1 = yes)</t>
        </is>
      </c>
      <c r="E184" s="9">
        <v>0</v>
      </c>
      <c r="F184" s="23">
        <f>IF(OR(Timing!$C$35=0,E184=1,F182&gt;=F183),1,0)</f>
        <v>1</v>
      </c>
      <c r="G184" s="23">
        <f>IF(OR(Timing!$C$35=0,F184=1,G182&gt;=G183),1,0)</f>
        <v>1</v>
      </c>
      <c r="H184" s="23">
        <f>IF(OR(Timing!$C$35=0,G184=1,H182&gt;=H183),1,0)</f>
        <v>1</v>
      </c>
      <c r="I184" s="23">
        <f>IF(OR(Timing!$C$35=0,H184=1,I182&gt;=I183),1,0)</f>
        <v>1</v>
      </c>
      <c r="J184" s="23">
        <f>IF(OR(Timing!$C$35=0,I184=1,J182&gt;=J183),1,0)</f>
        <v>1</v>
      </c>
      <c r="K184" s="23">
        <f>IF(OR(Timing!$C$35=0,J184=1,K182&gt;=K183),1,0)</f>
        <v>1</v>
      </c>
      <c r="L184" s="23">
        <f>IF(OR(Timing!$C$35=0,K184=1,L182&gt;=L183),1,0)</f>
        <v>1</v>
      </c>
      <c r="M184" s="23">
        <f>IF(OR(Timing!$C$35=0,L184=1,M182&gt;=M183),1,0)</f>
        <v>1</v>
      </c>
      <c r="N184" s="23">
        <f>IF(OR(Timing!$C$35=0,M184=1,N182&gt;=N183),1,0)</f>
        <v>1</v>
      </c>
      <c r="O184" s="23">
        <f>IF(OR(Timing!$C$35=0,N184=1,O182&gt;=O183),1,0)</f>
        <v>1</v>
      </c>
      <c r="P184" s="23">
        <f>IF(OR(Timing!$C$35=0,O184=1,P182&gt;=P183),1,0)</f>
        <v>1</v>
      </c>
      <c r="Q184" s="23">
        <f>IF(OR(Timing!$C$35=0,P184=1,Q182&gt;=Q183),1,0)</f>
        <v>1</v>
      </c>
      <c r="R184" s="23">
        <f>IF(OR(Timing!$C$35=0,Q184=1,R182&gt;=R183),1,0)</f>
        <v>1</v>
      </c>
      <c r="S184" s="23">
        <f>IF(OR(Timing!$C$35=0,R184=1,S182&gt;=S183),1,0)</f>
        <v>1</v>
      </c>
      <c r="T184" s="23">
        <f>IF(OR(Timing!$C$35=0,S184=1,T182&gt;=T183),1,0)</f>
        <v>1</v>
      </c>
      <c r="U184" s="23">
        <f>IF(OR(Timing!$C$35=0,T184=1,U182&gt;=U183),1,0)</f>
        <v>1</v>
      </c>
      <c r="V184" s="23">
        <f>IF(OR(Timing!$C$35=0,U184=1,V182&gt;=V183),1,0)</f>
        <v>1</v>
      </c>
      <c r="W184" s="23">
        <f>IF(OR(Timing!$C$35=0,V184=1,W182&gt;=W183),1,0)</f>
        <v>1</v>
      </c>
      <c r="X184" s="23">
        <f>IF(OR(Timing!$C$35=0,W184=1,X182&gt;=X183),1,0)</f>
        <v>1</v>
      </c>
      <c r="Y184" s="23">
        <f>IF(OR(Timing!$C$35=0,X184=1,Y182&gt;=Y183),1,0)</f>
        <v>1</v>
      </c>
      <c r="Z184" s="23">
        <f>IF(OR(Timing!$C$35=0,Y184=1,Z182&gt;=Z183),1,0)</f>
        <v>1</v>
      </c>
      <c r="AA184" s="23">
        <f>IF(OR(Timing!$C$35=0,Z184=1,AA182&gt;=AA183),1,0)</f>
        <v>1</v>
      </c>
      <c r="AB184" s="23">
        <f>IF(OR(Timing!$C$35=0,AA184=1,AB182&gt;=AB183),1,0)</f>
        <v>1</v>
      </c>
      <c r="AC184" s="23">
        <f>IF(OR(Timing!$C$35=0,AB184=1,AC182&gt;=AC183),1,0)</f>
        <v>1</v>
      </c>
      <c r="AD184" s="23">
        <f>IF(OR(Timing!$C$35=0,AC184=1,AD182&gt;=AD183),1,0)</f>
        <v>1</v>
      </c>
      <c r="AE184" s="23">
        <f>IF(OR(Timing!$C$35=0,AD184=1,AE182&gt;=AE183),1,0)</f>
        <v>1</v>
      </c>
    </row>
    <row r="185">
      <c r="A185" s="6" t="inlineStr">
        <is>
          <t xml:space="preserve">Depreciation by schedule</t>
        </is>
      </c>
      <c r="B185" s="10" t="inlineStr">
        <is>
          <t xml:space="preserve">€</t>
        </is>
      </c>
      <c r="F185" s="23">
        <f>IF(F179&lt;=Inputs!$C$157,0,MIN(F179,IF(F184=1,F182,F183)))</f>
        <v>1785488.90625</v>
      </c>
      <c r="G185" s="23">
        <f>IF(G179&lt;=Inputs!$C$157,0,MIN(G179,IF(G184=1,G182,G183)))</f>
        <v>3570977.8125</v>
      </c>
      <c r="H185" s="23">
        <f>IF(H179&lt;=Inputs!$C$157,0,MIN(H179,IF(H184=1,H182,H183)))</f>
        <v>3570977.8125</v>
      </c>
      <c r="I185" s="23">
        <f>IF(I179&lt;=Inputs!$C$157,0,MIN(I179,IF(I184=1,I182,I183)))</f>
        <v>3570977.8125</v>
      </c>
      <c r="J185" s="23">
        <f>IF(J179&lt;=Inputs!$C$157,0,MIN(J179,IF(J184=1,J182,J183)))</f>
        <v>3570977.8125</v>
      </c>
      <c r="K185" s="23">
        <f>IF(K179&lt;=Inputs!$C$157,0,MIN(K179,IF(K184=1,K182,K183)))</f>
        <v>3570977.8125</v>
      </c>
      <c r="L185" s="23">
        <f>IF(L179&lt;=Inputs!$C$157,0,MIN(L179,IF(L184=1,L182,L183)))</f>
        <v>3570977.8125</v>
      </c>
      <c r="M185" s="23">
        <f>IF(M179&lt;=Inputs!$C$157,0,MIN(M179,IF(M184=1,M182,M183)))</f>
        <v>3570977.8125</v>
      </c>
      <c r="N185" s="23">
        <f>IF(N179&lt;=Inputs!$C$157,0,MIN(N179,IF(N184=1,N182,N183)))</f>
        <v>3570977.8125</v>
      </c>
      <c r="O185" s="23">
        <f>IF(O179&lt;=Inputs!$C$157,0,MIN(O179,IF(O184=1,O182,O183)))</f>
        <v>3570977.8125</v>
      </c>
      <c r="P185" s="23">
        <f>IF(P179&lt;=Inputs!$C$157,0,MIN(P179,IF(P184=1,P182,P183)))</f>
        <v>3570977.8125</v>
      </c>
      <c r="Q185" s="23">
        <f>IF(Q179&lt;=Inputs!$C$157,0,MIN(Q179,IF(Q184=1,Q182,Q183)))</f>
        <v>3570977.8125</v>
      </c>
      <c r="R185" s="23">
        <f>IF(R179&lt;=Inputs!$C$157,0,MIN(R179,IF(R184=1,R182,R183)))</f>
        <v>3570977.8125</v>
      </c>
      <c r="S185" s="23">
        <f>IF(S179&lt;=Inputs!$C$157,0,MIN(S179,IF(S184=1,S182,S183)))</f>
        <v>3570977.8125</v>
      </c>
      <c r="T185" s="23">
        <f>IF(T179&lt;=Inputs!$C$157,0,MIN(T179,IF(T184=1,T182,T183)))</f>
        <v>3570977.8125</v>
      </c>
      <c r="U185" s="23">
        <f>IF(U179&lt;=Inputs!$C$157,0,MIN(U179,IF(U184=1,U182,U183)))</f>
        <v>3570977.8125</v>
      </c>
      <c r="V185" s="23">
        <f>IF(V179&lt;=Inputs!$C$157,0,MIN(V179,IF(V184=1,V182,V183)))</f>
        <v>1785488.90625</v>
      </c>
      <c r="W185" s="23">
        <f>IF(W179&lt;=Inputs!$C$157,0,MIN(W179,IF(W184=1,W182,W183)))</f>
        <v>0</v>
      </c>
      <c r="X185" s="23">
        <f>IF(X179&lt;=Inputs!$C$157,0,MIN(X179,IF(X184=1,X182,X183)))</f>
        <v>0</v>
      </c>
      <c r="Y185" s="23">
        <f>IF(Y179&lt;=Inputs!$C$157,0,MIN(Y179,IF(Y184=1,Y182,Y183)))</f>
        <v>0</v>
      </c>
      <c r="Z185" s="23">
        <f>IF(Z179&lt;=Inputs!$C$157,0,MIN(Z179,IF(Z184=1,Z182,Z183)))</f>
        <v>0</v>
      </c>
      <c r="AA185" s="23">
        <f>IF(AA179&lt;=Inputs!$C$157,0,MIN(AA179,IF(AA184=1,AA182,AA183)))</f>
        <v>0</v>
      </c>
      <c r="AB185" s="23">
        <f>IF(AB179&lt;=Inputs!$C$157,0,MIN(AB179,IF(AB184=1,AB182,AB183)))</f>
        <v>0</v>
      </c>
      <c r="AC185" s="23">
        <f>IF(AC179&lt;=Inputs!$C$157,0,MIN(AC179,IF(AC184=1,AC182,AC183)))</f>
        <v>0</v>
      </c>
      <c r="AD185" s="23">
        <f>IF(AD179&lt;=Inputs!$C$157,0,MIN(AD179,IF(AD184=1,AD182,AD183)))</f>
        <v>0</v>
      </c>
      <c r="AE185" s="23">
        <f>IF(AE179&lt;=Inputs!$C$157,0,MIN(AE179,IF(AE184=1,AE182,AE183)))</f>
        <v>0</v>
      </c>
    </row>
    <row r="186">
      <c r="A186" s="6" t="inlineStr">
        <is>
          <t xml:space="preserve">Book value at the year end</t>
        </is>
      </c>
      <c r="B186" s="10" t="inlineStr">
        <is>
          <t xml:space="preserve">€</t>
        </is>
      </c>
      <c r="E186" s="23">
        <f>$C$178</f>
        <v>57135645</v>
      </c>
      <c r="F186" s="23">
        <f>F179-F185</f>
        <v>55350156.09375</v>
      </c>
      <c r="G186" s="23">
        <f>G179-G185</f>
        <v>51779178.28125</v>
      </c>
      <c r="H186" s="23">
        <f>H179-H185</f>
        <v>48208200.46875</v>
      </c>
      <c r="I186" s="23">
        <f>I179-I185</f>
        <v>44637222.65625</v>
      </c>
      <c r="J186" s="23">
        <f>J179-J185</f>
        <v>41066244.84375</v>
      </c>
      <c r="K186" s="23">
        <f>K179-K185</f>
        <v>37495267.03125</v>
      </c>
      <c r="L186" s="23">
        <f>L179-L185</f>
        <v>33924289.21875</v>
      </c>
      <c r="M186" s="23">
        <f>M179-M185</f>
        <v>30353311.40625</v>
      </c>
      <c r="N186" s="23">
        <f>N179-N185</f>
        <v>26782333.59375</v>
      </c>
      <c r="O186" s="23">
        <f>O179-O185</f>
        <v>23211355.78125</v>
      </c>
      <c r="P186" s="23">
        <f>P179-P185</f>
        <v>19640377.96875</v>
      </c>
      <c r="Q186" s="23">
        <f>Q179-Q185</f>
        <v>16069400.15625</v>
      </c>
      <c r="R186" s="23">
        <f>R179-R185</f>
        <v>12498422.34375</v>
      </c>
      <c r="S186" s="23">
        <f>S179-S185</f>
        <v>8927444.53125</v>
      </c>
      <c r="T186" s="23">
        <f>T179-T185</f>
        <v>5356466.71875</v>
      </c>
      <c r="U186" s="23">
        <f>U179-U185</f>
        <v>1785488.90625</v>
      </c>
      <c r="V186" s="23">
        <f>V179-V185</f>
        <v>0</v>
      </c>
      <c r="W186" s="23">
        <f>W179-W185</f>
        <v>0</v>
      </c>
      <c r="X186" s="23">
        <f>X179-X185</f>
        <v>0</v>
      </c>
      <c r="Y186" s="23">
        <f>Y179-Y185</f>
        <v>0</v>
      </c>
      <c r="Z186" s="23">
        <f>Z179-Z185</f>
        <v>0</v>
      </c>
      <c r="AA186" s="23">
        <f>AA179-AA185</f>
        <v>0</v>
      </c>
      <c r="AB186" s="23">
        <f>AB179-AB185</f>
        <v>0</v>
      </c>
      <c r="AC186" s="23">
        <f>AC179-AC185</f>
        <v>0</v>
      </c>
      <c r="AD186" s="23">
        <f>AD179-AD185</f>
        <v>0</v>
      </c>
      <c r="AE186" s="23">
        <f>AE179-AE185</f>
        <v>0</v>
      </c>
    </row>
    <row r="187">
      <c r="A187" s="6" t="inlineStr">
        <is>
          <t xml:space="preserve">Months depreciated</t>
        </is>
      </c>
      <c r="F187" s="23">
        <f>F180+IF(F179&gt;Inputs!$C$157,Timing!F87,0)</f>
        <v>6</v>
      </c>
      <c r="G187" s="23">
        <f>G180+IF(G179&gt;Inputs!$C$157,Timing!G87,0)</f>
        <v>18</v>
      </c>
      <c r="H187" s="23">
        <f>H180+IF(H179&gt;Inputs!$C$157,Timing!H87,0)</f>
        <v>30</v>
      </c>
      <c r="I187" s="23">
        <f>I180+IF(I179&gt;Inputs!$C$157,Timing!I87,0)</f>
        <v>42</v>
      </c>
      <c r="J187" s="23">
        <f>J180+IF(J179&gt;Inputs!$C$157,Timing!J87,0)</f>
        <v>54</v>
      </c>
      <c r="K187" s="23">
        <f>K180+IF(K179&gt;Inputs!$C$157,Timing!K87,0)</f>
        <v>66</v>
      </c>
      <c r="L187" s="23">
        <f>L180+IF(L179&gt;Inputs!$C$157,Timing!L87,0)</f>
        <v>78</v>
      </c>
      <c r="M187" s="23">
        <f>M180+IF(M179&gt;Inputs!$C$157,Timing!M87,0)</f>
        <v>90</v>
      </c>
      <c r="N187" s="23">
        <f>N180+IF(N179&gt;Inputs!$C$157,Timing!N87,0)</f>
        <v>102</v>
      </c>
      <c r="O187" s="23">
        <f>O180+IF(O179&gt;Inputs!$C$157,Timing!O87,0)</f>
        <v>114</v>
      </c>
      <c r="P187" s="23">
        <f>P180+IF(P179&gt;Inputs!$C$157,Timing!P87,0)</f>
        <v>126</v>
      </c>
      <c r="Q187" s="23">
        <f>Q180+IF(Q179&gt;Inputs!$C$157,Timing!Q87,0)</f>
        <v>138</v>
      </c>
      <c r="R187" s="23">
        <f>R180+IF(R179&gt;Inputs!$C$157,Timing!R87,0)</f>
        <v>150</v>
      </c>
      <c r="S187" s="23">
        <f>S180+IF(S179&gt;Inputs!$C$157,Timing!S87,0)</f>
        <v>162</v>
      </c>
      <c r="T187" s="23">
        <f>T180+IF(T179&gt;Inputs!$C$157,Timing!T87,0)</f>
        <v>174</v>
      </c>
      <c r="U187" s="23">
        <f>U180+IF(U179&gt;Inputs!$C$157,Timing!U87,0)</f>
        <v>186</v>
      </c>
      <c r="V187" s="23">
        <f>V180+IF(V179&gt;Inputs!$C$157,Timing!V87,0)</f>
        <v>198</v>
      </c>
      <c r="W187" s="23">
        <f>W180+IF(W179&gt;Inputs!$C$157,Timing!W87,0)</f>
        <v>198</v>
      </c>
      <c r="X187" s="23">
        <f>X180+IF(X179&gt;Inputs!$C$157,Timing!X87,0)</f>
        <v>198</v>
      </c>
      <c r="Y187" s="23">
        <f>Y180+IF(Y179&gt;Inputs!$C$157,Timing!Y87,0)</f>
        <v>198</v>
      </c>
      <c r="Z187" s="23">
        <f>Z180+IF(Z179&gt;Inputs!$C$157,Timing!Z87,0)</f>
        <v>198</v>
      </c>
      <c r="AA187" s="23">
        <f>AA180+IF(AA179&gt;Inputs!$C$157,Timing!AA87,0)</f>
        <v>198</v>
      </c>
      <c r="AB187" s="23">
        <f>AB180+IF(AB179&gt;Inputs!$C$157,Timing!AB87,0)</f>
        <v>198</v>
      </c>
      <c r="AC187" s="23">
        <f>AC180+IF(AC179&gt;Inputs!$C$157,Timing!AC87,0)</f>
        <v>198</v>
      </c>
      <c r="AD187" s="23">
        <f>AD180+IF(AD179&gt;Inputs!$C$157,Timing!AD87,0)</f>
        <v>198</v>
      </c>
      <c r="AE187" s="23">
        <f>AE180+IF(AE179&gt;Inputs!$C$157,Timing!AE87,0)</f>
        <v>198</v>
      </c>
    </row>
    <row r="188">
      <c r="A188" s="6" t="inlineStr">
        <is>
          <t xml:space="preserve">Book value written off when the farm is dismantled</t>
        </is>
      </c>
      <c r="B188" s="10" t="inlineStr">
        <is>
          <t xml:space="preserve">€</t>
        </is>
      </c>
      <c r="F188" s="23">
        <f>IF(AND(Timing!F72=1,F186&gt;Inputs!$C$157),F186,0)</f>
        <v>0</v>
      </c>
      <c r="G188" s="23">
        <f>IF(AND(Timing!G72=1,G186&gt;Inputs!$C$157),G186,0)</f>
        <v>0</v>
      </c>
      <c r="H188" s="23">
        <f>IF(AND(Timing!H72=1,H186&gt;Inputs!$C$157),H186,0)</f>
        <v>0</v>
      </c>
      <c r="I188" s="23">
        <f>IF(AND(Timing!I72=1,I186&gt;Inputs!$C$157),I186,0)</f>
        <v>0</v>
      </c>
      <c r="J188" s="23">
        <f>IF(AND(Timing!J72=1,J186&gt;Inputs!$C$157),J186,0)</f>
        <v>0</v>
      </c>
      <c r="K188" s="23">
        <f>IF(AND(Timing!K72=1,K186&gt;Inputs!$C$157),K186,0)</f>
        <v>0</v>
      </c>
      <c r="L188" s="23">
        <f>IF(AND(Timing!L72=1,L186&gt;Inputs!$C$157),L186,0)</f>
        <v>0</v>
      </c>
      <c r="M188" s="23">
        <f>IF(AND(Timing!M72=1,M186&gt;Inputs!$C$157),M186,0)</f>
        <v>0</v>
      </c>
      <c r="N188" s="23">
        <f>IF(AND(Timing!N72=1,N186&gt;Inputs!$C$157),N186,0)</f>
        <v>0</v>
      </c>
      <c r="O188" s="23">
        <f>IF(AND(Timing!O72=1,O186&gt;Inputs!$C$157),O186,0)</f>
        <v>0</v>
      </c>
      <c r="P188" s="23">
        <f>IF(AND(Timing!P72=1,P186&gt;Inputs!$C$157),P186,0)</f>
        <v>0</v>
      </c>
      <c r="Q188" s="23">
        <f>IF(AND(Timing!Q72=1,Q186&gt;Inputs!$C$157),Q186,0)</f>
        <v>0</v>
      </c>
      <c r="R188" s="23">
        <f>IF(AND(Timing!R72=1,R186&gt;Inputs!$C$157),R186,0)</f>
        <v>0</v>
      </c>
      <c r="S188" s="23">
        <f>IF(AND(Timing!S72=1,S186&gt;Inputs!$C$157),S186,0)</f>
        <v>0</v>
      </c>
      <c r="T188" s="23">
        <f>IF(AND(Timing!T72=1,T186&gt;Inputs!$C$157),T186,0)</f>
        <v>0</v>
      </c>
      <c r="U188" s="23">
        <f>IF(AND(Timing!U72=1,U186&gt;Inputs!$C$157),U186,0)</f>
        <v>0</v>
      </c>
      <c r="V188" s="23">
        <f>IF(AND(Timing!V72=1,V186&gt;Inputs!$C$157),V186,0)</f>
        <v>0</v>
      </c>
      <c r="W188" s="23">
        <f>IF(AND(Timing!W72=1,W186&gt;Inputs!$C$157),W186,0)</f>
        <v>0</v>
      </c>
      <c r="X188" s="23">
        <f>IF(AND(Timing!X72=1,X186&gt;Inputs!$C$157),X186,0)</f>
        <v>0</v>
      </c>
      <c r="Y188" s="23">
        <f>IF(AND(Timing!Y72=1,Y186&gt;Inputs!$C$157),Y186,0)</f>
        <v>0</v>
      </c>
      <c r="Z188" s="23">
        <f>IF(AND(Timing!Z72=1,Z186&gt;Inputs!$C$157),Z186,0)</f>
        <v>0</v>
      </c>
      <c r="AA188" s="23">
        <f>IF(AND(Timing!AA72=1,AA186&gt;Inputs!$C$157),AA186,0)</f>
        <v>0</v>
      </c>
      <c r="AB188" s="23">
        <f>IF(AND(Timing!AB72=1,AB186&gt;Inputs!$C$157),AB186,0)</f>
        <v>0</v>
      </c>
      <c r="AC188" s="23">
        <f>IF(AND(Timing!AC72=1,AC186&gt;Inputs!$C$157),AC186,0)</f>
        <v>0</v>
      </c>
      <c r="AD188" s="23">
        <f>IF(AND(Timing!AD72=1,AD186&gt;Inputs!$C$157),AD186,0)</f>
        <v>0</v>
      </c>
      <c r="AE188" s="23">
        <f>IF(AND(Timing!AE72=1,AE186&gt;Inputs!$C$157),AE186,0)</f>
        <v>0</v>
      </c>
    </row>
    <row r="189">
      <c r="A189" s="41" t="inlineStr">
        <is>
          <t xml:space="preserve">Depreciation</t>
        </is>
      </c>
      <c r="B189" s="10" t="inlineStr">
        <is>
          <t xml:space="preserve">€</t>
        </is>
      </c>
      <c r="F189" s="42">
        <f>F185+F188</f>
        <v>1785488.90625</v>
      </c>
      <c r="G189" s="42">
        <f>G185+G188</f>
        <v>3570977.8125</v>
      </c>
      <c r="H189" s="42">
        <f>H185+H188</f>
        <v>3570977.8125</v>
      </c>
      <c r="I189" s="42">
        <f>I185+I188</f>
        <v>3570977.8125</v>
      </c>
      <c r="J189" s="42">
        <f>J185+J188</f>
        <v>3570977.8125</v>
      </c>
      <c r="K189" s="42">
        <f>K185+K188</f>
        <v>3570977.8125</v>
      </c>
      <c r="L189" s="42">
        <f>L185+L188</f>
        <v>3570977.8125</v>
      </c>
      <c r="M189" s="42">
        <f>M185+M188</f>
        <v>3570977.8125</v>
      </c>
      <c r="N189" s="42">
        <f>N185+N188</f>
        <v>3570977.8125</v>
      </c>
      <c r="O189" s="42">
        <f>O185+O188</f>
        <v>3570977.8125</v>
      </c>
      <c r="P189" s="42">
        <f>P185+P188</f>
        <v>3570977.8125</v>
      </c>
      <c r="Q189" s="42">
        <f>Q185+Q188</f>
        <v>3570977.8125</v>
      </c>
      <c r="R189" s="42">
        <f>R185+R188</f>
        <v>3570977.8125</v>
      </c>
      <c r="S189" s="42">
        <f>S185+S188</f>
        <v>3570977.8125</v>
      </c>
      <c r="T189" s="42">
        <f>T185+T188</f>
        <v>3570977.8125</v>
      </c>
      <c r="U189" s="42">
        <f>U185+U188</f>
        <v>3570977.8125</v>
      </c>
      <c r="V189" s="42">
        <f>V185+V188</f>
        <v>1785488.90625</v>
      </c>
      <c r="W189" s="42">
        <f>W185+W188</f>
        <v>0</v>
      </c>
      <c r="X189" s="42">
        <f>X185+X188</f>
        <v>0</v>
      </c>
      <c r="Y189" s="42">
        <f>Y185+Y188</f>
        <v>0</v>
      </c>
      <c r="Z189" s="42">
        <f>Z185+Z188</f>
        <v>0</v>
      </c>
      <c r="AA189" s="42">
        <f>AA185+AA188</f>
        <v>0</v>
      </c>
      <c r="AB189" s="42">
        <f>AB185+AB188</f>
        <v>0</v>
      </c>
      <c r="AC189" s="42">
        <f>AC185+AC188</f>
        <v>0</v>
      </c>
      <c r="AD189" s="42">
        <f>AD185+AD188</f>
        <v>0</v>
      </c>
      <c r="AE189" s="42">
        <f>AE185+AE188</f>
        <v>0</v>
      </c>
    </row>
    <row r="190">
      <c r="A190" s="6" t="inlineStr">
        <is>
          <t xml:space="preserve">Interest</t>
        </is>
      </c>
      <c r="B190" s="10" t="inlineStr">
        <is>
          <t xml:space="preserve">€</t>
        </is>
      </c>
      <c r="F190" s="23">
        <f>0</f>
        <v>0</v>
      </c>
      <c r="G190" s="23">
        <f>0</f>
        <v>0</v>
      </c>
      <c r="H190" s="23">
        <f>0</f>
        <v>0</v>
      </c>
      <c r="I190" s="23">
        <f>0</f>
        <v>0</v>
      </c>
      <c r="J190" s="23">
        <f>0</f>
        <v>0</v>
      </c>
      <c r="K190" s="23">
        <f>0</f>
        <v>0</v>
      </c>
      <c r="L190" s="23">
        <f>0</f>
        <v>0</v>
      </c>
      <c r="M190" s="23">
        <f>0</f>
        <v>0</v>
      </c>
      <c r="N190" s="23">
        <f>0</f>
        <v>0</v>
      </c>
      <c r="O190" s="23">
        <f>0</f>
        <v>0</v>
      </c>
      <c r="P190" s="23">
        <f>0</f>
        <v>0</v>
      </c>
      <c r="Q190" s="23">
        <f>0</f>
        <v>0</v>
      </c>
      <c r="R190" s="23">
        <f>0</f>
        <v>0</v>
      </c>
      <c r="S190" s="23">
        <f>0</f>
        <v>0</v>
      </c>
      <c r="T190" s="23">
        <f>0</f>
        <v>0</v>
      </c>
      <c r="U190" s="23">
        <f>0</f>
        <v>0</v>
      </c>
      <c r="V190" s="23">
        <f>0</f>
        <v>0</v>
      </c>
      <c r="W190" s="23">
        <f>0</f>
        <v>0</v>
      </c>
      <c r="X190" s="23">
        <f>0</f>
        <v>0</v>
      </c>
      <c r="Y190" s="23">
        <f>0</f>
        <v>0</v>
      </c>
      <c r="Z190" s="23">
        <f>0</f>
        <v>0</v>
      </c>
      <c r="AA190" s="23">
        <f>0</f>
        <v>0</v>
      </c>
      <c r="AB190" s="23">
        <f>0</f>
        <v>0</v>
      </c>
      <c r="AC190" s="23">
        <f>0</f>
        <v>0</v>
      </c>
      <c r="AD190" s="23">
        <f>0</f>
        <v>0</v>
      </c>
      <c r="AE190" s="23">
        <f>0</f>
        <v>0</v>
      </c>
    </row>
    <row r="191">
      <c r="A191" s="41" t="inlineStr">
        <is>
          <t xml:space="preserve">Profit before tax</t>
        </is>
      </c>
      <c r="B191" s="10" t="inlineStr">
        <is>
          <t xml:space="preserve">€</t>
        </is>
      </c>
      <c r="F191" s="42">
        <f>Operations!F107-F189-F190-F10</f>
        <v>-56273.551717137896</v>
      </c>
      <c r="G191" s="42">
        <f>Operations!G107-G189-G190-G10</f>
        <v>-906166.9786159681</v>
      </c>
      <c r="H191" s="42">
        <f>Operations!H107-H189-H190-H10</f>
        <v>-985895.3707580564</v>
      </c>
      <c r="I191" s="42">
        <f>Operations!I107-I189-I190-I10</f>
        <v>-941419.4471871599</v>
      </c>
      <c r="J191" s="42">
        <f>Operations!J107-J189-J190-J10</f>
        <v>-896577.0436700115</v>
      </c>
      <c r="K191" s="42">
        <f>Operations!K107-K189-K190-K10</f>
        <v>-851158.6420636333</v>
      </c>
      <c r="L191" s="42">
        <f>Operations!L107-L189-L190-L10</f>
        <v>-805414.5836954584</v>
      </c>
      <c r="M191" s="42">
        <f>Operations!M107-M189-M190-M10</f>
        <v>-759303.0444795834</v>
      </c>
      <c r="N191" s="42">
        <f>Operations!N107-N189-N190-N10</f>
        <v>-712985.2548655826</v>
      </c>
      <c r="O191" s="42">
        <f>Operations!O107-O189-O190-O10</f>
        <v>-666132.6916828078</v>
      </c>
      <c r="P191" s="42">
        <f>Operations!P107-P189-P190-P10</f>
        <v>-743191.1696041144</v>
      </c>
      <c r="Q191" s="42">
        <f>Operations!Q107-Q189-Q190-Q10</f>
        <v>-698477.9278882605</v>
      </c>
      <c r="R191" s="42">
        <f>Operations!R107-R189-R190-R10</f>
        <v>-653860.3006827019</v>
      </c>
      <c r="S191" s="42">
        <f>Operations!S107-S189-S190-S10</f>
        <v>-608833.9105255009</v>
      </c>
      <c r="T191" s="42">
        <f>Operations!T107-T189-T190-T10</f>
        <v>-564012.6124548633</v>
      </c>
      <c r="U191" s="42">
        <f>Operations!U107-U189-U190-U10</f>
        <v>-519295.6615455061</v>
      </c>
      <c r="V191" s="42">
        <f>Operations!V107-V189-V190-V10</f>
        <v>1310426.3220843556</v>
      </c>
      <c r="W191" s="42">
        <f>Operations!W107-W189-W190-W10</f>
        <v>3140429.102924113</v>
      </c>
      <c r="X191" s="42">
        <f>Operations!X107-X189-X190-X10</f>
        <v>3184293.5827910947</v>
      </c>
      <c r="Y191" s="42">
        <f>Operations!Y107-Y189-Y190-Y10</f>
        <v>3227663.7057853676</v>
      </c>
      <c r="Z191" s="42">
        <f>Operations!Z107-Z189-Z190-Z10</f>
        <v>3189325.233885943</v>
      </c>
      <c r="AA191" s="42">
        <f>Operations!AA107-AA189-AA190-AA10</f>
        <v>3230106.31551819</v>
      </c>
      <c r="AB191" s="42">
        <f>Operations!AB107-AB189-AB190-AB10</f>
        <v>3269549.7937057335</v>
      </c>
      <c r="AC191" s="42">
        <f>Operations!AC107-AC189-AC190-AC10</f>
        <v>3307890.822653532</v>
      </c>
      <c r="AD191" s="42">
        <f>Operations!AD107-AD189-AD190-AD10</f>
        <v>3276208.8842076105</v>
      </c>
      <c r="AE191" s="42">
        <f>Operations!AE107-AE189-AE190-AE10</f>
        <v>1721324.0033420855</v>
      </c>
    </row>
    <row r="192">
      <c r="A192" s="6" t="inlineStr">
        <is>
          <t xml:space="preserve">Trade tax: add-back of interest and land lease</t>
        </is>
      </c>
      <c r="B192" s="10" t="inlineStr">
        <is>
          <t xml:space="preserve">€</t>
        </is>
      </c>
      <c r="F192" s="23">
        <f>Inputs!$C$116*MAX(0,F190+Inputs!$C$118*Operations!F100-Inputs!$C$117)</f>
        <v>0</v>
      </c>
      <c r="G192" s="23">
        <f>Inputs!$C$116*MAX(0,G190+Inputs!$C$118*Operations!G100-Inputs!$C$117)</f>
        <v>3022.7832216274837</v>
      </c>
      <c r="H192" s="23">
        <f>Inputs!$C$116*MAX(0,H190+Inputs!$C$118*Operations!H100-Inputs!$C$117)</f>
        <v>2225.6410897742244</v>
      </c>
      <c r="I192" s="23">
        <f>Inputs!$C$116*MAX(0,I190+Inputs!$C$118*Operations!I100-Inputs!$C$117)</f>
        <v>3163.613603746555</v>
      </c>
      <c r="J192" s="23">
        <f>Inputs!$C$116*MAX(0,J190+Inputs!$C$118*Operations!J100-Inputs!$C$117)</f>
        <v>4118.432104069849</v>
      </c>
      <c r="K192" s="23">
        <f>Inputs!$C$116*MAX(0,K190+Inputs!$C$118*Operations!K100-Inputs!$C$117)</f>
        <v>5090.39914465895</v>
      </c>
      <c r="L192" s="23">
        <f>Inputs!$C$116*MAX(0,L190+Inputs!$C$118*Operations!L100-Inputs!$C$117)</f>
        <v>6079.822713297028</v>
      </c>
      <c r="M192" s="23">
        <f>Inputs!$C$116*MAX(0,M190+Inputs!$C$118*Operations!M100-Inputs!$C$117)</f>
        <v>7087.016329227823</v>
      </c>
      <c r="N192" s="23">
        <f>Inputs!$C$116*MAX(0,N190+Inputs!$C$118*Operations!N100-Inputs!$C$117)</f>
        <v>8112.299142500764</v>
      </c>
      <c r="O192" s="23">
        <f>Inputs!$C$116*MAX(0,O190+Inputs!$C$118*Operations!O100-Inputs!$C$117)</f>
        <v>9155.996035100092</v>
      </c>
      <c r="P192" s="23">
        <f>Inputs!$C$116*MAX(0,P190+Inputs!$C$118*Operations!P100-Inputs!$C$117)</f>
        <v>10218.437723890464</v>
      </c>
      <c r="Q192" s="23">
        <f>Inputs!$C$116*MAX(0,Q190+Inputs!$C$118*Operations!Q100-Inputs!$C$117)</f>
        <v>11299.960865411536</v>
      </c>
      <c r="R192" s="23">
        <f>Inputs!$C$116*MAX(0,R190+Inputs!$C$118*Operations!R100-Inputs!$C$117)</f>
        <v>12400.908162554333</v>
      </c>
      <c r="S192" s="23">
        <f>Inputs!$C$116*MAX(0,S190+Inputs!$C$118*Operations!S100-Inputs!$C$117)</f>
        <v>13521.628473153833</v>
      </c>
      <c r="T192" s="23">
        <f>Inputs!$C$116*MAX(0,T190+Inputs!$C$118*Operations!T100-Inputs!$C$117)</f>
        <v>14662.47692053167</v>
      </c>
      <c r="U192" s="23">
        <f>Inputs!$C$116*MAX(0,U190+Inputs!$C$118*Operations!U100-Inputs!$C$117)</f>
        <v>15823.815006024393</v>
      </c>
      <c r="V192" s="23">
        <f>Inputs!$C$116*MAX(0,V190+Inputs!$C$118*Operations!V100-Inputs!$C$117)</f>
        <v>17006.010723532585</v>
      </c>
      <c r="W192" s="23">
        <f>Inputs!$C$116*MAX(0,W190+Inputs!$C$118*Operations!W100-Inputs!$C$117)</f>
        <v>18209.438676127233</v>
      </c>
      <c r="X192" s="23">
        <f>Inputs!$C$116*MAX(0,X190+Inputs!$C$118*Operations!X100-Inputs!$C$117)</f>
        <v>19434.48019475049</v>
      </c>
      <c r="Y192" s="23">
        <f>Inputs!$C$116*MAX(0,Y190+Inputs!$C$118*Operations!Y100-Inputs!$C$117)</f>
        <v>20681.523459048214</v>
      </c>
      <c r="Z192" s="23">
        <f>Inputs!$C$116*MAX(0,Z190+Inputs!$C$118*Operations!Z100-Inputs!$C$117)</f>
        <v>21950.963620372713</v>
      </c>
      <c r="AA192" s="23">
        <f>Inputs!$C$116*MAX(0,AA190+Inputs!$C$118*Operations!AA100-Inputs!$C$117)</f>
        <v>23243.202926994607</v>
      </c>
      <c r="AB192" s="23">
        <f>Inputs!$C$116*MAX(0,AB190+Inputs!$C$118*Operations!AB100-Inputs!$C$117)</f>
        <v>24558.650851563434</v>
      </c>
      <c r="AC192" s="23">
        <f>Inputs!$C$116*MAX(0,AC190+Inputs!$C$118*Operations!AC100-Inputs!$C$117)</f>
        <v>25897.724220857534</v>
      </c>
      <c r="AD192" s="23">
        <f>Inputs!$C$116*MAX(0,AD190+Inputs!$C$118*Operations!AD100-Inputs!$C$117)</f>
        <v>27260.847347864124</v>
      </c>
      <c r="AE192" s="23">
        <f>Inputs!$C$116*MAX(0,AE190+Inputs!$C$118*Operations!AE100-Inputs!$C$117)</f>
        <v>0</v>
      </c>
    </row>
    <row r="193">
      <c r="A193" s="6" t="inlineStr">
        <is>
          <t xml:space="preserve">Trade income before losses</t>
        </is>
      </c>
      <c r="B193" s="10" t="inlineStr">
        <is>
          <t xml:space="preserve">€</t>
        </is>
      </c>
      <c r="F193" s="23">
        <f>F191+F192</f>
        <v>-56273.551717137896</v>
      </c>
      <c r="G193" s="23">
        <f>G191+G192</f>
        <v>-903144.1953943407</v>
      </c>
      <c r="H193" s="23">
        <f>H191+H192</f>
        <v>-983669.7296682822</v>
      </c>
      <c r="I193" s="23">
        <f>I191+I192</f>
        <v>-938255.8335834134</v>
      </c>
      <c r="J193" s="23">
        <f>J191+J192</f>
        <v>-892458.6115659416</v>
      </c>
      <c r="K193" s="23">
        <f>K191+K192</f>
        <v>-846068.2429189744</v>
      </c>
      <c r="L193" s="23">
        <f>L191+L192</f>
        <v>-799334.7609821614</v>
      </c>
      <c r="M193" s="23">
        <f>M191+M192</f>
        <v>-752216.0281503556</v>
      </c>
      <c r="N193" s="23">
        <f>N191+N192</f>
        <v>-704872.9557230818</v>
      </c>
      <c r="O193" s="23">
        <f>O191+O192</f>
        <v>-656976.6956477077</v>
      </c>
      <c r="P193" s="23">
        <f>P191+P192</f>
        <v>-732972.731880224</v>
      </c>
      <c r="Q193" s="23">
        <f>Q191+Q192</f>
        <v>-687177.9670228489</v>
      </c>
      <c r="R193" s="23">
        <f>R191+R192</f>
        <v>-641459.3925201475</v>
      </c>
      <c r="S193" s="23">
        <f>S191+S192</f>
        <v>-595312.2820523471</v>
      </c>
      <c r="T193" s="23">
        <f>T191+T192</f>
        <v>-549350.1355343316</v>
      </c>
      <c r="U193" s="23">
        <f>U191+U192</f>
        <v>-503471.8465394817</v>
      </c>
      <c r="V193" s="23">
        <f>V191+V192</f>
        <v>1327432.3328078883</v>
      </c>
      <c r="W193" s="23">
        <f>W191+W192</f>
        <v>3158638.5416002404</v>
      </c>
      <c r="X193" s="23">
        <f>X191+X192</f>
        <v>3203728.0629858454</v>
      </c>
      <c r="Y193" s="23">
        <f>Y191+Y192</f>
        <v>3248345.2292444156</v>
      </c>
      <c r="Z193" s="23">
        <f>Z191+Z192</f>
        <v>3211276.1975063155</v>
      </c>
      <c r="AA193" s="23">
        <f>AA191+AA192</f>
        <v>3253349.518445185</v>
      </c>
      <c r="AB193" s="23">
        <f>AB191+AB192</f>
        <v>3294108.444557297</v>
      </c>
      <c r="AC193" s="23">
        <f>AC191+AC192</f>
        <v>3333788.5468743895</v>
      </c>
      <c r="AD193" s="23">
        <f>AD191+AD192</f>
        <v>3303469.7315554745</v>
      </c>
      <c r="AE193" s="23">
        <f>AE191+AE192</f>
        <v>1721324.0033420855</v>
      </c>
    </row>
    <row r="194">
      <c r="A194" s="6" t="inlineStr">
        <is>
          <t xml:space="preserve">Trade loss carry-forward at the start</t>
        </is>
      </c>
      <c r="B194" s="10" t="inlineStr">
        <is>
          <t xml:space="preserve">€</t>
        </is>
      </c>
      <c r="E194" s="9">
        <v>0</v>
      </c>
      <c r="F194" s="23">
        <f>E196</f>
        <v>0</v>
      </c>
      <c r="G194" s="23">
        <f>F196</f>
        <v>56273.551717137896</v>
      </c>
      <c r="H194" s="23">
        <f>G196</f>
        <v>959417.7471114786</v>
      </c>
      <c r="I194" s="23">
        <f>H196</f>
        <v>1943087.4767797608</v>
      </c>
      <c r="J194" s="23">
        <f>I196</f>
        <v>2881343.3103631744</v>
      </c>
      <c r="K194" s="23">
        <f>J196</f>
        <v>3773801.921929116</v>
      </c>
      <c r="L194" s="23">
        <f>K196</f>
        <v>4619870.16484809</v>
      </c>
      <c r="M194" s="23">
        <f>L196</f>
        <v>5419204.925830252</v>
      </c>
      <c r="N194" s="23">
        <f>M196</f>
        <v>6171420.953980607</v>
      </c>
      <c r="O194" s="23">
        <f>N196</f>
        <v>6876293.909703689</v>
      </c>
      <c r="P194" s="23">
        <f>O196</f>
        <v>7533270.605351396</v>
      </c>
      <c r="Q194" s="23">
        <f>P196</f>
        <v>8266243.33723162</v>
      </c>
      <c r="R194" s="23">
        <f>Q196</f>
        <v>8953421.304254469</v>
      </c>
      <c r="S194" s="23">
        <f>R196</f>
        <v>9594880.696774617</v>
      </c>
      <c r="T194" s="23">
        <f>S196</f>
        <v>10190192.978826964</v>
      </c>
      <c r="U194" s="23">
        <f>T196</f>
        <v>10739543.114361295</v>
      </c>
      <c r="V194" s="23">
        <f>U196</f>
        <v>11243014.960900778</v>
      </c>
      <c r="W194" s="23">
        <f>V196</f>
        <v>10046555.561216045</v>
      </c>
      <c r="X194" s="23">
        <f>W196</f>
        <v>7751372.436255901</v>
      </c>
      <c r="Y194" s="23">
        <f>X196</f>
        <v>5429135.598464394</v>
      </c>
      <c r="Z194" s="23">
        <f>Y196</f>
        <v>3080128.460917745</v>
      </c>
      <c r="AA194" s="23">
        <f>Z196</f>
        <v>753362.7424139557</v>
      </c>
      <c r="AB194" s="23">
        <f>AA196</f>
        <v>0</v>
      </c>
      <c r="AC194" s="23">
        <f>AB196</f>
        <v>0</v>
      </c>
      <c r="AD194" s="23">
        <f>AC196</f>
        <v>0</v>
      </c>
      <c r="AE194" s="23">
        <f>AD196</f>
        <v>0</v>
      </c>
    </row>
    <row r="195">
      <c r="A195" s="6" t="inlineStr">
        <is>
          <t xml:space="preserve">Trade losses used (€1m in full, 60 % above)</t>
        </is>
      </c>
      <c r="B195" s="10" t="inlineStr">
        <is>
          <t xml:space="preserve">€</t>
        </is>
      </c>
      <c r="F195" s="23">
        <f>IF(F193&gt;0,MIN(F194,MIN(F193,Inputs!$C$119)+Inputs!$C$120*MAX(0,F193-Inputs!$C$119)),0)</f>
        <v>0</v>
      </c>
      <c r="G195" s="23">
        <f>IF(G193&gt;0,MIN(G194,MIN(G193,Inputs!$C$119)+Inputs!$C$120*MAX(0,G193-Inputs!$C$119)),0)</f>
        <v>0</v>
      </c>
      <c r="H195" s="23">
        <f>IF(H193&gt;0,MIN(H194,MIN(H193,Inputs!$C$119)+Inputs!$C$120*MAX(0,H193-Inputs!$C$119)),0)</f>
        <v>0</v>
      </c>
      <c r="I195" s="23">
        <f>IF(I193&gt;0,MIN(I194,MIN(I193,Inputs!$C$119)+Inputs!$C$120*MAX(0,I193-Inputs!$C$119)),0)</f>
        <v>0</v>
      </c>
      <c r="J195" s="23">
        <f>IF(J193&gt;0,MIN(J194,MIN(J193,Inputs!$C$119)+Inputs!$C$120*MAX(0,J193-Inputs!$C$119)),0)</f>
        <v>0</v>
      </c>
      <c r="K195" s="23">
        <f>IF(K193&gt;0,MIN(K194,MIN(K193,Inputs!$C$119)+Inputs!$C$120*MAX(0,K193-Inputs!$C$119)),0)</f>
        <v>0</v>
      </c>
      <c r="L195" s="23">
        <f>IF(L193&gt;0,MIN(L194,MIN(L193,Inputs!$C$119)+Inputs!$C$120*MAX(0,L193-Inputs!$C$119)),0)</f>
        <v>0</v>
      </c>
      <c r="M195" s="23">
        <f>IF(M193&gt;0,MIN(M194,MIN(M193,Inputs!$C$119)+Inputs!$C$120*MAX(0,M193-Inputs!$C$119)),0)</f>
        <v>0</v>
      </c>
      <c r="N195" s="23">
        <f>IF(N193&gt;0,MIN(N194,MIN(N193,Inputs!$C$119)+Inputs!$C$120*MAX(0,N193-Inputs!$C$119)),0)</f>
        <v>0</v>
      </c>
      <c r="O195" s="23">
        <f>IF(O193&gt;0,MIN(O194,MIN(O193,Inputs!$C$119)+Inputs!$C$120*MAX(0,O193-Inputs!$C$119)),0)</f>
        <v>0</v>
      </c>
      <c r="P195" s="23">
        <f>IF(P193&gt;0,MIN(P194,MIN(P193,Inputs!$C$119)+Inputs!$C$120*MAX(0,P193-Inputs!$C$119)),0)</f>
        <v>0</v>
      </c>
      <c r="Q195" s="23">
        <f>IF(Q193&gt;0,MIN(Q194,MIN(Q193,Inputs!$C$119)+Inputs!$C$120*MAX(0,Q193-Inputs!$C$119)),0)</f>
        <v>0</v>
      </c>
      <c r="R195" s="23">
        <f>IF(R193&gt;0,MIN(R194,MIN(R193,Inputs!$C$119)+Inputs!$C$120*MAX(0,R193-Inputs!$C$119)),0)</f>
        <v>0</v>
      </c>
      <c r="S195" s="23">
        <f>IF(S193&gt;0,MIN(S194,MIN(S193,Inputs!$C$119)+Inputs!$C$120*MAX(0,S193-Inputs!$C$119)),0)</f>
        <v>0</v>
      </c>
      <c r="T195" s="23">
        <f>IF(T193&gt;0,MIN(T194,MIN(T193,Inputs!$C$119)+Inputs!$C$120*MAX(0,T193-Inputs!$C$119)),0)</f>
        <v>0</v>
      </c>
      <c r="U195" s="23">
        <f>IF(U193&gt;0,MIN(U194,MIN(U193,Inputs!$C$119)+Inputs!$C$120*MAX(0,U193-Inputs!$C$119)),0)</f>
        <v>0</v>
      </c>
      <c r="V195" s="23">
        <f>IF(V193&gt;0,MIN(V194,MIN(V193,Inputs!$C$119)+Inputs!$C$120*MAX(0,V193-Inputs!$C$119)),0)</f>
        <v>1196459.3996847328</v>
      </c>
      <c r="W195" s="23">
        <f>IF(W193&gt;0,MIN(W194,MIN(W193,Inputs!$C$119)+Inputs!$C$120*MAX(0,W193-Inputs!$C$119)),0)</f>
        <v>2295183.124960144</v>
      </c>
      <c r="X195" s="23">
        <f>IF(X193&gt;0,MIN(X194,MIN(X193,Inputs!$C$119)+Inputs!$C$120*MAX(0,X193-Inputs!$C$119)),0)</f>
        <v>2322236.837791507</v>
      </c>
      <c r="Y195" s="23">
        <f>IF(Y193&gt;0,MIN(Y194,MIN(Y193,Inputs!$C$119)+Inputs!$C$120*MAX(0,Y193-Inputs!$C$119)),0)</f>
        <v>2349007.137546649</v>
      </c>
      <c r="Z195" s="23">
        <f>IF(Z193&gt;0,MIN(Z194,MIN(Z193,Inputs!$C$119)+Inputs!$C$120*MAX(0,Z193-Inputs!$C$119)),0)</f>
        <v>2326765.718503789</v>
      </c>
      <c r="AA195" s="23">
        <f>IF(AA193&gt;0,MIN(AA194,MIN(AA193,Inputs!$C$119)+Inputs!$C$120*MAX(0,AA193-Inputs!$C$119)),0)</f>
        <v>753362.7424139557</v>
      </c>
      <c r="AB195" s="23">
        <f>IF(AB193&gt;0,MIN(AB194,MIN(AB193,Inputs!$C$119)+Inputs!$C$120*MAX(0,AB193-Inputs!$C$119)),0)</f>
        <v>0</v>
      </c>
      <c r="AC195" s="23">
        <f>IF(AC193&gt;0,MIN(AC194,MIN(AC193,Inputs!$C$119)+Inputs!$C$120*MAX(0,AC193-Inputs!$C$119)),0)</f>
        <v>0</v>
      </c>
      <c r="AD195" s="23">
        <f>IF(AD193&gt;0,MIN(AD194,MIN(AD193,Inputs!$C$119)+Inputs!$C$120*MAX(0,AD193-Inputs!$C$119)),0)</f>
        <v>0</v>
      </c>
      <c r="AE195" s="23">
        <f>IF(AE193&gt;0,MIN(AE194,MIN(AE193,Inputs!$C$119)+Inputs!$C$120*MAX(0,AE193-Inputs!$C$119)),0)</f>
        <v>0</v>
      </c>
    </row>
    <row r="196">
      <c r="A196" s="6" t="inlineStr">
        <is>
          <t xml:space="preserve">Trade loss carry-forward at the year end</t>
        </is>
      </c>
      <c r="B196" s="10" t="inlineStr">
        <is>
          <t xml:space="preserve">€</t>
        </is>
      </c>
      <c r="F196" s="23">
        <f>F194-F195+MAX(0,-F193)</f>
        <v>56273.551717137896</v>
      </c>
      <c r="G196" s="23">
        <f>G194-G195+MAX(0,-G193)</f>
        <v>959417.7471114786</v>
      </c>
      <c r="H196" s="23">
        <f>H194-H195+MAX(0,-H193)</f>
        <v>1943087.4767797608</v>
      </c>
      <c r="I196" s="23">
        <f>I194-I195+MAX(0,-I193)</f>
        <v>2881343.3103631744</v>
      </c>
      <c r="J196" s="23">
        <f>J194-J195+MAX(0,-J193)</f>
        <v>3773801.921929116</v>
      </c>
      <c r="K196" s="23">
        <f>K194-K195+MAX(0,-K193)</f>
        <v>4619870.16484809</v>
      </c>
      <c r="L196" s="23">
        <f>L194-L195+MAX(0,-L193)</f>
        <v>5419204.925830252</v>
      </c>
      <c r="M196" s="23">
        <f>M194-M195+MAX(0,-M193)</f>
        <v>6171420.953980607</v>
      </c>
      <c r="N196" s="23">
        <f>N194-N195+MAX(0,-N193)</f>
        <v>6876293.909703689</v>
      </c>
      <c r="O196" s="23">
        <f>O194-O195+MAX(0,-O193)</f>
        <v>7533270.605351396</v>
      </c>
      <c r="P196" s="23">
        <f>P194-P195+MAX(0,-P193)</f>
        <v>8266243.33723162</v>
      </c>
      <c r="Q196" s="23">
        <f>Q194-Q195+MAX(0,-Q193)</f>
        <v>8953421.304254469</v>
      </c>
      <c r="R196" s="23">
        <f>R194-R195+MAX(0,-R193)</f>
        <v>9594880.696774617</v>
      </c>
      <c r="S196" s="23">
        <f>S194-S195+MAX(0,-S193)</f>
        <v>10190192.978826964</v>
      </c>
      <c r="T196" s="23">
        <f>T194-T195+MAX(0,-T193)</f>
        <v>10739543.114361295</v>
      </c>
      <c r="U196" s="23">
        <f>U194-U195+MAX(0,-U193)</f>
        <v>11243014.960900778</v>
      </c>
      <c r="V196" s="23">
        <f>V194-V195+MAX(0,-V193)</f>
        <v>10046555.561216045</v>
      </c>
      <c r="W196" s="23">
        <f>W194-W195+MAX(0,-W193)</f>
        <v>7751372.436255901</v>
      </c>
      <c r="X196" s="23">
        <f>X194-X195+MAX(0,-X193)</f>
        <v>5429135.598464394</v>
      </c>
      <c r="Y196" s="23">
        <f>Y194-Y195+MAX(0,-Y193)</f>
        <v>3080128.460917745</v>
      </c>
      <c r="Z196" s="23">
        <f>Z194-Z195+MAX(0,-Z193)</f>
        <v>753362.7424139557</v>
      </c>
      <c r="AA196" s="23">
        <f>AA194-AA195+MAX(0,-AA193)</f>
        <v>0</v>
      </c>
      <c r="AB196" s="23">
        <f>AB194-AB195+MAX(0,-AB193)</f>
        <v>0</v>
      </c>
      <c r="AC196" s="23">
        <f>AC194-AC195+MAX(0,-AC193)</f>
        <v>0</v>
      </c>
      <c r="AD196" s="23">
        <f>AD194-AD195+MAX(0,-AD193)</f>
        <v>0</v>
      </c>
      <c r="AE196" s="23">
        <f>AE194-AE195+MAX(0,-AE193)</f>
        <v>0</v>
      </c>
    </row>
    <row r="197">
      <c r="A197" s="6" t="inlineStr">
        <is>
          <t xml:space="preserve">Trade tax base (rounded down to €100; KG allowance)</t>
        </is>
      </c>
      <c r="B197" s="10" t="inlineStr">
        <is>
          <t xml:space="preserve">€</t>
        </is>
      </c>
      <c r="F197" s="23">
        <f>IF(Inputs!$C$91="KG",MAX(0,ROUNDDOWN(MAX(0,F193-F195)/100,0)*100-Inputs!$C$115),ROUNDDOWN(MAX(0,F193-F195)/100,0)*100)</f>
        <v>0</v>
      </c>
      <c r="G197" s="23">
        <f>IF(Inputs!$C$91="KG",MAX(0,ROUNDDOWN(MAX(0,G193-G195)/100,0)*100-Inputs!$C$115),ROUNDDOWN(MAX(0,G193-G195)/100,0)*100)</f>
        <v>0</v>
      </c>
      <c r="H197" s="23">
        <f>IF(Inputs!$C$91="KG",MAX(0,ROUNDDOWN(MAX(0,H193-H195)/100,0)*100-Inputs!$C$115),ROUNDDOWN(MAX(0,H193-H195)/100,0)*100)</f>
        <v>0</v>
      </c>
      <c r="I197" s="23">
        <f>IF(Inputs!$C$91="KG",MAX(0,ROUNDDOWN(MAX(0,I193-I195)/100,0)*100-Inputs!$C$115),ROUNDDOWN(MAX(0,I193-I195)/100,0)*100)</f>
        <v>0</v>
      </c>
      <c r="J197" s="23">
        <f>IF(Inputs!$C$91="KG",MAX(0,ROUNDDOWN(MAX(0,J193-J195)/100,0)*100-Inputs!$C$115),ROUNDDOWN(MAX(0,J193-J195)/100,0)*100)</f>
        <v>0</v>
      </c>
      <c r="K197" s="23">
        <f>IF(Inputs!$C$91="KG",MAX(0,ROUNDDOWN(MAX(0,K193-K195)/100,0)*100-Inputs!$C$115),ROUNDDOWN(MAX(0,K193-K195)/100,0)*100)</f>
        <v>0</v>
      </c>
      <c r="L197" s="23">
        <f>IF(Inputs!$C$91="KG",MAX(0,ROUNDDOWN(MAX(0,L193-L195)/100,0)*100-Inputs!$C$115),ROUNDDOWN(MAX(0,L193-L195)/100,0)*100)</f>
        <v>0</v>
      </c>
      <c r="M197" s="23">
        <f>IF(Inputs!$C$91="KG",MAX(0,ROUNDDOWN(MAX(0,M193-M195)/100,0)*100-Inputs!$C$115),ROUNDDOWN(MAX(0,M193-M195)/100,0)*100)</f>
        <v>0</v>
      </c>
      <c r="N197" s="23">
        <f>IF(Inputs!$C$91="KG",MAX(0,ROUNDDOWN(MAX(0,N193-N195)/100,0)*100-Inputs!$C$115),ROUNDDOWN(MAX(0,N193-N195)/100,0)*100)</f>
        <v>0</v>
      </c>
      <c r="O197" s="23">
        <f>IF(Inputs!$C$91="KG",MAX(0,ROUNDDOWN(MAX(0,O193-O195)/100,0)*100-Inputs!$C$115),ROUNDDOWN(MAX(0,O193-O195)/100,0)*100)</f>
        <v>0</v>
      </c>
      <c r="P197" s="23">
        <f>IF(Inputs!$C$91="KG",MAX(0,ROUNDDOWN(MAX(0,P193-P195)/100,0)*100-Inputs!$C$115),ROUNDDOWN(MAX(0,P193-P195)/100,0)*100)</f>
        <v>0</v>
      </c>
      <c r="Q197" s="23">
        <f>IF(Inputs!$C$91="KG",MAX(0,ROUNDDOWN(MAX(0,Q193-Q195)/100,0)*100-Inputs!$C$115),ROUNDDOWN(MAX(0,Q193-Q195)/100,0)*100)</f>
        <v>0</v>
      </c>
      <c r="R197" s="23">
        <f>IF(Inputs!$C$91="KG",MAX(0,ROUNDDOWN(MAX(0,R193-R195)/100,0)*100-Inputs!$C$115),ROUNDDOWN(MAX(0,R193-R195)/100,0)*100)</f>
        <v>0</v>
      </c>
      <c r="S197" s="23">
        <f>IF(Inputs!$C$91="KG",MAX(0,ROUNDDOWN(MAX(0,S193-S195)/100,0)*100-Inputs!$C$115),ROUNDDOWN(MAX(0,S193-S195)/100,0)*100)</f>
        <v>0</v>
      </c>
      <c r="T197" s="23">
        <f>IF(Inputs!$C$91="KG",MAX(0,ROUNDDOWN(MAX(0,T193-T195)/100,0)*100-Inputs!$C$115),ROUNDDOWN(MAX(0,T193-T195)/100,0)*100)</f>
        <v>0</v>
      </c>
      <c r="U197" s="23">
        <f>IF(Inputs!$C$91="KG",MAX(0,ROUNDDOWN(MAX(0,U193-U195)/100,0)*100-Inputs!$C$115),ROUNDDOWN(MAX(0,U193-U195)/100,0)*100)</f>
        <v>0</v>
      </c>
      <c r="V197" s="23">
        <f>IF(Inputs!$C$91="KG",MAX(0,ROUNDDOWN(MAX(0,V193-V195)/100,0)*100-Inputs!$C$115),ROUNDDOWN(MAX(0,V193-V195)/100,0)*100)</f>
        <v>106400</v>
      </c>
      <c r="W197" s="23">
        <f>IF(Inputs!$C$91="KG",MAX(0,ROUNDDOWN(MAX(0,W193-W195)/100,0)*100-Inputs!$C$115),ROUNDDOWN(MAX(0,W193-W195)/100,0)*100)</f>
        <v>838900</v>
      </c>
      <c r="X197" s="23">
        <f>IF(Inputs!$C$91="KG",MAX(0,ROUNDDOWN(MAX(0,X193-X195)/100,0)*100-Inputs!$C$115),ROUNDDOWN(MAX(0,X193-X195)/100,0)*100)</f>
        <v>856900</v>
      </c>
      <c r="Y197" s="23">
        <f>IF(Inputs!$C$91="KG",MAX(0,ROUNDDOWN(MAX(0,Y193-Y195)/100,0)*100-Inputs!$C$115),ROUNDDOWN(MAX(0,Y193-Y195)/100,0)*100)</f>
        <v>874800</v>
      </c>
      <c r="Z197" s="23">
        <f>IF(Inputs!$C$91="KG",MAX(0,ROUNDDOWN(MAX(0,Z193-Z195)/100,0)*100-Inputs!$C$115),ROUNDDOWN(MAX(0,Z193-Z195)/100,0)*100)</f>
        <v>860000</v>
      </c>
      <c r="AA197" s="23">
        <f>IF(Inputs!$C$91="KG",MAX(0,ROUNDDOWN(MAX(0,AA193-AA195)/100,0)*100-Inputs!$C$115),ROUNDDOWN(MAX(0,AA193-AA195)/100,0)*100)</f>
        <v>2475400</v>
      </c>
      <c r="AB197" s="23">
        <f>IF(Inputs!$C$91="KG",MAX(0,ROUNDDOWN(MAX(0,AB193-AB195)/100,0)*100-Inputs!$C$115),ROUNDDOWN(MAX(0,AB193-AB195)/100,0)*100)</f>
        <v>3269600</v>
      </c>
      <c r="AC197" s="23">
        <f>IF(Inputs!$C$91="KG",MAX(0,ROUNDDOWN(MAX(0,AC193-AC195)/100,0)*100-Inputs!$C$115),ROUNDDOWN(MAX(0,AC193-AC195)/100,0)*100)</f>
        <v>3309200</v>
      </c>
      <c r="AD197" s="23">
        <f>IF(Inputs!$C$91="KG",MAX(0,ROUNDDOWN(MAX(0,AD193-AD195)/100,0)*100-Inputs!$C$115),ROUNDDOWN(MAX(0,AD193-AD195)/100,0)*100)</f>
        <v>3278900</v>
      </c>
      <c r="AE197" s="23">
        <f>IF(Inputs!$C$91="KG",MAX(0,ROUNDDOWN(MAX(0,AE193-AE195)/100,0)*100-Inputs!$C$115),ROUNDDOWN(MAX(0,AE193-AE195)/100,0)*100)</f>
        <v>1696800</v>
      </c>
    </row>
    <row r="198">
      <c r="A198" s="6" t="inlineStr">
        <is>
          <t xml:space="preserve">Trade tax</t>
        </is>
      </c>
      <c r="B198" s="10" t="inlineStr">
        <is>
          <t xml:space="preserve">€</t>
        </is>
      </c>
      <c r="F198" s="23">
        <f>F197*Inputs!$C$114*Inputs!$C$92</f>
        <v>0</v>
      </c>
      <c r="G198" s="23">
        <f>G197*Inputs!$C$114*Inputs!$C$92</f>
        <v>0</v>
      </c>
      <c r="H198" s="23">
        <f>H197*Inputs!$C$114*Inputs!$C$92</f>
        <v>0</v>
      </c>
      <c r="I198" s="23">
        <f>I197*Inputs!$C$114*Inputs!$C$92</f>
        <v>0</v>
      </c>
      <c r="J198" s="23">
        <f>J197*Inputs!$C$114*Inputs!$C$92</f>
        <v>0</v>
      </c>
      <c r="K198" s="23">
        <f>K197*Inputs!$C$114*Inputs!$C$92</f>
        <v>0</v>
      </c>
      <c r="L198" s="23">
        <f>L197*Inputs!$C$114*Inputs!$C$92</f>
        <v>0</v>
      </c>
      <c r="M198" s="23">
        <f>M197*Inputs!$C$114*Inputs!$C$92</f>
        <v>0</v>
      </c>
      <c r="N198" s="23">
        <f>N197*Inputs!$C$114*Inputs!$C$92</f>
        <v>0</v>
      </c>
      <c r="O198" s="23">
        <f>O197*Inputs!$C$114*Inputs!$C$92</f>
        <v>0</v>
      </c>
      <c r="P198" s="23">
        <f>P197*Inputs!$C$114*Inputs!$C$92</f>
        <v>0</v>
      </c>
      <c r="Q198" s="23">
        <f>Q197*Inputs!$C$114*Inputs!$C$92</f>
        <v>0</v>
      </c>
      <c r="R198" s="23">
        <f>R197*Inputs!$C$114*Inputs!$C$92</f>
        <v>0</v>
      </c>
      <c r="S198" s="23">
        <f>S197*Inputs!$C$114*Inputs!$C$92</f>
        <v>0</v>
      </c>
      <c r="T198" s="23">
        <f>T197*Inputs!$C$114*Inputs!$C$92</f>
        <v>0</v>
      </c>
      <c r="U198" s="23">
        <f>U197*Inputs!$C$114*Inputs!$C$92</f>
        <v>0</v>
      </c>
      <c r="V198" s="23">
        <f>V197*Inputs!$C$114*Inputs!$C$92</f>
        <v>14896.000000000002</v>
      </c>
      <c r="W198" s="23">
        <f>W197*Inputs!$C$114*Inputs!$C$92</f>
        <v>117446.00000000001</v>
      </c>
      <c r="X198" s="23">
        <f>X197*Inputs!$C$114*Inputs!$C$92</f>
        <v>119966.00000000001</v>
      </c>
      <c r="Y198" s="23">
        <f>Y197*Inputs!$C$114*Inputs!$C$92</f>
        <v>122472.00000000001</v>
      </c>
      <c r="Z198" s="23">
        <f>Z197*Inputs!$C$114*Inputs!$C$92</f>
        <v>120400.00000000001</v>
      </c>
      <c r="AA198" s="23">
        <f>AA197*Inputs!$C$114*Inputs!$C$92</f>
        <v>346556.00000000006</v>
      </c>
      <c r="AB198" s="23">
        <f>AB197*Inputs!$C$114*Inputs!$C$92</f>
        <v>457744.00000000006</v>
      </c>
      <c r="AC198" s="23">
        <f>AC197*Inputs!$C$114*Inputs!$C$92</f>
        <v>463288.00000000006</v>
      </c>
      <c r="AD198" s="23">
        <f>AD197*Inputs!$C$114*Inputs!$C$92</f>
        <v>459046.00000000006</v>
      </c>
      <c r="AE198" s="23">
        <f>AE197*Inputs!$C$114*Inputs!$C$92</f>
        <v>237552.00000000003</v>
      </c>
    </row>
    <row r="199">
      <c r="A199" s="6" t="inlineStr">
        <is>
          <t xml:space="preserve">Corporate loss carry-forward at the start (GmbH)</t>
        </is>
      </c>
      <c r="B199" s="10" t="inlineStr">
        <is>
          <t xml:space="preserve">€</t>
        </is>
      </c>
      <c r="E199" s="9">
        <v>0</v>
      </c>
      <c r="F199" s="23">
        <f>E202</f>
        <v>0</v>
      </c>
      <c r="G199" s="23">
        <f>F202</f>
        <v>0</v>
      </c>
      <c r="H199" s="23">
        <f>G202</f>
        <v>0</v>
      </c>
      <c r="I199" s="23">
        <f>H202</f>
        <v>0</v>
      </c>
      <c r="J199" s="23">
        <f>I202</f>
        <v>0</v>
      </c>
      <c r="K199" s="23">
        <f>J202</f>
        <v>0</v>
      </c>
      <c r="L199" s="23">
        <f>K202</f>
        <v>0</v>
      </c>
      <c r="M199" s="23">
        <f>L202</f>
        <v>0</v>
      </c>
      <c r="N199" s="23">
        <f>M202</f>
        <v>0</v>
      </c>
      <c r="O199" s="23">
        <f>N202</f>
        <v>0</v>
      </c>
      <c r="P199" s="23">
        <f>O202</f>
        <v>0</v>
      </c>
      <c r="Q199" s="23">
        <f>P202</f>
        <v>0</v>
      </c>
      <c r="R199" s="23">
        <f>Q202</f>
        <v>0</v>
      </c>
      <c r="S199" s="23">
        <f>R202</f>
        <v>0</v>
      </c>
      <c r="T199" s="23">
        <f>S202</f>
        <v>0</v>
      </c>
      <c r="U199" s="23">
        <f>T202</f>
        <v>0</v>
      </c>
      <c r="V199" s="23">
        <f>U202</f>
        <v>0</v>
      </c>
      <c r="W199" s="23">
        <f>V202</f>
        <v>0</v>
      </c>
      <c r="X199" s="23">
        <f>W202</f>
        <v>0</v>
      </c>
      <c r="Y199" s="23">
        <f>X202</f>
        <v>0</v>
      </c>
      <c r="Z199" s="23">
        <f>Y202</f>
        <v>0</v>
      </c>
      <c r="AA199" s="23">
        <f>Z202</f>
        <v>0</v>
      </c>
      <c r="AB199" s="23">
        <f>AA202</f>
        <v>0</v>
      </c>
      <c r="AC199" s="23">
        <f>AB202</f>
        <v>0</v>
      </c>
      <c r="AD199" s="23">
        <f>AC202</f>
        <v>0</v>
      </c>
      <c r="AE199" s="23">
        <f>AD202</f>
        <v>0</v>
      </c>
    </row>
    <row r="200">
      <c r="A200" s="6" t="inlineStr">
        <is>
          <t xml:space="preserve">Corporate tax: share of profit above €1m that losses may offset</t>
        </is>
      </c>
      <c r="F200" s="24">
        <f>IF(Timing!F59&lt;=Inputs!$C$123,Inputs!$C$121,Inputs!$C$122)</f>
        <v>0.6</v>
      </c>
      <c r="G200" s="24">
        <f>IF(Timing!G59&lt;=Inputs!$C$123,Inputs!$C$121,Inputs!$C$122)</f>
        <v>0.6</v>
      </c>
      <c r="H200" s="24">
        <f>IF(Timing!H59&lt;=Inputs!$C$123,Inputs!$C$121,Inputs!$C$122)</f>
        <v>0.6</v>
      </c>
      <c r="I200" s="24">
        <f>IF(Timing!I59&lt;=Inputs!$C$123,Inputs!$C$121,Inputs!$C$122)</f>
        <v>0.6</v>
      </c>
      <c r="J200" s="24">
        <f>IF(Timing!J59&lt;=Inputs!$C$123,Inputs!$C$121,Inputs!$C$122)</f>
        <v>0.6</v>
      </c>
      <c r="K200" s="24">
        <f>IF(Timing!K59&lt;=Inputs!$C$123,Inputs!$C$121,Inputs!$C$122)</f>
        <v>0.6</v>
      </c>
      <c r="L200" s="24">
        <f>IF(Timing!L59&lt;=Inputs!$C$123,Inputs!$C$121,Inputs!$C$122)</f>
        <v>0.6</v>
      </c>
      <c r="M200" s="24">
        <f>IF(Timing!M59&lt;=Inputs!$C$123,Inputs!$C$121,Inputs!$C$122)</f>
        <v>0.6</v>
      </c>
      <c r="N200" s="24">
        <f>IF(Timing!N59&lt;=Inputs!$C$123,Inputs!$C$121,Inputs!$C$122)</f>
        <v>0.6</v>
      </c>
      <c r="O200" s="24">
        <f>IF(Timing!O59&lt;=Inputs!$C$123,Inputs!$C$121,Inputs!$C$122)</f>
        <v>0.6</v>
      </c>
      <c r="P200" s="24">
        <f>IF(Timing!P59&lt;=Inputs!$C$123,Inputs!$C$121,Inputs!$C$122)</f>
        <v>0.6</v>
      </c>
      <c r="Q200" s="24">
        <f>IF(Timing!Q59&lt;=Inputs!$C$123,Inputs!$C$121,Inputs!$C$122)</f>
        <v>0.6</v>
      </c>
      <c r="R200" s="24">
        <f>IF(Timing!R59&lt;=Inputs!$C$123,Inputs!$C$121,Inputs!$C$122)</f>
        <v>0.6</v>
      </c>
      <c r="S200" s="24">
        <f>IF(Timing!S59&lt;=Inputs!$C$123,Inputs!$C$121,Inputs!$C$122)</f>
        <v>0.6</v>
      </c>
      <c r="T200" s="24">
        <f>IF(Timing!T59&lt;=Inputs!$C$123,Inputs!$C$121,Inputs!$C$122)</f>
        <v>0.6</v>
      </c>
      <c r="U200" s="24">
        <f>IF(Timing!U59&lt;=Inputs!$C$123,Inputs!$C$121,Inputs!$C$122)</f>
        <v>0.6</v>
      </c>
      <c r="V200" s="24">
        <f>IF(Timing!V59&lt;=Inputs!$C$123,Inputs!$C$121,Inputs!$C$122)</f>
        <v>0.6</v>
      </c>
      <c r="W200" s="24">
        <f>IF(Timing!W59&lt;=Inputs!$C$123,Inputs!$C$121,Inputs!$C$122)</f>
        <v>0.6</v>
      </c>
      <c r="X200" s="24">
        <f>IF(Timing!X59&lt;=Inputs!$C$123,Inputs!$C$121,Inputs!$C$122)</f>
        <v>0.6</v>
      </c>
      <c r="Y200" s="24">
        <f>IF(Timing!Y59&lt;=Inputs!$C$123,Inputs!$C$121,Inputs!$C$122)</f>
        <v>0.6</v>
      </c>
      <c r="Z200" s="24">
        <f>IF(Timing!Z59&lt;=Inputs!$C$123,Inputs!$C$121,Inputs!$C$122)</f>
        <v>0.6</v>
      </c>
      <c r="AA200" s="24">
        <f>IF(Timing!AA59&lt;=Inputs!$C$123,Inputs!$C$121,Inputs!$C$122)</f>
        <v>0.6</v>
      </c>
      <c r="AB200" s="24">
        <f>IF(Timing!AB59&lt;=Inputs!$C$123,Inputs!$C$121,Inputs!$C$122)</f>
        <v>0.6</v>
      </c>
      <c r="AC200" s="24">
        <f>IF(Timing!AC59&lt;=Inputs!$C$123,Inputs!$C$121,Inputs!$C$122)</f>
        <v>0.6</v>
      </c>
      <c r="AD200" s="24">
        <f>IF(Timing!AD59&lt;=Inputs!$C$123,Inputs!$C$121,Inputs!$C$122)</f>
        <v>0.6</v>
      </c>
      <c r="AE200" s="24">
        <f>IF(Timing!AE59&lt;=Inputs!$C$123,Inputs!$C$121,Inputs!$C$122)</f>
        <v>0.6</v>
      </c>
    </row>
    <row r="201">
      <c r="A201" s="6" t="inlineStr">
        <is>
          <t xml:space="preserve">Corporate losses used</t>
        </is>
      </c>
      <c r="B201" s="10" t="inlineStr">
        <is>
          <t xml:space="preserve">€</t>
        </is>
      </c>
      <c r="F201" s="23">
        <f>IF(AND(Inputs!$C$91="GmbH",F191&gt;0),MIN(F199,MIN(F191,Inputs!$C$119)+F200*MAX(0,F191-Inputs!$C$119)),0)</f>
        <v>0</v>
      </c>
      <c r="G201" s="23">
        <f>IF(AND(Inputs!$C$91="GmbH",G191&gt;0),MIN(G199,MIN(G191,Inputs!$C$119)+G200*MAX(0,G191-Inputs!$C$119)),0)</f>
        <v>0</v>
      </c>
      <c r="H201" s="23">
        <f>IF(AND(Inputs!$C$91="GmbH",H191&gt;0),MIN(H199,MIN(H191,Inputs!$C$119)+H200*MAX(0,H191-Inputs!$C$119)),0)</f>
        <v>0</v>
      </c>
      <c r="I201" s="23">
        <f>IF(AND(Inputs!$C$91="GmbH",I191&gt;0),MIN(I199,MIN(I191,Inputs!$C$119)+I200*MAX(0,I191-Inputs!$C$119)),0)</f>
        <v>0</v>
      </c>
      <c r="J201" s="23">
        <f>IF(AND(Inputs!$C$91="GmbH",J191&gt;0),MIN(J199,MIN(J191,Inputs!$C$119)+J200*MAX(0,J191-Inputs!$C$119)),0)</f>
        <v>0</v>
      </c>
      <c r="K201" s="23">
        <f>IF(AND(Inputs!$C$91="GmbH",K191&gt;0),MIN(K199,MIN(K191,Inputs!$C$119)+K200*MAX(0,K191-Inputs!$C$119)),0)</f>
        <v>0</v>
      </c>
      <c r="L201" s="23">
        <f>IF(AND(Inputs!$C$91="GmbH",L191&gt;0),MIN(L199,MIN(L191,Inputs!$C$119)+L200*MAX(0,L191-Inputs!$C$119)),0)</f>
        <v>0</v>
      </c>
      <c r="M201" s="23">
        <f>IF(AND(Inputs!$C$91="GmbH",M191&gt;0),MIN(M199,MIN(M191,Inputs!$C$119)+M200*MAX(0,M191-Inputs!$C$119)),0)</f>
        <v>0</v>
      </c>
      <c r="N201" s="23">
        <f>IF(AND(Inputs!$C$91="GmbH",N191&gt;0),MIN(N199,MIN(N191,Inputs!$C$119)+N200*MAX(0,N191-Inputs!$C$119)),0)</f>
        <v>0</v>
      </c>
      <c r="O201" s="23">
        <f>IF(AND(Inputs!$C$91="GmbH",O191&gt;0),MIN(O199,MIN(O191,Inputs!$C$119)+O200*MAX(0,O191-Inputs!$C$119)),0)</f>
        <v>0</v>
      </c>
      <c r="P201" s="23">
        <f>IF(AND(Inputs!$C$91="GmbH",P191&gt;0),MIN(P199,MIN(P191,Inputs!$C$119)+P200*MAX(0,P191-Inputs!$C$119)),0)</f>
        <v>0</v>
      </c>
      <c r="Q201" s="23">
        <f>IF(AND(Inputs!$C$91="GmbH",Q191&gt;0),MIN(Q199,MIN(Q191,Inputs!$C$119)+Q200*MAX(0,Q191-Inputs!$C$119)),0)</f>
        <v>0</v>
      </c>
      <c r="R201" s="23">
        <f>IF(AND(Inputs!$C$91="GmbH",R191&gt;0),MIN(R199,MIN(R191,Inputs!$C$119)+R200*MAX(0,R191-Inputs!$C$119)),0)</f>
        <v>0</v>
      </c>
      <c r="S201" s="23">
        <f>IF(AND(Inputs!$C$91="GmbH",S191&gt;0),MIN(S199,MIN(S191,Inputs!$C$119)+S200*MAX(0,S191-Inputs!$C$119)),0)</f>
        <v>0</v>
      </c>
      <c r="T201" s="23">
        <f>IF(AND(Inputs!$C$91="GmbH",T191&gt;0),MIN(T199,MIN(T191,Inputs!$C$119)+T200*MAX(0,T191-Inputs!$C$119)),0)</f>
        <v>0</v>
      </c>
      <c r="U201" s="23">
        <f>IF(AND(Inputs!$C$91="GmbH",U191&gt;0),MIN(U199,MIN(U191,Inputs!$C$119)+U200*MAX(0,U191-Inputs!$C$119)),0)</f>
        <v>0</v>
      </c>
      <c r="V201" s="23">
        <f>IF(AND(Inputs!$C$91="GmbH",V191&gt;0),MIN(V199,MIN(V191,Inputs!$C$119)+V200*MAX(0,V191-Inputs!$C$119)),0)</f>
        <v>0</v>
      </c>
      <c r="W201" s="23">
        <f>IF(AND(Inputs!$C$91="GmbH",W191&gt;0),MIN(W199,MIN(W191,Inputs!$C$119)+W200*MAX(0,W191-Inputs!$C$119)),0)</f>
        <v>0</v>
      </c>
      <c r="X201" s="23">
        <f>IF(AND(Inputs!$C$91="GmbH",X191&gt;0),MIN(X199,MIN(X191,Inputs!$C$119)+X200*MAX(0,X191-Inputs!$C$119)),0)</f>
        <v>0</v>
      </c>
      <c r="Y201" s="23">
        <f>IF(AND(Inputs!$C$91="GmbH",Y191&gt;0),MIN(Y199,MIN(Y191,Inputs!$C$119)+Y200*MAX(0,Y191-Inputs!$C$119)),0)</f>
        <v>0</v>
      </c>
      <c r="Z201" s="23">
        <f>IF(AND(Inputs!$C$91="GmbH",Z191&gt;0),MIN(Z199,MIN(Z191,Inputs!$C$119)+Z200*MAX(0,Z191-Inputs!$C$119)),0)</f>
        <v>0</v>
      </c>
      <c r="AA201" s="23">
        <f>IF(AND(Inputs!$C$91="GmbH",AA191&gt;0),MIN(AA199,MIN(AA191,Inputs!$C$119)+AA200*MAX(0,AA191-Inputs!$C$119)),0)</f>
        <v>0</v>
      </c>
      <c r="AB201" s="23">
        <f>IF(AND(Inputs!$C$91="GmbH",AB191&gt;0),MIN(AB199,MIN(AB191,Inputs!$C$119)+AB200*MAX(0,AB191-Inputs!$C$119)),0)</f>
        <v>0</v>
      </c>
      <c r="AC201" s="23">
        <f>IF(AND(Inputs!$C$91="GmbH",AC191&gt;0),MIN(AC199,MIN(AC191,Inputs!$C$119)+AC200*MAX(0,AC191-Inputs!$C$119)),0)</f>
        <v>0</v>
      </c>
      <c r="AD201" s="23">
        <f>IF(AND(Inputs!$C$91="GmbH",AD191&gt;0),MIN(AD199,MIN(AD191,Inputs!$C$119)+AD200*MAX(0,AD191-Inputs!$C$119)),0)</f>
        <v>0</v>
      </c>
      <c r="AE201" s="23">
        <f>IF(AND(Inputs!$C$91="GmbH",AE191&gt;0),MIN(AE199,MIN(AE191,Inputs!$C$119)+AE200*MAX(0,AE191-Inputs!$C$119)),0)</f>
        <v>0</v>
      </c>
    </row>
    <row r="202">
      <c r="A202" s="6" t="inlineStr">
        <is>
          <t xml:space="preserve">Corporate loss carry-forward at the year end</t>
        </is>
      </c>
      <c r="B202" s="10" t="inlineStr">
        <is>
          <t xml:space="preserve">€</t>
        </is>
      </c>
      <c r="F202" s="23">
        <f>IF(Inputs!$C$91="GmbH",F199-F201+MAX(0,-F191),0)</f>
        <v>0</v>
      </c>
      <c r="G202" s="23">
        <f>IF(Inputs!$C$91="GmbH",G199-G201+MAX(0,-G191),0)</f>
        <v>0</v>
      </c>
      <c r="H202" s="23">
        <f>IF(Inputs!$C$91="GmbH",H199-H201+MAX(0,-H191),0)</f>
        <v>0</v>
      </c>
      <c r="I202" s="23">
        <f>IF(Inputs!$C$91="GmbH",I199-I201+MAX(0,-I191),0)</f>
        <v>0</v>
      </c>
      <c r="J202" s="23">
        <f>IF(Inputs!$C$91="GmbH",J199-J201+MAX(0,-J191),0)</f>
        <v>0</v>
      </c>
      <c r="K202" s="23">
        <f>IF(Inputs!$C$91="GmbH",K199-K201+MAX(0,-K191),0)</f>
        <v>0</v>
      </c>
      <c r="L202" s="23">
        <f>IF(Inputs!$C$91="GmbH",L199-L201+MAX(0,-L191),0)</f>
        <v>0</v>
      </c>
      <c r="M202" s="23">
        <f>IF(Inputs!$C$91="GmbH",M199-M201+MAX(0,-M191),0)</f>
        <v>0</v>
      </c>
      <c r="N202" s="23">
        <f>IF(Inputs!$C$91="GmbH",N199-N201+MAX(0,-N191),0)</f>
        <v>0</v>
      </c>
      <c r="O202" s="23">
        <f>IF(Inputs!$C$91="GmbH",O199-O201+MAX(0,-O191),0)</f>
        <v>0</v>
      </c>
      <c r="P202" s="23">
        <f>IF(Inputs!$C$91="GmbH",P199-P201+MAX(0,-P191),0)</f>
        <v>0</v>
      </c>
      <c r="Q202" s="23">
        <f>IF(Inputs!$C$91="GmbH",Q199-Q201+MAX(0,-Q191),0)</f>
        <v>0</v>
      </c>
      <c r="R202" s="23">
        <f>IF(Inputs!$C$91="GmbH",R199-R201+MAX(0,-R191),0)</f>
        <v>0</v>
      </c>
      <c r="S202" s="23">
        <f>IF(Inputs!$C$91="GmbH",S199-S201+MAX(0,-S191),0)</f>
        <v>0</v>
      </c>
      <c r="T202" s="23">
        <f>IF(Inputs!$C$91="GmbH",T199-T201+MAX(0,-T191),0)</f>
        <v>0</v>
      </c>
      <c r="U202" s="23">
        <f>IF(Inputs!$C$91="GmbH",U199-U201+MAX(0,-U191),0)</f>
        <v>0</v>
      </c>
      <c r="V202" s="23">
        <f>IF(Inputs!$C$91="GmbH",V199-V201+MAX(0,-V191),0)</f>
        <v>0</v>
      </c>
      <c r="W202" s="23">
        <f>IF(Inputs!$C$91="GmbH",W199-W201+MAX(0,-W191),0)</f>
        <v>0</v>
      </c>
      <c r="X202" s="23">
        <f>IF(Inputs!$C$91="GmbH",X199-X201+MAX(0,-X191),0)</f>
        <v>0</v>
      </c>
      <c r="Y202" s="23">
        <f>IF(Inputs!$C$91="GmbH",Y199-Y201+MAX(0,-Y191),0)</f>
        <v>0</v>
      </c>
      <c r="Z202" s="23">
        <f>IF(Inputs!$C$91="GmbH",Z199-Z201+MAX(0,-Z191),0)</f>
        <v>0</v>
      </c>
      <c r="AA202" s="23">
        <f>IF(Inputs!$C$91="GmbH",AA199-AA201+MAX(0,-AA191),0)</f>
        <v>0</v>
      </c>
      <c r="AB202" s="23">
        <f>IF(Inputs!$C$91="GmbH",AB199-AB201+MAX(0,-AB191),0)</f>
        <v>0</v>
      </c>
      <c r="AC202" s="23">
        <f>IF(Inputs!$C$91="GmbH",AC199-AC201+MAX(0,-AC191),0)</f>
        <v>0</v>
      </c>
      <c r="AD202" s="23">
        <f>IF(Inputs!$C$91="GmbH",AD199-AD201+MAX(0,-AD191),0)</f>
        <v>0</v>
      </c>
      <c r="AE202" s="23">
        <f>IF(Inputs!$C$91="GmbH",AE199-AE201+MAX(0,-AE191),0)</f>
        <v>0</v>
      </c>
    </row>
    <row r="203">
      <c r="A203" s="6" t="inlineStr">
        <is>
          <t xml:space="preserve">Corporate taxable income</t>
        </is>
      </c>
      <c r="B203" s="10" t="inlineStr">
        <is>
          <t xml:space="preserve">€</t>
        </is>
      </c>
      <c r="F203" s="23">
        <f>IF(Inputs!$C$91="GmbH",MAX(0,F191-F201),0)</f>
        <v>0</v>
      </c>
      <c r="G203" s="23">
        <f>IF(Inputs!$C$91="GmbH",MAX(0,G191-G201),0)</f>
        <v>0</v>
      </c>
      <c r="H203" s="23">
        <f>IF(Inputs!$C$91="GmbH",MAX(0,H191-H201),0)</f>
        <v>0</v>
      </c>
      <c r="I203" s="23">
        <f>IF(Inputs!$C$91="GmbH",MAX(0,I191-I201),0)</f>
        <v>0</v>
      </c>
      <c r="J203" s="23">
        <f>IF(Inputs!$C$91="GmbH",MAX(0,J191-J201),0)</f>
        <v>0</v>
      </c>
      <c r="K203" s="23">
        <f>IF(Inputs!$C$91="GmbH",MAX(0,K191-K201),0)</f>
        <v>0</v>
      </c>
      <c r="L203" s="23">
        <f>IF(Inputs!$C$91="GmbH",MAX(0,L191-L201),0)</f>
        <v>0</v>
      </c>
      <c r="M203" s="23">
        <f>IF(Inputs!$C$91="GmbH",MAX(0,M191-M201),0)</f>
        <v>0</v>
      </c>
      <c r="N203" s="23">
        <f>IF(Inputs!$C$91="GmbH",MAX(0,N191-N201),0)</f>
        <v>0</v>
      </c>
      <c r="O203" s="23">
        <f>IF(Inputs!$C$91="GmbH",MAX(0,O191-O201),0)</f>
        <v>0</v>
      </c>
      <c r="P203" s="23">
        <f>IF(Inputs!$C$91="GmbH",MAX(0,P191-P201),0)</f>
        <v>0</v>
      </c>
      <c r="Q203" s="23">
        <f>IF(Inputs!$C$91="GmbH",MAX(0,Q191-Q201),0)</f>
        <v>0</v>
      </c>
      <c r="R203" s="23">
        <f>IF(Inputs!$C$91="GmbH",MAX(0,R191-R201),0)</f>
        <v>0</v>
      </c>
      <c r="S203" s="23">
        <f>IF(Inputs!$C$91="GmbH",MAX(0,S191-S201),0)</f>
        <v>0</v>
      </c>
      <c r="T203" s="23">
        <f>IF(Inputs!$C$91="GmbH",MAX(0,T191-T201),0)</f>
        <v>0</v>
      </c>
      <c r="U203" s="23">
        <f>IF(Inputs!$C$91="GmbH",MAX(0,U191-U201),0)</f>
        <v>0</v>
      </c>
      <c r="V203" s="23">
        <f>IF(Inputs!$C$91="GmbH",MAX(0,V191-V201),0)</f>
        <v>0</v>
      </c>
      <c r="W203" s="23">
        <f>IF(Inputs!$C$91="GmbH",MAX(0,W191-W201),0)</f>
        <v>0</v>
      </c>
      <c r="X203" s="23">
        <f>IF(Inputs!$C$91="GmbH",MAX(0,X191-X201),0)</f>
        <v>0</v>
      </c>
      <c r="Y203" s="23">
        <f>IF(Inputs!$C$91="GmbH",MAX(0,Y191-Y201),0)</f>
        <v>0</v>
      </c>
      <c r="Z203" s="23">
        <f>IF(Inputs!$C$91="GmbH",MAX(0,Z191-Z201),0)</f>
        <v>0</v>
      </c>
      <c r="AA203" s="23">
        <f>IF(Inputs!$C$91="GmbH",MAX(0,AA191-AA201),0)</f>
        <v>0</v>
      </c>
      <c r="AB203" s="23">
        <f>IF(Inputs!$C$91="GmbH",MAX(0,AB191-AB201),0)</f>
        <v>0</v>
      </c>
      <c r="AC203" s="23">
        <f>IF(Inputs!$C$91="GmbH",MAX(0,AC191-AC201),0)</f>
        <v>0</v>
      </c>
      <c r="AD203" s="23">
        <f>IF(Inputs!$C$91="GmbH",MAX(0,AD191-AD201),0)</f>
        <v>0</v>
      </c>
      <c r="AE203" s="23">
        <f>IF(Inputs!$C$91="GmbH",MAX(0,AE191-AE201),0)</f>
        <v>0</v>
      </c>
    </row>
    <row r="204">
      <c r="A204" s="6" t="inlineStr">
        <is>
          <t xml:space="preserve">Corporate tax rate (§ 23 KStG)</t>
        </is>
      </c>
      <c r="F204" s="24">
        <f>IF(Inputs!$C$91="GmbH",MAX(Inputs!$C$125,Inputs!$C$124-Inputs!$C$126*MAX(0,Timing!F59-Inputs!$C$127)),0)</f>
        <v>0</v>
      </c>
      <c r="G204" s="24">
        <f>IF(Inputs!$C$91="GmbH",MAX(Inputs!$C$125,Inputs!$C$124-Inputs!$C$126*MAX(0,Timing!G59-Inputs!$C$127)),0)</f>
        <v>0</v>
      </c>
      <c r="H204" s="24">
        <f>IF(Inputs!$C$91="GmbH",MAX(Inputs!$C$125,Inputs!$C$124-Inputs!$C$126*MAX(0,Timing!H59-Inputs!$C$127)),0)</f>
        <v>0</v>
      </c>
      <c r="I204" s="24">
        <f>IF(Inputs!$C$91="GmbH",MAX(Inputs!$C$125,Inputs!$C$124-Inputs!$C$126*MAX(0,Timing!I59-Inputs!$C$127)),0)</f>
        <v>0</v>
      </c>
      <c r="J204" s="24">
        <f>IF(Inputs!$C$91="GmbH",MAX(Inputs!$C$125,Inputs!$C$124-Inputs!$C$126*MAX(0,Timing!J59-Inputs!$C$127)),0)</f>
        <v>0</v>
      </c>
      <c r="K204" s="24">
        <f>IF(Inputs!$C$91="GmbH",MAX(Inputs!$C$125,Inputs!$C$124-Inputs!$C$126*MAX(0,Timing!K59-Inputs!$C$127)),0)</f>
        <v>0</v>
      </c>
      <c r="L204" s="24">
        <f>IF(Inputs!$C$91="GmbH",MAX(Inputs!$C$125,Inputs!$C$124-Inputs!$C$126*MAX(0,Timing!L59-Inputs!$C$127)),0)</f>
        <v>0</v>
      </c>
      <c r="M204" s="24">
        <f>IF(Inputs!$C$91="GmbH",MAX(Inputs!$C$125,Inputs!$C$124-Inputs!$C$126*MAX(0,Timing!M59-Inputs!$C$127)),0)</f>
        <v>0</v>
      </c>
      <c r="N204" s="24">
        <f>IF(Inputs!$C$91="GmbH",MAX(Inputs!$C$125,Inputs!$C$124-Inputs!$C$126*MAX(0,Timing!N59-Inputs!$C$127)),0)</f>
        <v>0</v>
      </c>
      <c r="O204" s="24">
        <f>IF(Inputs!$C$91="GmbH",MAX(Inputs!$C$125,Inputs!$C$124-Inputs!$C$126*MAX(0,Timing!O59-Inputs!$C$127)),0)</f>
        <v>0</v>
      </c>
      <c r="P204" s="24">
        <f>IF(Inputs!$C$91="GmbH",MAX(Inputs!$C$125,Inputs!$C$124-Inputs!$C$126*MAX(0,Timing!P59-Inputs!$C$127)),0)</f>
        <v>0</v>
      </c>
      <c r="Q204" s="24">
        <f>IF(Inputs!$C$91="GmbH",MAX(Inputs!$C$125,Inputs!$C$124-Inputs!$C$126*MAX(0,Timing!Q59-Inputs!$C$127)),0)</f>
        <v>0</v>
      </c>
      <c r="R204" s="24">
        <f>IF(Inputs!$C$91="GmbH",MAX(Inputs!$C$125,Inputs!$C$124-Inputs!$C$126*MAX(0,Timing!R59-Inputs!$C$127)),0)</f>
        <v>0</v>
      </c>
      <c r="S204" s="24">
        <f>IF(Inputs!$C$91="GmbH",MAX(Inputs!$C$125,Inputs!$C$124-Inputs!$C$126*MAX(0,Timing!S59-Inputs!$C$127)),0)</f>
        <v>0</v>
      </c>
      <c r="T204" s="24">
        <f>IF(Inputs!$C$91="GmbH",MAX(Inputs!$C$125,Inputs!$C$124-Inputs!$C$126*MAX(0,Timing!T59-Inputs!$C$127)),0)</f>
        <v>0</v>
      </c>
      <c r="U204" s="24">
        <f>IF(Inputs!$C$91="GmbH",MAX(Inputs!$C$125,Inputs!$C$124-Inputs!$C$126*MAX(0,Timing!U59-Inputs!$C$127)),0)</f>
        <v>0</v>
      </c>
      <c r="V204" s="24">
        <f>IF(Inputs!$C$91="GmbH",MAX(Inputs!$C$125,Inputs!$C$124-Inputs!$C$126*MAX(0,Timing!V59-Inputs!$C$127)),0)</f>
        <v>0</v>
      </c>
      <c r="W204" s="24">
        <f>IF(Inputs!$C$91="GmbH",MAX(Inputs!$C$125,Inputs!$C$124-Inputs!$C$126*MAX(0,Timing!W59-Inputs!$C$127)),0)</f>
        <v>0</v>
      </c>
      <c r="X204" s="24">
        <f>IF(Inputs!$C$91="GmbH",MAX(Inputs!$C$125,Inputs!$C$124-Inputs!$C$126*MAX(0,Timing!X59-Inputs!$C$127)),0)</f>
        <v>0</v>
      </c>
      <c r="Y204" s="24">
        <f>IF(Inputs!$C$91="GmbH",MAX(Inputs!$C$125,Inputs!$C$124-Inputs!$C$126*MAX(0,Timing!Y59-Inputs!$C$127)),0)</f>
        <v>0</v>
      </c>
      <c r="Z204" s="24">
        <f>IF(Inputs!$C$91="GmbH",MAX(Inputs!$C$125,Inputs!$C$124-Inputs!$C$126*MAX(0,Timing!Z59-Inputs!$C$127)),0)</f>
        <v>0</v>
      </c>
      <c r="AA204" s="24">
        <f>IF(Inputs!$C$91="GmbH",MAX(Inputs!$C$125,Inputs!$C$124-Inputs!$C$126*MAX(0,Timing!AA59-Inputs!$C$127)),0)</f>
        <v>0</v>
      </c>
      <c r="AB204" s="24">
        <f>IF(Inputs!$C$91="GmbH",MAX(Inputs!$C$125,Inputs!$C$124-Inputs!$C$126*MAX(0,Timing!AB59-Inputs!$C$127)),0)</f>
        <v>0</v>
      </c>
      <c r="AC204" s="24">
        <f>IF(Inputs!$C$91="GmbH",MAX(Inputs!$C$125,Inputs!$C$124-Inputs!$C$126*MAX(0,Timing!AC59-Inputs!$C$127)),0)</f>
        <v>0</v>
      </c>
      <c r="AD204" s="24">
        <f>IF(Inputs!$C$91="GmbH",MAX(Inputs!$C$125,Inputs!$C$124-Inputs!$C$126*MAX(0,Timing!AD59-Inputs!$C$127)),0)</f>
        <v>0</v>
      </c>
      <c r="AE204" s="24">
        <f>IF(Inputs!$C$91="GmbH",MAX(Inputs!$C$125,Inputs!$C$124-Inputs!$C$126*MAX(0,Timing!AE59-Inputs!$C$127)),0)</f>
        <v>0</v>
      </c>
    </row>
    <row r="205">
      <c r="A205" s="6" t="inlineStr">
        <is>
          <t xml:space="preserve">Corporate tax</t>
        </is>
      </c>
      <c r="B205" s="10" t="inlineStr">
        <is>
          <t xml:space="preserve">€</t>
        </is>
      </c>
      <c r="F205" s="23">
        <f>F203*F204</f>
        <v>0</v>
      </c>
      <c r="G205" s="23">
        <f>G203*G204</f>
        <v>0</v>
      </c>
      <c r="H205" s="23">
        <f>H203*H204</f>
        <v>0</v>
      </c>
      <c r="I205" s="23">
        <f>I203*I204</f>
        <v>0</v>
      </c>
      <c r="J205" s="23">
        <f>J203*J204</f>
        <v>0</v>
      </c>
      <c r="K205" s="23">
        <f>K203*K204</f>
        <v>0</v>
      </c>
      <c r="L205" s="23">
        <f>L203*L204</f>
        <v>0</v>
      </c>
      <c r="M205" s="23">
        <f>M203*M204</f>
        <v>0</v>
      </c>
      <c r="N205" s="23">
        <f>N203*N204</f>
        <v>0</v>
      </c>
      <c r="O205" s="23">
        <f>O203*O204</f>
        <v>0</v>
      </c>
      <c r="P205" s="23">
        <f>P203*P204</f>
        <v>0</v>
      </c>
      <c r="Q205" s="23">
        <f>Q203*Q204</f>
        <v>0</v>
      </c>
      <c r="R205" s="23">
        <f>R203*R204</f>
        <v>0</v>
      </c>
      <c r="S205" s="23">
        <f>S203*S204</f>
        <v>0</v>
      </c>
      <c r="T205" s="23">
        <f>T203*T204</f>
        <v>0</v>
      </c>
      <c r="U205" s="23">
        <f>U203*U204</f>
        <v>0</v>
      </c>
      <c r="V205" s="23">
        <f>V203*V204</f>
        <v>0</v>
      </c>
      <c r="W205" s="23">
        <f>W203*W204</f>
        <v>0</v>
      </c>
      <c r="X205" s="23">
        <f>X203*X204</f>
        <v>0</v>
      </c>
      <c r="Y205" s="23">
        <f>Y203*Y204</f>
        <v>0</v>
      </c>
      <c r="Z205" s="23">
        <f>Z203*Z204</f>
        <v>0</v>
      </c>
      <c r="AA205" s="23">
        <f>AA203*AA204</f>
        <v>0</v>
      </c>
      <c r="AB205" s="23">
        <f>AB203*AB204</f>
        <v>0</v>
      </c>
      <c r="AC205" s="23">
        <f>AC203*AC204</f>
        <v>0</v>
      </c>
      <c r="AD205" s="23">
        <f>AD203*AD204</f>
        <v>0</v>
      </c>
      <c r="AE205" s="23">
        <f>AE203*AE204</f>
        <v>0</v>
      </c>
    </row>
    <row r="206">
      <c r="A206" s="6" t="inlineStr">
        <is>
          <t xml:space="preserve">Solidarity surcharge</t>
        </is>
      </c>
      <c r="B206" s="10" t="inlineStr">
        <is>
          <t xml:space="preserve">€</t>
        </is>
      </c>
      <c r="F206" s="23">
        <f>F205*Inputs!$C$128</f>
        <v>0</v>
      </c>
      <c r="G206" s="23">
        <f>G205*Inputs!$C$128</f>
        <v>0</v>
      </c>
      <c r="H206" s="23">
        <f>H205*Inputs!$C$128</f>
        <v>0</v>
      </c>
      <c r="I206" s="23">
        <f>I205*Inputs!$C$128</f>
        <v>0</v>
      </c>
      <c r="J206" s="23">
        <f>J205*Inputs!$C$128</f>
        <v>0</v>
      </c>
      <c r="K206" s="23">
        <f>K205*Inputs!$C$128</f>
        <v>0</v>
      </c>
      <c r="L206" s="23">
        <f>L205*Inputs!$C$128</f>
        <v>0</v>
      </c>
      <c r="M206" s="23">
        <f>M205*Inputs!$C$128</f>
        <v>0</v>
      </c>
      <c r="N206" s="23">
        <f>N205*Inputs!$C$128</f>
        <v>0</v>
      </c>
      <c r="O206" s="23">
        <f>O205*Inputs!$C$128</f>
        <v>0</v>
      </c>
      <c r="P206" s="23">
        <f>P205*Inputs!$C$128</f>
        <v>0</v>
      </c>
      <c r="Q206" s="23">
        <f>Q205*Inputs!$C$128</f>
        <v>0</v>
      </c>
      <c r="R206" s="23">
        <f>R205*Inputs!$C$128</f>
        <v>0</v>
      </c>
      <c r="S206" s="23">
        <f>S205*Inputs!$C$128</f>
        <v>0</v>
      </c>
      <c r="T206" s="23">
        <f>T205*Inputs!$C$128</f>
        <v>0</v>
      </c>
      <c r="U206" s="23">
        <f>U205*Inputs!$C$128</f>
        <v>0</v>
      </c>
      <c r="V206" s="23">
        <f>V205*Inputs!$C$128</f>
        <v>0</v>
      </c>
      <c r="W206" s="23">
        <f>W205*Inputs!$C$128</f>
        <v>0</v>
      </c>
      <c r="X206" s="23">
        <f>X205*Inputs!$C$128</f>
        <v>0</v>
      </c>
      <c r="Y206" s="23">
        <f>Y205*Inputs!$C$128</f>
        <v>0</v>
      </c>
      <c r="Z206" s="23">
        <f>Z205*Inputs!$C$128</f>
        <v>0</v>
      </c>
      <c r="AA206" s="23">
        <f>AA205*Inputs!$C$128</f>
        <v>0</v>
      </c>
      <c r="AB206" s="23">
        <f>AB205*Inputs!$C$128</f>
        <v>0</v>
      </c>
      <c r="AC206" s="23">
        <f>AC205*Inputs!$C$128</f>
        <v>0</v>
      </c>
      <c r="AD206" s="23">
        <f>AD205*Inputs!$C$128</f>
        <v>0</v>
      </c>
      <c r="AE206" s="23">
        <f>AE205*Inputs!$C$128</f>
        <v>0</v>
      </c>
    </row>
    <row r="207">
      <c r="A207" s="41" t="inlineStr">
        <is>
          <t xml:space="preserve">Taxes</t>
        </is>
      </c>
      <c r="B207" s="10" t="inlineStr">
        <is>
          <t xml:space="preserve">€</t>
        </is>
      </c>
      <c r="F207" s="42">
        <f>F198+F205+F206</f>
        <v>0</v>
      </c>
      <c r="G207" s="42">
        <f>G198+G205+G206</f>
        <v>0</v>
      </c>
      <c r="H207" s="42">
        <f>H198+H205+H206</f>
        <v>0</v>
      </c>
      <c r="I207" s="42">
        <f>I198+I205+I206</f>
        <v>0</v>
      </c>
      <c r="J207" s="42">
        <f>J198+J205+J206</f>
        <v>0</v>
      </c>
      <c r="K207" s="42">
        <f>K198+K205+K206</f>
        <v>0</v>
      </c>
      <c r="L207" s="42">
        <f>L198+L205+L206</f>
        <v>0</v>
      </c>
      <c r="M207" s="42">
        <f>M198+M205+M206</f>
        <v>0</v>
      </c>
      <c r="N207" s="42">
        <f>N198+N205+N206</f>
        <v>0</v>
      </c>
      <c r="O207" s="42">
        <f>O198+O205+O206</f>
        <v>0</v>
      </c>
      <c r="P207" s="42">
        <f>P198+P205+P206</f>
        <v>0</v>
      </c>
      <c r="Q207" s="42">
        <f>Q198+Q205+Q206</f>
        <v>0</v>
      </c>
      <c r="R207" s="42">
        <f>R198+R205+R206</f>
        <v>0</v>
      </c>
      <c r="S207" s="42">
        <f>S198+S205+S206</f>
        <v>0</v>
      </c>
      <c r="T207" s="42">
        <f>T198+T205+T206</f>
        <v>0</v>
      </c>
      <c r="U207" s="42">
        <f>U198+U205+U206</f>
        <v>0</v>
      </c>
      <c r="V207" s="42">
        <f>V198+V205+V206</f>
        <v>14896.000000000002</v>
      </c>
      <c r="W207" s="42">
        <f>W198+W205+W206</f>
        <v>117446.00000000001</v>
      </c>
      <c r="X207" s="42">
        <f>X198+X205+X206</f>
        <v>119966.00000000001</v>
      </c>
      <c r="Y207" s="42">
        <f>Y198+Y205+Y206</f>
        <v>122472.00000000001</v>
      </c>
      <c r="Z207" s="42">
        <f>Z198+Z205+Z206</f>
        <v>120400.00000000001</v>
      </c>
      <c r="AA207" s="42">
        <f>AA198+AA205+AA206</f>
        <v>346556.00000000006</v>
      </c>
      <c r="AB207" s="42">
        <f>AB198+AB205+AB206</f>
        <v>457744.00000000006</v>
      </c>
      <c r="AC207" s="42">
        <f>AC198+AC205+AC206</f>
        <v>463288.00000000006</v>
      </c>
      <c r="AD207" s="42">
        <f>AD198+AD205+AD206</f>
        <v>459046.00000000006</v>
      </c>
      <c r="AE207" s="42">
        <f>AE198+AE205+AE206</f>
        <v>237552.00000000003</v>
      </c>
    </row>
    <row r="208">
      <c r="A208" s="41" t="inlineStr">
        <is>
          <t xml:space="preserve">CFADS: EBITDA − change in working capital − taxes</t>
        </is>
      </c>
      <c r="B208" s="10" t="inlineStr">
        <is>
          <t xml:space="preserve">€</t>
        </is>
      </c>
      <c r="F208" s="42">
        <f>Operations!F107-Operations!F115-F207</f>
        <v>1819858.0164096118</v>
      </c>
      <c r="G208" s="42">
        <f>Operations!G107-Operations!G115-G207</f>
        <v>2752279.36882814</v>
      </c>
      <c r="H208" s="42">
        <f>Operations!H107-Operations!H115-H207</f>
        <v>2613045.198841259</v>
      </c>
      <c r="I208" s="42">
        <f>Operations!I107-Operations!I115-I207</f>
        <v>2649404.0898150406</v>
      </c>
      <c r="J208" s="42">
        <f>Operations!J107-Operations!J115-J207</f>
        <v>2698850.2530895</v>
      </c>
      <c r="K208" s="42">
        <f>Operations!K107-Operations!K115-K207</f>
        <v>2746208.4137992132</v>
      </c>
      <c r="L208" s="42">
        <f>Operations!L107-Operations!L115-L207</f>
        <v>2797326.2937037777</v>
      </c>
      <c r="M208" s="42">
        <f>Operations!M107-Operations!M115-M207</f>
        <v>2848329.2524112696</v>
      </c>
      <c r="N208" s="42">
        <f>Operations!N107-Operations!N115-N207</f>
        <v>2901248.2057057065</v>
      </c>
      <c r="O208" s="42">
        <f>Operations!O107-Operations!O115-O207</f>
        <v>2951921.99858815</v>
      </c>
      <c r="P208" s="42">
        <f>Operations!P107-Operations!P115-P207</f>
        <v>2882580.7700172984</v>
      </c>
      <c r="Q208" s="42">
        <f>Operations!Q107-Operations!Q115-Q207</f>
        <v>2934681.0404340075</v>
      </c>
      <c r="R208" s="42">
        <f>Operations!R107-Operations!R115-R207</f>
        <v>2988785.8270561746</v>
      </c>
      <c r="S208" s="42">
        <f>Operations!S107-Operations!S115-S207</f>
        <v>3040425.8288412853</v>
      </c>
      <c r="T208" s="42">
        <f>Operations!T107-Operations!T115-T207</f>
        <v>3096342.5771106076</v>
      </c>
      <c r="U208" s="42">
        <f>Operations!U107-Operations!U115-U207</f>
        <v>3152067.273454574</v>
      </c>
      <c r="V208" s="42">
        <f>Operations!V107-Operations!V115-V207</f>
        <v>3195044.459438563</v>
      </c>
      <c r="W208" s="42">
        <f>Operations!W107-Operations!W115-W207</f>
        <v>3147716.925603638</v>
      </c>
      <c r="X208" s="42">
        <f>Operations!X107-Operations!X115-X207</f>
        <v>3205007.63750975</v>
      </c>
      <c r="Y208" s="42">
        <f>Operations!Y107-Operations!Y115-Y207</f>
        <v>3262101.922194229</v>
      </c>
      <c r="Z208" s="42">
        <f>Operations!Z107-Operations!Z115-Z207</f>
        <v>3245428.8959404724</v>
      </c>
      <c r="AA208" s="42">
        <f>Operations!AA107-Operations!AA115-AA207</f>
        <v>3076712.2643818287</v>
      </c>
      <c r="AB208" s="42">
        <f>Operations!AB107-Operations!AB115-AB207</f>
        <v>3027853.7635839735</v>
      </c>
      <c r="AC208" s="42">
        <f>Operations!AC107-Operations!AC115-AC207</f>
        <v>3084375.849693592</v>
      </c>
      <c r="AD208" s="42">
        <f>Operations!AD107-Operations!AD115-AD207</f>
        <v>3153118.4277893924</v>
      </c>
      <c r="AE208" s="42">
        <f>Operations!AE107-Operations!AE115-AE207</f>
        <v>2095974.936258025</v>
      </c>
    </row>
    <row r="210">
      <c r="A210" s="5" t="inlineStr">
        <is>
          <t xml:space="preserve">P90 10-yr without debt</t>
        </is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>
      <c r="A211" s="6" t="inlineStr">
        <is>
          <t xml:space="preserve">Depreciable base: capex</t>
        </is>
      </c>
      <c r="B211" s="10" t="inlineStr">
        <is>
          <t xml:space="preserve">€</t>
        </is>
      </c>
      <c r="C211" s="45">
        <f>Construction!$C$44</f>
        <v>57135645</v>
      </c>
    </row>
    <row r="212">
      <c r="A212" s="6" t="inlineStr">
        <is>
          <t xml:space="preserve">Book value at the start of the year</t>
        </is>
      </c>
      <c r="B212" s="10" t="inlineStr">
        <is>
          <t xml:space="preserve">€</t>
        </is>
      </c>
      <c r="F212" s="23">
        <f>E219</f>
        <v>57135645</v>
      </c>
      <c r="G212" s="23">
        <f>F219</f>
        <v>55350156.09375</v>
      </c>
      <c r="H212" s="23">
        <f>G219</f>
        <v>51779178.28125</v>
      </c>
      <c r="I212" s="23">
        <f>H219</f>
        <v>48208200.46875</v>
      </c>
      <c r="J212" s="23">
        <f>I219</f>
        <v>44637222.65625</v>
      </c>
      <c r="K212" s="23">
        <f>J219</f>
        <v>41066244.84375</v>
      </c>
      <c r="L212" s="23">
        <f>K219</f>
        <v>37495267.03125</v>
      </c>
      <c r="M212" s="23">
        <f>L219</f>
        <v>33924289.21875</v>
      </c>
      <c r="N212" s="23">
        <f>M219</f>
        <v>30353311.40625</v>
      </c>
      <c r="O212" s="23">
        <f>N219</f>
        <v>26782333.59375</v>
      </c>
      <c r="P212" s="23">
        <f>O219</f>
        <v>23211355.78125</v>
      </c>
      <c r="Q212" s="23">
        <f>P219</f>
        <v>19640377.96875</v>
      </c>
      <c r="R212" s="23">
        <f>Q219</f>
        <v>16069400.15625</v>
      </c>
      <c r="S212" s="23">
        <f>R219</f>
        <v>12498422.34375</v>
      </c>
      <c r="T212" s="23">
        <f>S219</f>
        <v>8927444.53125</v>
      </c>
      <c r="U212" s="23">
        <f>T219</f>
        <v>5356466.71875</v>
      </c>
      <c r="V212" s="23">
        <f>U219</f>
        <v>1785488.90625</v>
      </c>
      <c r="W212" s="23">
        <f>V219</f>
        <v>0</v>
      </c>
      <c r="X212" s="23">
        <f>W219</f>
        <v>0</v>
      </c>
      <c r="Y212" s="23">
        <f>X219</f>
        <v>0</v>
      </c>
      <c r="Z212" s="23">
        <f>Y219</f>
        <v>0</v>
      </c>
      <c r="AA212" s="23">
        <f>Z219</f>
        <v>0</v>
      </c>
      <c r="AB212" s="23">
        <f>AA219</f>
        <v>0</v>
      </c>
      <c r="AC212" s="23">
        <f>AB219</f>
        <v>0</v>
      </c>
      <c r="AD212" s="23">
        <f>AC219</f>
        <v>0</v>
      </c>
      <c r="AE212" s="23">
        <f>AD219</f>
        <v>0</v>
      </c>
    </row>
    <row r="213">
      <c r="A213" s="6" t="inlineStr">
        <is>
          <t xml:space="preserve">Months depreciated before the year</t>
        </is>
      </c>
      <c r="E213" s="9">
        <v>0</v>
      </c>
      <c r="F213" s="23">
        <f>E220</f>
        <v>0</v>
      </c>
      <c r="G213" s="23">
        <f>F220</f>
        <v>6</v>
      </c>
      <c r="H213" s="23">
        <f>G220</f>
        <v>18</v>
      </c>
      <c r="I213" s="23">
        <f>H220</f>
        <v>30</v>
      </c>
      <c r="J213" s="23">
        <f>I220</f>
        <v>42</v>
      </c>
      <c r="K213" s="23">
        <f>J220</f>
        <v>54</v>
      </c>
      <c r="L213" s="23">
        <f>K220</f>
        <v>66</v>
      </c>
      <c r="M213" s="23">
        <f>L220</f>
        <v>78</v>
      </c>
      <c r="N213" s="23">
        <f>M220</f>
        <v>90</v>
      </c>
      <c r="O213" s="23">
        <f>N220</f>
        <v>102</v>
      </c>
      <c r="P213" s="23">
        <f>O220</f>
        <v>114</v>
      </c>
      <c r="Q213" s="23">
        <f>P220</f>
        <v>126</v>
      </c>
      <c r="R213" s="23">
        <f>Q220</f>
        <v>138</v>
      </c>
      <c r="S213" s="23">
        <f>R220</f>
        <v>150</v>
      </c>
      <c r="T213" s="23">
        <f>S220</f>
        <v>162</v>
      </c>
      <c r="U213" s="23">
        <f>T220</f>
        <v>174</v>
      </c>
      <c r="V213" s="23">
        <f>U220</f>
        <v>186</v>
      </c>
      <c r="W213" s="23">
        <f>V220</f>
        <v>198</v>
      </c>
      <c r="X213" s="23">
        <f>W220</f>
        <v>198</v>
      </c>
      <c r="Y213" s="23">
        <f>X220</f>
        <v>198</v>
      </c>
      <c r="Z213" s="23">
        <f>Y220</f>
        <v>198</v>
      </c>
      <c r="AA213" s="23">
        <f>Z220</f>
        <v>198</v>
      </c>
      <c r="AB213" s="23">
        <f>AA220</f>
        <v>198</v>
      </c>
      <c r="AC213" s="23">
        <f>AB220</f>
        <v>198</v>
      </c>
      <c r="AD213" s="23">
        <f>AC220</f>
        <v>198</v>
      </c>
      <c r="AE213" s="23">
        <f>AD220</f>
        <v>198</v>
      </c>
    </row>
    <row r="214">
      <c r="A214" s="6" t="inlineStr">
        <is>
          <t xml:space="preserve">Remaining useful life</t>
        </is>
      </c>
      <c r="B214" s="10" t="inlineStr">
        <is>
          <t xml:space="preserve">years</t>
        </is>
      </c>
      <c r="F214" s="21">
        <f>Inputs!$C$93-F213/12</f>
        <v>16</v>
      </c>
      <c r="G214" s="21">
        <f>Inputs!$C$93-G213/12</f>
        <v>15.5</v>
      </c>
      <c r="H214" s="21">
        <f>Inputs!$C$93-H213/12</f>
        <v>14.5</v>
      </c>
      <c r="I214" s="21">
        <f>Inputs!$C$93-I213/12</f>
        <v>13.5</v>
      </c>
      <c r="J214" s="21">
        <f>Inputs!$C$93-J213/12</f>
        <v>12.5</v>
      </c>
      <c r="K214" s="21">
        <f>Inputs!$C$93-K213/12</f>
        <v>11.5</v>
      </c>
      <c r="L214" s="21">
        <f>Inputs!$C$93-L213/12</f>
        <v>10.5</v>
      </c>
      <c r="M214" s="21">
        <f>Inputs!$C$93-M213/12</f>
        <v>9.5</v>
      </c>
      <c r="N214" s="21">
        <f>Inputs!$C$93-N213/12</f>
        <v>8.5</v>
      </c>
      <c r="O214" s="21">
        <f>Inputs!$C$93-O213/12</f>
        <v>7.5</v>
      </c>
      <c r="P214" s="21">
        <f>Inputs!$C$93-P213/12</f>
        <v>6.5</v>
      </c>
      <c r="Q214" s="21">
        <f>Inputs!$C$93-Q213/12</f>
        <v>5.5</v>
      </c>
      <c r="R214" s="21">
        <f>Inputs!$C$93-R213/12</f>
        <v>4.5</v>
      </c>
      <c r="S214" s="21">
        <f>Inputs!$C$93-S213/12</f>
        <v>3.5</v>
      </c>
      <c r="T214" s="21">
        <f>Inputs!$C$93-T213/12</f>
        <v>2.5</v>
      </c>
      <c r="U214" s="21">
        <f>Inputs!$C$93-U213/12</f>
        <v>1.5</v>
      </c>
      <c r="V214" s="21">
        <f>Inputs!$C$93-V213/12</f>
        <v>0.5</v>
      </c>
      <c r="W214" s="21">
        <f>Inputs!$C$93-W213/12</f>
        <v>-0.5</v>
      </c>
      <c r="X214" s="21">
        <f>Inputs!$C$93-X213/12</f>
        <v>-0.5</v>
      </c>
      <c r="Y214" s="21">
        <f>Inputs!$C$93-Y213/12</f>
        <v>-0.5</v>
      </c>
      <c r="Z214" s="21">
        <f>Inputs!$C$93-Z213/12</f>
        <v>-0.5</v>
      </c>
      <c r="AA214" s="21">
        <f>Inputs!$C$93-AA213/12</f>
        <v>-0.5</v>
      </c>
      <c r="AB214" s="21">
        <f>Inputs!$C$93-AB213/12</f>
        <v>-0.5</v>
      </c>
      <c r="AC214" s="21">
        <f>Inputs!$C$93-AC213/12</f>
        <v>-0.5</v>
      </c>
      <c r="AD214" s="21">
        <f>Inputs!$C$93-AD213/12</f>
        <v>-0.5</v>
      </c>
      <c r="AE214" s="21">
        <f>Inputs!$C$93-AE213/12</f>
        <v>-0.5</v>
      </c>
    </row>
    <row r="215">
      <c r="A215" s="6" t="inlineStr">
        <is>
          <t xml:space="preserve">Straight-line amount</t>
        </is>
      </c>
      <c r="B215" s="10" t="inlineStr">
        <is>
          <t xml:space="preserve">€</t>
        </is>
      </c>
      <c r="F215" s="23">
        <f>IF(F214&gt;0,F212/F214*Timing!F87/12,F212)</f>
        <v>1785488.90625</v>
      </c>
      <c r="G215" s="23">
        <f>IF(G214&gt;0,G212/G214*Timing!G87/12,G212)</f>
        <v>3570977.8125</v>
      </c>
      <c r="H215" s="23">
        <f>IF(H214&gt;0,H212/H214*Timing!H87/12,H212)</f>
        <v>3570977.8125</v>
      </c>
      <c r="I215" s="23">
        <f>IF(I214&gt;0,I212/I214*Timing!I87/12,I212)</f>
        <v>3570977.8125</v>
      </c>
      <c r="J215" s="23">
        <f>IF(J214&gt;0,J212/J214*Timing!J87/12,J212)</f>
        <v>3570977.8125</v>
      </c>
      <c r="K215" s="23">
        <f>IF(K214&gt;0,K212/K214*Timing!K87/12,K212)</f>
        <v>3570977.8125</v>
      </c>
      <c r="L215" s="23">
        <f>IF(L214&gt;0,L212/L214*Timing!L87/12,L212)</f>
        <v>3570977.8125</v>
      </c>
      <c r="M215" s="23">
        <f>IF(M214&gt;0,M212/M214*Timing!M87/12,M212)</f>
        <v>3570977.8125</v>
      </c>
      <c r="N215" s="23">
        <f>IF(N214&gt;0,N212/N214*Timing!N87/12,N212)</f>
        <v>3570977.8125</v>
      </c>
      <c r="O215" s="23">
        <f>IF(O214&gt;0,O212/O214*Timing!O87/12,O212)</f>
        <v>3570977.8125</v>
      </c>
      <c r="P215" s="23">
        <f>IF(P214&gt;0,P212/P214*Timing!P87/12,P212)</f>
        <v>3570977.8125</v>
      </c>
      <c r="Q215" s="23">
        <f>IF(Q214&gt;0,Q212/Q214*Timing!Q87/12,Q212)</f>
        <v>3570977.8125</v>
      </c>
      <c r="R215" s="23">
        <f>IF(R214&gt;0,R212/R214*Timing!R87/12,R212)</f>
        <v>3570977.8125</v>
      </c>
      <c r="S215" s="23">
        <f>IF(S214&gt;0,S212/S214*Timing!S87/12,S212)</f>
        <v>3570977.8125</v>
      </c>
      <c r="T215" s="23">
        <f>IF(T214&gt;0,T212/T214*Timing!T87/12,T212)</f>
        <v>3570977.8125</v>
      </c>
      <c r="U215" s="23">
        <f>IF(U214&gt;0,U212/U214*Timing!U87/12,U212)</f>
        <v>3570977.8125</v>
      </c>
      <c r="V215" s="23">
        <f>IF(V214&gt;0,V212/V214*Timing!V87/12,V212)</f>
        <v>3570977.8125</v>
      </c>
      <c r="W215" s="23">
        <f>IF(W214&gt;0,W212/W214*Timing!W87/12,W212)</f>
        <v>0</v>
      </c>
      <c r="X215" s="23">
        <f>IF(X214&gt;0,X212/X214*Timing!X87/12,X212)</f>
        <v>0</v>
      </c>
      <c r="Y215" s="23">
        <f>IF(Y214&gt;0,Y212/Y214*Timing!Y87/12,Y212)</f>
        <v>0</v>
      </c>
      <c r="Z215" s="23">
        <f>IF(Z214&gt;0,Z212/Z214*Timing!Z87/12,Z212)</f>
        <v>0</v>
      </c>
      <c r="AA215" s="23">
        <f>IF(AA214&gt;0,AA212/AA214*Timing!AA87/12,AA212)</f>
        <v>0</v>
      </c>
      <c r="AB215" s="23">
        <f>IF(AB214&gt;0,AB212/AB214*Timing!AB87/12,AB212)</f>
        <v>0</v>
      </c>
      <c r="AC215" s="23">
        <f>IF(AC214&gt;0,AC212/AC214*Timing!AC87/12,AC212)</f>
        <v>0</v>
      </c>
      <c r="AD215" s="23">
        <f>IF(AD214&gt;0,AD212/AD214*Timing!AD87/12,AD212)</f>
        <v>0</v>
      </c>
      <c r="AE215" s="23">
        <f>IF(AE214&gt;0,AE212/AE214*Timing!AE87/12,AE212)</f>
        <v>0</v>
      </c>
    </row>
    <row r="216">
      <c r="A216" s="6" t="inlineStr">
        <is>
          <t xml:space="preserve">Declining-balance amount</t>
        </is>
      </c>
      <c r="B216" s="10" t="inlineStr">
        <is>
          <t xml:space="preserve">€</t>
        </is>
      </c>
      <c r="F216" s="23">
        <f>F212*Timing!$C$36*Timing!F87/12</f>
        <v>5356466.71875</v>
      </c>
      <c r="G216" s="23">
        <f>G212*Timing!$C$36*Timing!G87/12</f>
        <v>10378154.267578125</v>
      </c>
      <c r="H216" s="23">
        <f>H212*Timing!$C$36*Timing!H87/12</f>
        <v>9708595.927734375</v>
      </c>
      <c r="I216" s="23">
        <f>I212*Timing!$C$36*Timing!I87/12</f>
        <v>9039037.587890625</v>
      </c>
      <c r="J216" s="23">
        <f>J212*Timing!$C$36*Timing!J87/12</f>
        <v>8369479.248046875</v>
      </c>
      <c r="K216" s="23">
        <f>K212*Timing!$C$36*Timing!K87/12</f>
        <v>7699920.908203125</v>
      </c>
      <c r="L216" s="23">
        <f>L212*Timing!$C$36*Timing!L87/12</f>
        <v>7030362.568359375</v>
      </c>
      <c r="M216" s="23">
        <f>M212*Timing!$C$36*Timing!M87/12</f>
        <v>6360804.228515625</v>
      </c>
      <c r="N216" s="23">
        <f>N212*Timing!$C$36*Timing!N87/12</f>
        <v>5691245.888671875</v>
      </c>
      <c r="O216" s="23">
        <f>O212*Timing!$C$36*Timing!O87/12</f>
        <v>5021687.548828125</v>
      </c>
      <c r="P216" s="23">
        <f>P212*Timing!$C$36*Timing!P87/12</f>
        <v>4352129.208984375</v>
      </c>
      <c r="Q216" s="23">
        <f>Q212*Timing!$C$36*Timing!Q87/12</f>
        <v>3682570.869140625</v>
      </c>
      <c r="R216" s="23">
        <f>R212*Timing!$C$36*Timing!R87/12</f>
        <v>3013012.529296875</v>
      </c>
      <c r="S216" s="23">
        <f>S212*Timing!$C$36*Timing!S87/12</f>
        <v>2343454.189453125</v>
      </c>
      <c r="T216" s="23">
        <f>T212*Timing!$C$36*Timing!T87/12</f>
        <v>1673895.849609375</v>
      </c>
      <c r="U216" s="23">
        <f>U212*Timing!$C$36*Timing!U87/12</f>
        <v>1004337.509765625</v>
      </c>
      <c r="V216" s="23">
        <f>V212*Timing!$C$36*Timing!V87/12</f>
        <v>334779.169921875</v>
      </c>
      <c r="W216" s="23">
        <f>W212*Timing!$C$36*Timing!W87/12</f>
        <v>0</v>
      </c>
      <c r="X216" s="23">
        <f>X212*Timing!$C$36*Timing!X87/12</f>
        <v>0</v>
      </c>
      <c r="Y216" s="23">
        <f>Y212*Timing!$C$36*Timing!Y87/12</f>
        <v>0</v>
      </c>
      <c r="Z216" s="23">
        <f>Z212*Timing!$C$36*Timing!Z87/12</f>
        <v>0</v>
      </c>
      <c r="AA216" s="23">
        <f>AA212*Timing!$C$36*Timing!AA87/12</f>
        <v>0</v>
      </c>
      <c r="AB216" s="23">
        <f>AB212*Timing!$C$36*Timing!AB87/12</f>
        <v>0</v>
      </c>
      <c r="AC216" s="23">
        <f>AC212*Timing!$C$36*Timing!AC87/12</f>
        <v>0</v>
      </c>
      <c r="AD216" s="23">
        <f>AD212*Timing!$C$36*Timing!AD87/12</f>
        <v>0</v>
      </c>
      <c r="AE216" s="23">
        <f>AE212*Timing!$C$36*Timing!AE87/12</f>
        <v>0</v>
      </c>
    </row>
    <row r="217">
      <c r="A217" s="6" t="inlineStr">
        <is>
          <t xml:space="preserve">Straight-line from this year (1 = yes)</t>
        </is>
      </c>
      <c r="E217" s="9">
        <v>0</v>
      </c>
      <c r="F217" s="23">
        <f>IF(OR(Timing!$C$35=0,E217=1,F215&gt;=F216),1,0)</f>
        <v>1</v>
      </c>
      <c r="G217" s="23">
        <f>IF(OR(Timing!$C$35=0,F217=1,G215&gt;=G216),1,0)</f>
        <v>1</v>
      </c>
      <c r="H217" s="23">
        <f>IF(OR(Timing!$C$35=0,G217=1,H215&gt;=H216),1,0)</f>
        <v>1</v>
      </c>
      <c r="I217" s="23">
        <f>IF(OR(Timing!$C$35=0,H217=1,I215&gt;=I216),1,0)</f>
        <v>1</v>
      </c>
      <c r="J217" s="23">
        <f>IF(OR(Timing!$C$35=0,I217=1,J215&gt;=J216),1,0)</f>
        <v>1</v>
      </c>
      <c r="K217" s="23">
        <f>IF(OR(Timing!$C$35=0,J217=1,K215&gt;=K216),1,0)</f>
        <v>1</v>
      </c>
      <c r="L217" s="23">
        <f>IF(OR(Timing!$C$35=0,K217=1,L215&gt;=L216),1,0)</f>
        <v>1</v>
      </c>
      <c r="M217" s="23">
        <f>IF(OR(Timing!$C$35=0,L217=1,M215&gt;=M216),1,0)</f>
        <v>1</v>
      </c>
      <c r="N217" s="23">
        <f>IF(OR(Timing!$C$35=0,M217=1,N215&gt;=N216),1,0)</f>
        <v>1</v>
      </c>
      <c r="O217" s="23">
        <f>IF(OR(Timing!$C$35=0,N217=1,O215&gt;=O216),1,0)</f>
        <v>1</v>
      </c>
      <c r="P217" s="23">
        <f>IF(OR(Timing!$C$35=0,O217=1,P215&gt;=P216),1,0)</f>
        <v>1</v>
      </c>
      <c r="Q217" s="23">
        <f>IF(OR(Timing!$C$35=0,P217=1,Q215&gt;=Q216),1,0)</f>
        <v>1</v>
      </c>
      <c r="R217" s="23">
        <f>IF(OR(Timing!$C$35=0,Q217=1,R215&gt;=R216),1,0)</f>
        <v>1</v>
      </c>
      <c r="S217" s="23">
        <f>IF(OR(Timing!$C$35=0,R217=1,S215&gt;=S216),1,0)</f>
        <v>1</v>
      </c>
      <c r="T217" s="23">
        <f>IF(OR(Timing!$C$35=0,S217=1,T215&gt;=T216),1,0)</f>
        <v>1</v>
      </c>
      <c r="U217" s="23">
        <f>IF(OR(Timing!$C$35=0,T217=1,U215&gt;=U216),1,0)</f>
        <v>1</v>
      </c>
      <c r="V217" s="23">
        <f>IF(OR(Timing!$C$35=0,U217=1,V215&gt;=V216),1,0)</f>
        <v>1</v>
      </c>
      <c r="W217" s="23">
        <f>IF(OR(Timing!$C$35=0,V217=1,W215&gt;=W216),1,0)</f>
        <v>1</v>
      </c>
      <c r="X217" s="23">
        <f>IF(OR(Timing!$C$35=0,W217=1,X215&gt;=X216),1,0)</f>
        <v>1</v>
      </c>
      <c r="Y217" s="23">
        <f>IF(OR(Timing!$C$35=0,X217=1,Y215&gt;=Y216),1,0)</f>
        <v>1</v>
      </c>
      <c r="Z217" s="23">
        <f>IF(OR(Timing!$C$35=0,Y217=1,Z215&gt;=Z216),1,0)</f>
        <v>1</v>
      </c>
      <c r="AA217" s="23">
        <f>IF(OR(Timing!$C$35=0,Z217=1,AA215&gt;=AA216),1,0)</f>
        <v>1</v>
      </c>
      <c r="AB217" s="23">
        <f>IF(OR(Timing!$C$35=0,AA217=1,AB215&gt;=AB216),1,0)</f>
        <v>1</v>
      </c>
      <c r="AC217" s="23">
        <f>IF(OR(Timing!$C$35=0,AB217=1,AC215&gt;=AC216),1,0)</f>
        <v>1</v>
      </c>
      <c r="AD217" s="23">
        <f>IF(OR(Timing!$C$35=0,AC217=1,AD215&gt;=AD216),1,0)</f>
        <v>1</v>
      </c>
      <c r="AE217" s="23">
        <f>IF(OR(Timing!$C$35=0,AD217=1,AE215&gt;=AE216),1,0)</f>
        <v>1</v>
      </c>
    </row>
    <row r="218">
      <c r="A218" s="6" t="inlineStr">
        <is>
          <t xml:space="preserve">Depreciation by schedule</t>
        </is>
      </c>
      <c r="B218" s="10" t="inlineStr">
        <is>
          <t xml:space="preserve">€</t>
        </is>
      </c>
      <c r="F218" s="23">
        <f>IF(F212&lt;=Inputs!$C$157,0,MIN(F212,IF(F217=1,F215,F216)))</f>
        <v>1785488.90625</v>
      </c>
      <c r="G218" s="23">
        <f>IF(G212&lt;=Inputs!$C$157,0,MIN(G212,IF(G217=1,G215,G216)))</f>
        <v>3570977.8125</v>
      </c>
      <c r="H218" s="23">
        <f>IF(H212&lt;=Inputs!$C$157,0,MIN(H212,IF(H217=1,H215,H216)))</f>
        <v>3570977.8125</v>
      </c>
      <c r="I218" s="23">
        <f>IF(I212&lt;=Inputs!$C$157,0,MIN(I212,IF(I217=1,I215,I216)))</f>
        <v>3570977.8125</v>
      </c>
      <c r="J218" s="23">
        <f>IF(J212&lt;=Inputs!$C$157,0,MIN(J212,IF(J217=1,J215,J216)))</f>
        <v>3570977.8125</v>
      </c>
      <c r="K218" s="23">
        <f>IF(K212&lt;=Inputs!$C$157,0,MIN(K212,IF(K217=1,K215,K216)))</f>
        <v>3570977.8125</v>
      </c>
      <c r="L218" s="23">
        <f>IF(L212&lt;=Inputs!$C$157,0,MIN(L212,IF(L217=1,L215,L216)))</f>
        <v>3570977.8125</v>
      </c>
      <c r="M218" s="23">
        <f>IF(M212&lt;=Inputs!$C$157,0,MIN(M212,IF(M217=1,M215,M216)))</f>
        <v>3570977.8125</v>
      </c>
      <c r="N218" s="23">
        <f>IF(N212&lt;=Inputs!$C$157,0,MIN(N212,IF(N217=1,N215,N216)))</f>
        <v>3570977.8125</v>
      </c>
      <c r="O218" s="23">
        <f>IF(O212&lt;=Inputs!$C$157,0,MIN(O212,IF(O217=1,O215,O216)))</f>
        <v>3570977.8125</v>
      </c>
      <c r="P218" s="23">
        <f>IF(P212&lt;=Inputs!$C$157,0,MIN(P212,IF(P217=1,P215,P216)))</f>
        <v>3570977.8125</v>
      </c>
      <c r="Q218" s="23">
        <f>IF(Q212&lt;=Inputs!$C$157,0,MIN(Q212,IF(Q217=1,Q215,Q216)))</f>
        <v>3570977.8125</v>
      </c>
      <c r="R218" s="23">
        <f>IF(R212&lt;=Inputs!$C$157,0,MIN(R212,IF(R217=1,R215,R216)))</f>
        <v>3570977.8125</v>
      </c>
      <c r="S218" s="23">
        <f>IF(S212&lt;=Inputs!$C$157,0,MIN(S212,IF(S217=1,S215,S216)))</f>
        <v>3570977.8125</v>
      </c>
      <c r="T218" s="23">
        <f>IF(T212&lt;=Inputs!$C$157,0,MIN(T212,IF(T217=1,T215,T216)))</f>
        <v>3570977.8125</v>
      </c>
      <c r="U218" s="23">
        <f>IF(U212&lt;=Inputs!$C$157,0,MIN(U212,IF(U217=1,U215,U216)))</f>
        <v>3570977.8125</v>
      </c>
      <c r="V218" s="23">
        <f>IF(V212&lt;=Inputs!$C$157,0,MIN(V212,IF(V217=1,V215,V216)))</f>
        <v>1785488.90625</v>
      </c>
      <c r="W218" s="23">
        <f>IF(W212&lt;=Inputs!$C$157,0,MIN(W212,IF(W217=1,W215,W216)))</f>
        <v>0</v>
      </c>
      <c r="X218" s="23">
        <f>IF(X212&lt;=Inputs!$C$157,0,MIN(X212,IF(X217=1,X215,X216)))</f>
        <v>0</v>
      </c>
      <c r="Y218" s="23">
        <f>IF(Y212&lt;=Inputs!$C$157,0,MIN(Y212,IF(Y217=1,Y215,Y216)))</f>
        <v>0</v>
      </c>
      <c r="Z218" s="23">
        <f>IF(Z212&lt;=Inputs!$C$157,0,MIN(Z212,IF(Z217=1,Z215,Z216)))</f>
        <v>0</v>
      </c>
      <c r="AA218" s="23">
        <f>IF(AA212&lt;=Inputs!$C$157,0,MIN(AA212,IF(AA217=1,AA215,AA216)))</f>
        <v>0</v>
      </c>
      <c r="AB218" s="23">
        <f>IF(AB212&lt;=Inputs!$C$157,0,MIN(AB212,IF(AB217=1,AB215,AB216)))</f>
        <v>0</v>
      </c>
      <c r="AC218" s="23">
        <f>IF(AC212&lt;=Inputs!$C$157,0,MIN(AC212,IF(AC217=1,AC215,AC216)))</f>
        <v>0</v>
      </c>
      <c r="AD218" s="23">
        <f>IF(AD212&lt;=Inputs!$C$157,0,MIN(AD212,IF(AD217=1,AD215,AD216)))</f>
        <v>0</v>
      </c>
      <c r="AE218" s="23">
        <f>IF(AE212&lt;=Inputs!$C$157,0,MIN(AE212,IF(AE217=1,AE215,AE216)))</f>
        <v>0</v>
      </c>
    </row>
    <row r="219">
      <c r="A219" s="6" t="inlineStr">
        <is>
          <t xml:space="preserve">Book value at the year end</t>
        </is>
      </c>
      <c r="B219" s="10" t="inlineStr">
        <is>
          <t xml:space="preserve">€</t>
        </is>
      </c>
      <c r="E219" s="23">
        <f>$C$211</f>
        <v>57135645</v>
      </c>
      <c r="F219" s="23">
        <f>F212-F218</f>
        <v>55350156.09375</v>
      </c>
      <c r="G219" s="23">
        <f>G212-G218</f>
        <v>51779178.28125</v>
      </c>
      <c r="H219" s="23">
        <f>H212-H218</f>
        <v>48208200.46875</v>
      </c>
      <c r="I219" s="23">
        <f>I212-I218</f>
        <v>44637222.65625</v>
      </c>
      <c r="J219" s="23">
        <f>J212-J218</f>
        <v>41066244.84375</v>
      </c>
      <c r="K219" s="23">
        <f>K212-K218</f>
        <v>37495267.03125</v>
      </c>
      <c r="L219" s="23">
        <f>L212-L218</f>
        <v>33924289.21875</v>
      </c>
      <c r="M219" s="23">
        <f>M212-M218</f>
        <v>30353311.40625</v>
      </c>
      <c r="N219" s="23">
        <f>N212-N218</f>
        <v>26782333.59375</v>
      </c>
      <c r="O219" s="23">
        <f>O212-O218</f>
        <v>23211355.78125</v>
      </c>
      <c r="P219" s="23">
        <f>P212-P218</f>
        <v>19640377.96875</v>
      </c>
      <c r="Q219" s="23">
        <f>Q212-Q218</f>
        <v>16069400.15625</v>
      </c>
      <c r="R219" s="23">
        <f>R212-R218</f>
        <v>12498422.34375</v>
      </c>
      <c r="S219" s="23">
        <f>S212-S218</f>
        <v>8927444.53125</v>
      </c>
      <c r="T219" s="23">
        <f>T212-T218</f>
        <v>5356466.71875</v>
      </c>
      <c r="U219" s="23">
        <f>U212-U218</f>
        <v>1785488.90625</v>
      </c>
      <c r="V219" s="23">
        <f>V212-V218</f>
        <v>0</v>
      </c>
      <c r="W219" s="23">
        <f>W212-W218</f>
        <v>0</v>
      </c>
      <c r="X219" s="23">
        <f>X212-X218</f>
        <v>0</v>
      </c>
      <c r="Y219" s="23">
        <f>Y212-Y218</f>
        <v>0</v>
      </c>
      <c r="Z219" s="23">
        <f>Z212-Z218</f>
        <v>0</v>
      </c>
      <c r="AA219" s="23">
        <f>AA212-AA218</f>
        <v>0</v>
      </c>
      <c r="AB219" s="23">
        <f>AB212-AB218</f>
        <v>0</v>
      </c>
      <c r="AC219" s="23">
        <f>AC212-AC218</f>
        <v>0</v>
      </c>
      <c r="AD219" s="23">
        <f>AD212-AD218</f>
        <v>0</v>
      </c>
      <c r="AE219" s="23">
        <f>AE212-AE218</f>
        <v>0</v>
      </c>
    </row>
    <row r="220">
      <c r="A220" s="6" t="inlineStr">
        <is>
          <t xml:space="preserve">Months depreciated</t>
        </is>
      </c>
      <c r="F220" s="23">
        <f>F213+IF(F212&gt;Inputs!$C$157,Timing!F87,0)</f>
        <v>6</v>
      </c>
      <c r="G220" s="23">
        <f>G213+IF(G212&gt;Inputs!$C$157,Timing!G87,0)</f>
        <v>18</v>
      </c>
      <c r="H220" s="23">
        <f>H213+IF(H212&gt;Inputs!$C$157,Timing!H87,0)</f>
        <v>30</v>
      </c>
      <c r="I220" s="23">
        <f>I213+IF(I212&gt;Inputs!$C$157,Timing!I87,0)</f>
        <v>42</v>
      </c>
      <c r="J220" s="23">
        <f>J213+IF(J212&gt;Inputs!$C$157,Timing!J87,0)</f>
        <v>54</v>
      </c>
      <c r="K220" s="23">
        <f>K213+IF(K212&gt;Inputs!$C$157,Timing!K87,0)</f>
        <v>66</v>
      </c>
      <c r="L220" s="23">
        <f>L213+IF(L212&gt;Inputs!$C$157,Timing!L87,0)</f>
        <v>78</v>
      </c>
      <c r="M220" s="23">
        <f>M213+IF(M212&gt;Inputs!$C$157,Timing!M87,0)</f>
        <v>90</v>
      </c>
      <c r="N220" s="23">
        <f>N213+IF(N212&gt;Inputs!$C$157,Timing!N87,0)</f>
        <v>102</v>
      </c>
      <c r="O220" s="23">
        <f>O213+IF(O212&gt;Inputs!$C$157,Timing!O87,0)</f>
        <v>114</v>
      </c>
      <c r="P220" s="23">
        <f>P213+IF(P212&gt;Inputs!$C$157,Timing!P87,0)</f>
        <v>126</v>
      </c>
      <c r="Q220" s="23">
        <f>Q213+IF(Q212&gt;Inputs!$C$157,Timing!Q87,0)</f>
        <v>138</v>
      </c>
      <c r="R220" s="23">
        <f>R213+IF(R212&gt;Inputs!$C$157,Timing!R87,0)</f>
        <v>150</v>
      </c>
      <c r="S220" s="23">
        <f>S213+IF(S212&gt;Inputs!$C$157,Timing!S87,0)</f>
        <v>162</v>
      </c>
      <c r="T220" s="23">
        <f>T213+IF(T212&gt;Inputs!$C$157,Timing!T87,0)</f>
        <v>174</v>
      </c>
      <c r="U220" s="23">
        <f>U213+IF(U212&gt;Inputs!$C$157,Timing!U87,0)</f>
        <v>186</v>
      </c>
      <c r="V220" s="23">
        <f>V213+IF(V212&gt;Inputs!$C$157,Timing!V87,0)</f>
        <v>198</v>
      </c>
      <c r="W220" s="23">
        <f>W213+IF(W212&gt;Inputs!$C$157,Timing!W87,0)</f>
        <v>198</v>
      </c>
      <c r="X220" s="23">
        <f>X213+IF(X212&gt;Inputs!$C$157,Timing!X87,0)</f>
        <v>198</v>
      </c>
      <c r="Y220" s="23">
        <f>Y213+IF(Y212&gt;Inputs!$C$157,Timing!Y87,0)</f>
        <v>198</v>
      </c>
      <c r="Z220" s="23">
        <f>Z213+IF(Z212&gt;Inputs!$C$157,Timing!Z87,0)</f>
        <v>198</v>
      </c>
      <c r="AA220" s="23">
        <f>AA213+IF(AA212&gt;Inputs!$C$157,Timing!AA87,0)</f>
        <v>198</v>
      </c>
      <c r="AB220" s="23">
        <f>AB213+IF(AB212&gt;Inputs!$C$157,Timing!AB87,0)</f>
        <v>198</v>
      </c>
      <c r="AC220" s="23">
        <f>AC213+IF(AC212&gt;Inputs!$C$157,Timing!AC87,0)</f>
        <v>198</v>
      </c>
      <c r="AD220" s="23">
        <f>AD213+IF(AD212&gt;Inputs!$C$157,Timing!AD87,0)</f>
        <v>198</v>
      </c>
      <c r="AE220" s="23">
        <f>AE213+IF(AE212&gt;Inputs!$C$157,Timing!AE87,0)</f>
        <v>198</v>
      </c>
    </row>
    <row r="221">
      <c r="A221" s="6" t="inlineStr">
        <is>
          <t xml:space="preserve">Book value written off when the farm is dismantled</t>
        </is>
      </c>
      <c r="B221" s="10" t="inlineStr">
        <is>
          <t xml:space="preserve">€</t>
        </is>
      </c>
      <c r="F221" s="23">
        <f>IF(AND(Timing!F72=1,F219&gt;Inputs!$C$157),F219,0)</f>
        <v>0</v>
      </c>
      <c r="G221" s="23">
        <f>IF(AND(Timing!G72=1,G219&gt;Inputs!$C$157),G219,0)</f>
        <v>0</v>
      </c>
      <c r="H221" s="23">
        <f>IF(AND(Timing!H72=1,H219&gt;Inputs!$C$157),H219,0)</f>
        <v>0</v>
      </c>
      <c r="I221" s="23">
        <f>IF(AND(Timing!I72=1,I219&gt;Inputs!$C$157),I219,0)</f>
        <v>0</v>
      </c>
      <c r="J221" s="23">
        <f>IF(AND(Timing!J72=1,J219&gt;Inputs!$C$157),J219,0)</f>
        <v>0</v>
      </c>
      <c r="K221" s="23">
        <f>IF(AND(Timing!K72=1,K219&gt;Inputs!$C$157),K219,0)</f>
        <v>0</v>
      </c>
      <c r="L221" s="23">
        <f>IF(AND(Timing!L72=1,L219&gt;Inputs!$C$157),L219,0)</f>
        <v>0</v>
      </c>
      <c r="M221" s="23">
        <f>IF(AND(Timing!M72=1,M219&gt;Inputs!$C$157),M219,0)</f>
        <v>0</v>
      </c>
      <c r="N221" s="23">
        <f>IF(AND(Timing!N72=1,N219&gt;Inputs!$C$157),N219,0)</f>
        <v>0</v>
      </c>
      <c r="O221" s="23">
        <f>IF(AND(Timing!O72=1,O219&gt;Inputs!$C$157),O219,0)</f>
        <v>0</v>
      </c>
      <c r="P221" s="23">
        <f>IF(AND(Timing!P72=1,P219&gt;Inputs!$C$157),P219,0)</f>
        <v>0</v>
      </c>
      <c r="Q221" s="23">
        <f>IF(AND(Timing!Q72=1,Q219&gt;Inputs!$C$157),Q219,0)</f>
        <v>0</v>
      </c>
      <c r="R221" s="23">
        <f>IF(AND(Timing!R72=1,R219&gt;Inputs!$C$157),R219,0)</f>
        <v>0</v>
      </c>
      <c r="S221" s="23">
        <f>IF(AND(Timing!S72=1,S219&gt;Inputs!$C$157),S219,0)</f>
        <v>0</v>
      </c>
      <c r="T221" s="23">
        <f>IF(AND(Timing!T72=1,T219&gt;Inputs!$C$157),T219,0)</f>
        <v>0</v>
      </c>
      <c r="U221" s="23">
        <f>IF(AND(Timing!U72=1,U219&gt;Inputs!$C$157),U219,0)</f>
        <v>0</v>
      </c>
      <c r="V221" s="23">
        <f>IF(AND(Timing!V72=1,V219&gt;Inputs!$C$157),V219,0)</f>
        <v>0</v>
      </c>
      <c r="W221" s="23">
        <f>IF(AND(Timing!W72=1,W219&gt;Inputs!$C$157),W219,0)</f>
        <v>0</v>
      </c>
      <c r="X221" s="23">
        <f>IF(AND(Timing!X72=1,X219&gt;Inputs!$C$157),X219,0)</f>
        <v>0</v>
      </c>
      <c r="Y221" s="23">
        <f>IF(AND(Timing!Y72=1,Y219&gt;Inputs!$C$157),Y219,0)</f>
        <v>0</v>
      </c>
      <c r="Z221" s="23">
        <f>IF(AND(Timing!Z72=1,Z219&gt;Inputs!$C$157),Z219,0)</f>
        <v>0</v>
      </c>
      <c r="AA221" s="23">
        <f>IF(AND(Timing!AA72=1,AA219&gt;Inputs!$C$157),AA219,0)</f>
        <v>0</v>
      </c>
      <c r="AB221" s="23">
        <f>IF(AND(Timing!AB72=1,AB219&gt;Inputs!$C$157),AB219,0)</f>
        <v>0</v>
      </c>
      <c r="AC221" s="23">
        <f>IF(AND(Timing!AC72=1,AC219&gt;Inputs!$C$157),AC219,0)</f>
        <v>0</v>
      </c>
      <c r="AD221" s="23">
        <f>IF(AND(Timing!AD72=1,AD219&gt;Inputs!$C$157),AD219,0)</f>
        <v>0</v>
      </c>
      <c r="AE221" s="23">
        <f>IF(AND(Timing!AE72=1,AE219&gt;Inputs!$C$157),AE219,0)</f>
        <v>0</v>
      </c>
    </row>
    <row r="222">
      <c r="A222" s="41" t="inlineStr">
        <is>
          <t xml:space="preserve">Depreciation</t>
        </is>
      </c>
      <c r="B222" s="10" t="inlineStr">
        <is>
          <t xml:space="preserve">€</t>
        </is>
      </c>
      <c r="F222" s="42">
        <f>F218+F221</f>
        <v>1785488.90625</v>
      </c>
      <c r="G222" s="42">
        <f>G218+G221</f>
        <v>3570977.8125</v>
      </c>
      <c r="H222" s="42">
        <f>H218+H221</f>
        <v>3570977.8125</v>
      </c>
      <c r="I222" s="42">
        <f>I218+I221</f>
        <v>3570977.8125</v>
      </c>
      <c r="J222" s="42">
        <f>J218+J221</f>
        <v>3570977.8125</v>
      </c>
      <c r="K222" s="42">
        <f>K218+K221</f>
        <v>3570977.8125</v>
      </c>
      <c r="L222" s="42">
        <f>L218+L221</f>
        <v>3570977.8125</v>
      </c>
      <c r="M222" s="42">
        <f>M218+M221</f>
        <v>3570977.8125</v>
      </c>
      <c r="N222" s="42">
        <f>N218+N221</f>
        <v>3570977.8125</v>
      </c>
      <c r="O222" s="42">
        <f>O218+O221</f>
        <v>3570977.8125</v>
      </c>
      <c r="P222" s="42">
        <f>P218+P221</f>
        <v>3570977.8125</v>
      </c>
      <c r="Q222" s="42">
        <f>Q218+Q221</f>
        <v>3570977.8125</v>
      </c>
      <c r="R222" s="42">
        <f>R218+R221</f>
        <v>3570977.8125</v>
      </c>
      <c r="S222" s="42">
        <f>S218+S221</f>
        <v>3570977.8125</v>
      </c>
      <c r="T222" s="42">
        <f>T218+T221</f>
        <v>3570977.8125</v>
      </c>
      <c r="U222" s="42">
        <f>U218+U221</f>
        <v>3570977.8125</v>
      </c>
      <c r="V222" s="42">
        <f>V218+V221</f>
        <v>1785488.90625</v>
      </c>
      <c r="W222" s="42">
        <f>W218+W221</f>
        <v>0</v>
      </c>
      <c r="X222" s="42">
        <f>X218+X221</f>
        <v>0</v>
      </c>
      <c r="Y222" s="42">
        <f>Y218+Y221</f>
        <v>0</v>
      </c>
      <c r="Z222" s="42">
        <f>Z218+Z221</f>
        <v>0</v>
      </c>
      <c r="AA222" s="42">
        <f>AA218+AA221</f>
        <v>0</v>
      </c>
      <c r="AB222" s="42">
        <f>AB218+AB221</f>
        <v>0</v>
      </c>
      <c r="AC222" s="42">
        <f>AC218+AC221</f>
        <v>0</v>
      </c>
      <c r="AD222" s="42">
        <f>AD218+AD221</f>
        <v>0</v>
      </c>
      <c r="AE222" s="42">
        <f>AE218+AE221</f>
        <v>0</v>
      </c>
    </row>
    <row r="223">
      <c r="A223" s="6" t="inlineStr">
        <is>
          <t xml:space="preserve">Interest</t>
        </is>
      </c>
      <c r="B223" s="10" t="inlineStr">
        <is>
          <t xml:space="preserve">€</t>
        </is>
      </c>
      <c r="F223" s="23">
        <f>0</f>
        <v>0</v>
      </c>
      <c r="G223" s="23">
        <f>0</f>
        <v>0</v>
      </c>
      <c r="H223" s="23">
        <f>0</f>
        <v>0</v>
      </c>
      <c r="I223" s="23">
        <f>0</f>
        <v>0</v>
      </c>
      <c r="J223" s="23">
        <f>0</f>
        <v>0</v>
      </c>
      <c r="K223" s="23">
        <f>0</f>
        <v>0</v>
      </c>
      <c r="L223" s="23">
        <f>0</f>
        <v>0</v>
      </c>
      <c r="M223" s="23">
        <f>0</f>
        <v>0</v>
      </c>
      <c r="N223" s="23">
        <f>0</f>
        <v>0</v>
      </c>
      <c r="O223" s="23">
        <f>0</f>
        <v>0</v>
      </c>
      <c r="P223" s="23">
        <f>0</f>
        <v>0</v>
      </c>
      <c r="Q223" s="23">
        <f>0</f>
        <v>0</v>
      </c>
      <c r="R223" s="23">
        <f>0</f>
        <v>0</v>
      </c>
      <c r="S223" s="23">
        <f>0</f>
        <v>0</v>
      </c>
      <c r="T223" s="23">
        <f>0</f>
        <v>0</v>
      </c>
      <c r="U223" s="23">
        <f>0</f>
        <v>0</v>
      </c>
      <c r="V223" s="23">
        <f>0</f>
        <v>0</v>
      </c>
      <c r="W223" s="23">
        <f>0</f>
        <v>0</v>
      </c>
      <c r="X223" s="23">
        <f>0</f>
        <v>0</v>
      </c>
      <c r="Y223" s="23">
        <f>0</f>
        <v>0</v>
      </c>
      <c r="Z223" s="23">
        <f>0</f>
        <v>0</v>
      </c>
      <c r="AA223" s="23">
        <f>0</f>
        <v>0</v>
      </c>
      <c r="AB223" s="23">
        <f>0</f>
        <v>0</v>
      </c>
      <c r="AC223" s="23">
        <f>0</f>
        <v>0</v>
      </c>
      <c r="AD223" s="23">
        <f>0</f>
        <v>0</v>
      </c>
      <c r="AE223" s="23">
        <f>0</f>
        <v>0</v>
      </c>
    </row>
    <row r="224">
      <c r="A224" s="41" t="inlineStr">
        <is>
          <t xml:space="preserve">Profit before tax</t>
        </is>
      </c>
      <c r="B224" s="10" t="inlineStr">
        <is>
          <t xml:space="preserve">€</t>
        </is>
      </c>
      <c r="F224" s="42">
        <f>Operations!F162-F222-F223-F10</f>
        <v>26877.11685301552</v>
      </c>
      <c r="G224" s="42">
        <f>Operations!G162-G222-G223-G10</f>
        <v>-769740.4579335983</v>
      </c>
      <c r="H224" s="42">
        <f>Operations!H162-H222-H223-H10</f>
        <v>-851748.264579504</v>
      </c>
      <c r="I224" s="42">
        <f>Operations!I162-I222-I223-I10</f>
        <v>-804765.2052072731</v>
      </c>
      <c r="J224" s="42">
        <f>Operations!J162-J222-J223-J10</f>
        <v>-757370.833437348</v>
      </c>
      <c r="K224" s="42">
        <f>Operations!K162-K222-K223-K10</f>
        <v>-375479.472949024</v>
      </c>
      <c r="L224" s="42">
        <f>Operations!L162-L222-L223-L10</f>
        <v>-660966.7028064654</v>
      </c>
      <c r="M224" s="42">
        <f>Operations!M162-M222-M223-M10</f>
        <v>-612163.8063602913</v>
      </c>
      <c r="N224" s="42">
        <f>Operations!N162-N222-N223-N10</f>
        <v>-563106.5168867144</v>
      </c>
      <c r="O224" s="42">
        <f>Operations!O162-O222-O223-O10</f>
        <v>-513465.44618517125</v>
      </c>
      <c r="P224" s="42">
        <f>Operations!P162-P222-P223-P10</f>
        <v>-587685.5283634412</v>
      </c>
      <c r="Q224" s="42">
        <f>Operations!Q162-Q222-Q223-Q10</f>
        <v>-540083.106301035</v>
      </c>
      <c r="R224" s="42">
        <f>Operations!R162-R222-R223-R10</f>
        <v>-492524.601667959</v>
      </c>
      <c r="S224" s="42">
        <f>Operations!S162-S222-S223-S10</f>
        <v>-444504.70813750674</v>
      </c>
      <c r="T224" s="42">
        <f>Operations!T162-T222-T223-T10</f>
        <v>-396636.33520147204</v>
      </c>
      <c r="U224" s="42">
        <f>Operations!U162-U222-U223-U10</f>
        <v>-348817.7754069137</v>
      </c>
      <c r="V224" s="42">
        <f>Operations!V162-V222-V223-V10</f>
        <v>1484061.330941834</v>
      </c>
      <c r="W224" s="42">
        <f>Operations!W162-W222-W223-W10</f>
        <v>3317277.7457447406</v>
      </c>
      <c r="X224" s="42">
        <f>Operations!X162-X222-X223-X10</f>
        <v>3364413.386142441</v>
      </c>
      <c r="Y224" s="42">
        <f>Operations!Y162-Y222-Y223-Y10</f>
        <v>3411113.229792754</v>
      </c>
      <c r="Z224" s="42">
        <f>Operations!Z162-Z222-Z223-Z10</f>
        <v>3376164.090794377</v>
      </c>
      <c r="AA224" s="42">
        <f>Operations!AA162-AA222-AA223-AA10</f>
        <v>3420395.188587673</v>
      </c>
      <c r="AB224" s="42">
        <f>Operations!AB162-AB222-AB223-AB10</f>
        <v>3463350.456445937</v>
      </c>
      <c r="AC224" s="42">
        <f>Operations!AC162-AC222-AC223-AC10</f>
        <v>3505266.158403921</v>
      </c>
      <c r="AD224" s="42">
        <f>Operations!AD162-AD222-AD223-AD10</f>
        <v>3477222.906069233</v>
      </c>
      <c r="AE224" s="42">
        <f>Operations!AE162-AE222-AE223-AE10</f>
        <v>1822841.6325850182</v>
      </c>
    </row>
    <row r="225">
      <c r="A225" s="6" t="inlineStr">
        <is>
          <t xml:space="preserve">Trade tax: add-back of interest and land lease</t>
        </is>
      </c>
      <c r="B225" s="10" t="inlineStr">
        <is>
          <t xml:space="preserve">€</t>
        </is>
      </c>
      <c r="F225" s="23">
        <f>Inputs!$C$116*MAX(0,F223+Inputs!$C$118*Operations!F155-Inputs!$C$117)</f>
        <v>0</v>
      </c>
      <c r="G225" s="23">
        <f>Inputs!$C$116*MAX(0,G223+Inputs!$C$118*Operations!G155-Inputs!$C$117)</f>
        <v>5055.009319893215</v>
      </c>
      <c r="H225" s="23">
        <f>Inputs!$C$116*MAX(0,H223+Inputs!$C$118*Operations!H155-Inputs!$C$117)</f>
        <v>4227.314792523313</v>
      </c>
      <c r="I225" s="23">
        <f>Inputs!$C$116*MAX(0,I223+Inputs!$C$118*Operations!I155-Inputs!$C$117)</f>
        <v>5201.237366197027</v>
      </c>
      <c r="J225" s="23">
        <f>Inputs!$C$116*MAX(0,J223+Inputs!$C$118*Operations!J155-Inputs!$C$117)</f>
        <v>6192.651589293935</v>
      </c>
      <c r="K225" s="23">
        <f>Inputs!$C$116*MAX(0,K223+Inputs!$C$118*Operations!K155-Inputs!$C$117)</f>
        <v>11839.029286774916</v>
      </c>
      <c r="L225" s="23">
        <f>Inputs!$C$116*MAX(0,L223+Inputs!$C$118*Operations!L155-Inputs!$C$117)</f>
        <v>8229.217225986256</v>
      </c>
      <c r="M225" s="23">
        <f>Inputs!$C$116*MAX(0,M223+Inputs!$C$118*Operations!M155-Inputs!$C$117)</f>
        <v>9275.013967364961</v>
      </c>
      <c r="N225" s="23">
        <f>Inputs!$C$116*MAX(0,N223+Inputs!$C$118*Operations!N155-Inputs!$C$117)</f>
        <v>10339.59321821884</v>
      </c>
      <c r="O225" s="23">
        <f>Inputs!$C$116*MAX(0,O223+Inputs!$C$118*Operations!O155-Inputs!$C$117)</f>
        <v>11423.292312418067</v>
      </c>
      <c r="P225" s="23">
        <f>Inputs!$C$116*MAX(0,P223+Inputs!$C$118*Operations!P155-Inputs!$C$117)</f>
        <v>12526.454642349076</v>
      </c>
      <c r="Q225" s="23">
        <f>Inputs!$C$116*MAX(0,Q223+Inputs!$C$118*Operations!Q155-Inputs!$C$117)</f>
        <v>13649.429767725669</v>
      </c>
      <c r="R225" s="23">
        <f>Inputs!$C$116*MAX(0,R223+Inputs!$C$118*Operations!R155-Inputs!$C$117)</f>
        <v>14792.57352635402</v>
      </c>
      <c r="S225" s="23">
        <f>Inputs!$C$116*MAX(0,S223+Inputs!$C$118*Operations!S155-Inputs!$C$117)</f>
        <v>15956.248146887345</v>
      </c>
      <c r="T225" s="23">
        <f>Inputs!$C$116*MAX(0,T223+Inputs!$C$118*Operations!T155-Inputs!$C$117)</f>
        <v>17140.82236360543</v>
      </c>
      <c r="U225" s="23">
        <f>Inputs!$C$116*MAX(0,U223+Inputs!$C$118*Operations!U155-Inputs!$C$117)</f>
        <v>18346.67153325578</v>
      </c>
      <c r="V225" s="23">
        <f>Inputs!$C$116*MAX(0,V223+Inputs!$C$118*Operations!V155-Inputs!$C$117)</f>
        <v>19574.177753993063</v>
      </c>
      <c r="W225" s="23">
        <f>Inputs!$C$116*MAX(0,W223+Inputs!$C$118*Operations!W155-Inputs!$C$117)</f>
        <v>20823.729986454768</v>
      </c>
      <c r="X225" s="23">
        <f>Inputs!$C$116*MAX(0,X223+Inputs!$C$118*Operations!X155-Inputs!$C$117)</f>
        <v>22095.724177011507</v>
      </c>
      <c r="Y225" s="23">
        <f>Inputs!$C$116*MAX(0,Y223+Inputs!$C$118*Operations!Y155-Inputs!$C$117)</f>
        <v>23390.563383230634</v>
      </c>
      <c r="Z225" s="23">
        <f>Inputs!$C$116*MAX(0,Z223+Inputs!$C$118*Operations!Z155-Inputs!$C$117)</f>
        <v>24708.65790159347</v>
      </c>
      <c r="AA225" s="23">
        <f>Inputs!$C$116*MAX(0,AA223+Inputs!$C$118*Operations!AA155-Inputs!$C$117)</f>
        <v>26050.42539750607</v>
      </c>
      <c r="AB225" s="23">
        <f>Inputs!$C$116*MAX(0,AB223+Inputs!$C$118*Operations!AB155-Inputs!$C$117)</f>
        <v>27416.291037645293</v>
      </c>
      <c r="AC225" s="23">
        <f>Inputs!$C$116*MAX(0,AC223+Inputs!$C$118*Operations!AC155-Inputs!$C$117)</f>
        <v>28806.687624681406</v>
      </c>
      <c r="AD225" s="23">
        <f>Inputs!$C$116*MAX(0,AD223+Inputs!$C$118*Operations!AD155-Inputs!$C$117)</f>
        <v>30222.05573442069</v>
      </c>
      <c r="AE225" s="23">
        <f>Inputs!$C$116*MAX(0,AE223+Inputs!$C$118*Operations!AE155-Inputs!$C$117)</f>
        <v>0</v>
      </c>
    </row>
    <row r="226">
      <c r="A226" s="6" t="inlineStr">
        <is>
          <t xml:space="preserve">Trade income before losses</t>
        </is>
      </c>
      <c r="B226" s="10" t="inlineStr">
        <is>
          <t xml:space="preserve">€</t>
        </is>
      </c>
      <c r="F226" s="23">
        <f>F224+F225</f>
        <v>26877.11685301552</v>
      </c>
      <c r="G226" s="23">
        <f>G224+G225</f>
        <v>-764685.4486137051</v>
      </c>
      <c r="H226" s="23">
        <f>H224+H225</f>
        <v>-847520.9497869808</v>
      </c>
      <c r="I226" s="23">
        <f>I224+I225</f>
        <v>-799563.9678410761</v>
      </c>
      <c r="J226" s="23">
        <f>J224+J225</f>
        <v>-751178.181848054</v>
      </c>
      <c r="K226" s="23">
        <f>K224+K225</f>
        <v>-363640.4436622491</v>
      </c>
      <c r="L226" s="23">
        <f>L224+L225</f>
        <v>-652737.4855804791</v>
      </c>
      <c r="M226" s="23">
        <f>M224+M225</f>
        <v>-602888.7923929264</v>
      </c>
      <c r="N226" s="23">
        <f>N224+N225</f>
        <v>-552766.9236684955</v>
      </c>
      <c r="O226" s="23">
        <f>O224+O225</f>
        <v>-502042.1538727532</v>
      </c>
      <c r="P226" s="23">
        <f>P224+P225</f>
        <v>-575159.0737210922</v>
      </c>
      <c r="Q226" s="23">
        <f>Q224+Q225</f>
        <v>-526433.6765333094</v>
      </c>
      <c r="R226" s="23">
        <f>R224+R225</f>
        <v>-477732.02814160497</v>
      </c>
      <c r="S226" s="23">
        <f>S224+S225</f>
        <v>-428548.4599906194</v>
      </c>
      <c r="T226" s="23">
        <f>T224+T225</f>
        <v>-379495.5128378666</v>
      </c>
      <c r="U226" s="23">
        <f>U224+U225</f>
        <v>-330471.10387365794</v>
      </c>
      <c r="V226" s="23">
        <f>V224+V225</f>
        <v>1503635.508695827</v>
      </c>
      <c r="W226" s="23">
        <f>W224+W225</f>
        <v>3338101.4757311954</v>
      </c>
      <c r="X226" s="23">
        <f>X224+X225</f>
        <v>3386509.1103194524</v>
      </c>
      <c r="Y226" s="23">
        <f>Y224+Y225</f>
        <v>3434503.7931759846</v>
      </c>
      <c r="Z226" s="23">
        <f>Z224+Z225</f>
        <v>3400872.7486959705</v>
      </c>
      <c r="AA226" s="23">
        <f>AA224+AA225</f>
        <v>3446445.613985179</v>
      </c>
      <c r="AB226" s="23">
        <f>AB224+AB225</f>
        <v>3490766.7474835822</v>
      </c>
      <c r="AC226" s="23">
        <f>AC224+AC225</f>
        <v>3534072.846028602</v>
      </c>
      <c r="AD226" s="23">
        <f>AD224+AD225</f>
        <v>3507444.9618036537</v>
      </c>
      <c r="AE226" s="23">
        <f>AE224+AE225</f>
        <v>1822841.6325850182</v>
      </c>
    </row>
    <row r="227">
      <c r="A227" s="6" t="inlineStr">
        <is>
          <t xml:space="preserve">Trade loss carry-forward at the start</t>
        </is>
      </c>
      <c r="B227" s="10" t="inlineStr">
        <is>
          <t xml:space="preserve">€</t>
        </is>
      </c>
      <c r="E227" s="9">
        <v>0</v>
      </c>
      <c r="F227" s="23">
        <f>E229</f>
        <v>0</v>
      </c>
      <c r="G227" s="23">
        <f>F229</f>
        <v>0</v>
      </c>
      <c r="H227" s="23">
        <f>G229</f>
        <v>764685.4486137051</v>
      </c>
      <c r="I227" s="23">
        <f>H229</f>
        <v>1612206.3984006857</v>
      </c>
      <c r="J227" s="23">
        <f>I229</f>
        <v>2411770.366241762</v>
      </c>
      <c r="K227" s="23">
        <f>J229</f>
        <v>3162948.5480898162</v>
      </c>
      <c r="L227" s="23">
        <f>K229</f>
        <v>3526588.9917520653</v>
      </c>
      <c r="M227" s="23">
        <f>L229</f>
        <v>4179326.4773325445</v>
      </c>
      <c r="N227" s="23">
        <f>M229</f>
        <v>4782215.269725471</v>
      </c>
      <c r="O227" s="23">
        <f>N229</f>
        <v>5334982.193393966</v>
      </c>
      <c r="P227" s="23">
        <f>O229</f>
        <v>5837024.34726672</v>
      </c>
      <c r="Q227" s="23">
        <f>P229</f>
        <v>6412183.420987812</v>
      </c>
      <c r="R227" s="23">
        <f>Q229</f>
        <v>6938617.097521122</v>
      </c>
      <c r="S227" s="23">
        <f>R229</f>
        <v>7416349.125662726</v>
      </c>
      <c r="T227" s="23">
        <f>S229</f>
        <v>7844897.585653346</v>
      </c>
      <c r="U227" s="23">
        <f>T229</f>
        <v>8224393.098491212</v>
      </c>
      <c r="V227" s="23">
        <f>U229</f>
        <v>8554864.20236487</v>
      </c>
      <c r="W227" s="23">
        <f>V229</f>
        <v>7252682.897147373</v>
      </c>
      <c r="X227" s="23">
        <f>W229</f>
        <v>4849822.011708656</v>
      </c>
      <c r="Y227" s="23">
        <f>X229</f>
        <v>2417916.545516985</v>
      </c>
      <c r="Z227" s="23">
        <f>Y229</f>
        <v>0</v>
      </c>
      <c r="AA227" s="23">
        <f>Z229</f>
        <v>0</v>
      </c>
      <c r="AB227" s="23">
        <f>AA229</f>
        <v>0</v>
      </c>
      <c r="AC227" s="23">
        <f>AB229</f>
        <v>0</v>
      </c>
      <c r="AD227" s="23">
        <f>AC229</f>
        <v>0</v>
      </c>
      <c r="AE227" s="23">
        <f>AD229</f>
        <v>0</v>
      </c>
    </row>
    <row r="228">
      <c r="A228" s="6" t="inlineStr">
        <is>
          <t xml:space="preserve">Trade losses used (€1m in full, 60 % above)</t>
        </is>
      </c>
      <c r="B228" s="10" t="inlineStr">
        <is>
          <t xml:space="preserve">€</t>
        </is>
      </c>
      <c r="F228" s="23">
        <f>IF(F226&gt;0,MIN(F227,MIN(F226,Inputs!$C$119)+Inputs!$C$120*MAX(0,F226-Inputs!$C$119)),0)</f>
        <v>0</v>
      </c>
      <c r="G228" s="23">
        <f>IF(G226&gt;0,MIN(G227,MIN(G226,Inputs!$C$119)+Inputs!$C$120*MAX(0,G226-Inputs!$C$119)),0)</f>
        <v>0</v>
      </c>
      <c r="H228" s="23">
        <f>IF(H226&gt;0,MIN(H227,MIN(H226,Inputs!$C$119)+Inputs!$C$120*MAX(0,H226-Inputs!$C$119)),0)</f>
        <v>0</v>
      </c>
      <c r="I228" s="23">
        <f>IF(I226&gt;0,MIN(I227,MIN(I226,Inputs!$C$119)+Inputs!$C$120*MAX(0,I226-Inputs!$C$119)),0)</f>
        <v>0</v>
      </c>
      <c r="J228" s="23">
        <f>IF(J226&gt;0,MIN(J227,MIN(J226,Inputs!$C$119)+Inputs!$C$120*MAX(0,J226-Inputs!$C$119)),0)</f>
        <v>0</v>
      </c>
      <c r="K228" s="23">
        <f>IF(K226&gt;0,MIN(K227,MIN(K226,Inputs!$C$119)+Inputs!$C$120*MAX(0,K226-Inputs!$C$119)),0)</f>
        <v>0</v>
      </c>
      <c r="L228" s="23">
        <f>IF(L226&gt;0,MIN(L227,MIN(L226,Inputs!$C$119)+Inputs!$C$120*MAX(0,L226-Inputs!$C$119)),0)</f>
        <v>0</v>
      </c>
      <c r="M228" s="23">
        <f>IF(M226&gt;0,MIN(M227,MIN(M226,Inputs!$C$119)+Inputs!$C$120*MAX(0,M226-Inputs!$C$119)),0)</f>
        <v>0</v>
      </c>
      <c r="N228" s="23">
        <f>IF(N226&gt;0,MIN(N227,MIN(N226,Inputs!$C$119)+Inputs!$C$120*MAX(0,N226-Inputs!$C$119)),0)</f>
        <v>0</v>
      </c>
      <c r="O228" s="23">
        <f>IF(O226&gt;0,MIN(O227,MIN(O226,Inputs!$C$119)+Inputs!$C$120*MAX(0,O226-Inputs!$C$119)),0)</f>
        <v>0</v>
      </c>
      <c r="P228" s="23">
        <f>IF(P226&gt;0,MIN(P227,MIN(P226,Inputs!$C$119)+Inputs!$C$120*MAX(0,P226-Inputs!$C$119)),0)</f>
        <v>0</v>
      </c>
      <c r="Q228" s="23">
        <f>IF(Q226&gt;0,MIN(Q227,MIN(Q226,Inputs!$C$119)+Inputs!$C$120*MAX(0,Q226-Inputs!$C$119)),0)</f>
        <v>0</v>
      </c>
      <c r="R228" s="23">
        <f>IF(R226&gt;0,MIN(R227,MIN(R226,Inputs!$C$119)+Inputs!$C$120*MAX(0,R226-Inputs!$C$119)),0)</f>
        <v>0</v>
      </c>
      <c r="S228" s="23">
        <f>IF(S226&gt;0,MIN(S227,MIN(S226,Inputs!$C$119)+Inputs!$C$120*MAX(0,S226-Inputs!$C$119)),0)</f>
        <v>0</v>
      </c>
      <c r="T228" s="23">
        <f>IF(T226&gt;0,MIN(T227,MIN(T226,Inputs!$C$119)+Inputs!$C$120*MAX(0,T226-Inputs!$C$119)),0)</f>
        <v>0</v>
      </c>
      <c r="U228" s="23">
        <f>IF(U226&gt;0,MIN(U227,MIN(U226,Inputs!$C$119)+Inputs!$C$120*MAX(0,U226-Inputs!$C$119)),0)</f>
        <v>0</v>
      </c>
      <c r="V228" s="23">
        <f>IF(V226&gt;0,MIN(V227,MIN(V226,Inputs!$C$119)+Inputs!$C$120*MAX(0,V226-Inputs!$C$119)),0)</f>
        <v>1302181.3052174961</v>
      </c>
      <c r="W228" s="23">
        <f>IF(W226&gt;0,MIN(W227,MIN(W226,Inputs!$C$119)+Inputs!$C$120*MAX(0,W226-Inputs!$C$119)),0)</f>
        <v>2402860.885438717</v>
      </c>
      <c r="X228" s="23">
        <f>IF(X226&gt;0,MIN(X227,MIN(X226,Inputs!$C$119)+Inputs!$C$120*MAX(0,X226-Inputs!$C$119)),0)</f>
        <v>2431905.4661916713</v>
      </c>
      <c r="Y228" s="23">
        <f>IF(Y226&gt;0,MIN(Y227,MIN(Y226,Inputs!$C$119)+Inputs!$C$120*MAX(0,Y226-Inputs!$C$119)),0)</f>
        <v>2417916.545516985</v>
      </c>
      <c r="Z228" s="23">
        <f>IF(Z226&gt;0,MIN(Z227,MIN(Z226,Inputs!$C$119)+Inputs!$C$120*MAX(0,Z226-Inputs!$C$119)),0)</f>
        <v>0</v>
      </c>
      <c r="AA228" s="23">
        <f>IF(AA226&gt;0,MIN(AA227,MIN(AA226,Inputs!$C$119)+Inputs!$C$120*MAX(0,AA226-Inputs!$C$119)),0)</f>
        <v>0</v>
      </c>
      <c r="AB228" s="23">
        <f>IF(AB226&gt;0,MIN(AB227,MIN(AB226,Inputs!$C$119)+Inputs!$C$120*MAX(0,AB226-Inputs!$C$119)),0)</f>
        <v>0</v>
      </c>
      <c r="AC228" s="23">
        <f>IF(AC226&gt;0,MIN(AC227,MIN(AC226,Inputs!$C$119)+Inputs!$C$120*MAX(0,AC226-Inputs!$C$119)),0)</f>
        <v>0</v>
      </c>
      <c r="AD228" s="23">
        <f>IF(AD226&gt;0,MIN(AD227,MIN(AD226,Inputs!$C$119)+Inputs!$C$120*MAX(0,AD226-Inputs!$C$119)),0)</f>
        <v>0</v>
      </c>
      <c r="AE228" s="23">
        <f>IF(AE226&gt;0,MIN(AE227,MIN(AE226,Inputs!$C$119)+Inputs!$C$120*MAX(0,AE226-Inputs!$C$119)),0)</f>
        <v>0</v>
      </c>
    </row>
    <row r="229">
      <c r="A229" s="6" t="inlineStr">
        <is>
          <t xml:space="preserve">Trade loss carry-forward at the year end</t>
        </is>
      </c>
      <c r="B229" s="10" t="inlineStr">
        <is>
          <t xml:space="preserve">€</t>
        </is>
      </c>
      <c r="F229" s="23">
        <f>F227-F228+MAX(0,-F226)</f>
        <v>0</v>
      </c>
      <c r="G229" s="23">
        <f>G227-G228+MAX(0,-G226)</f>
        <v>764685.4486137051</v>
      </c>
      <c r="H229" s="23">
        <f>H227-H228+MAX(0,-H226)</f>
        <v>1612206.3984006857</v>
      </c>
      <c r="I229" s="23">
        <f>I227-I228+MAX(0,-I226)</f>
        <v>2411770.366241762</v>
      </c>
      <c r="J229" s="23">
        <f>J227-J228+MAX(0,-J226)</f>
        <v>3162948.5480898162</v>
      </c>
      <c r="K229" s="23">
        <f>K227-K228+MAX(0,-K226)</f>
        <v>3526588.9917520653</v>
      </c>
      <c r="L229" s="23">
        <f>L227-L228+MAX(0,-L226)</f>
        <v>4179326.4773325445</v>
      </c>
      <c r="M229" s="23">
        <f>M227-M228+MAX(0,-M226)</f>
        <v>4782215.269725471</v>
      </c>
      <c r="N229" s="23">
        <f>N227-N228+MAX(0,-N226)</f>
        <v>5334982.193393966</v>
      </c>
      <c r="O229" s="23">
        <f>O227-O228+MAX(0,-O226)</f>
        <v>5837024.34726672</v>
      </c>
      <c r="P229" s="23">
        <f>P227-P228+MAX(0,-P226)</f>
        <v>6412183.420987812</v>
      </c>
      <c r="Q229" s="23">
        <f>Q227-Q228+MAX(0,-Q226)</f>
        <v>6938617.097521122</v>
      </c>
      <c r="R229" s="23">
        <f>R227-R228+MAX(0,-R226)</f>
        <v>7416349.125662726</v>
      </c>
      <c r="S229" s="23">
        <f>S227-S228+MAX(0,-S226)</f>
        <v>7844897.585653346</v>
      </c>
      <c r="T229" s="23">
        <f>T227-T228+MAX(0,-T226)</f>
        <v>8224393.098491212</v>
      </c>
      <c r="U229" s="23">
        <f>U227-U228+MAX(0,-U226)</f>
        <v>8554864.20236487</v>
      </c>
      <c r="V229" s="23">
        <f>V227-V228+MAX(0,-V226)</f>
        <v>7252682.897147373</v>
      </c>
      <c r="W229" s="23">
        <f>W227-W228+MAX(0,-W226)</f>
        <v>4849822.011708656</v>
      </c>
      <c r="X229" s="23">
        <f>X227-X228+MAX(0,-X226)</f>
        <v>2417916.545516985</v>
      </c>
      <c r="Y229" s="23">
        <f>Y227-Y228+MAX(0,-Y226)</f>
        <v>0</v>
      </c>
      <c r="Z229" s="23">
        <f>Z227-Z228+MAX(0,-Z226)</f>
        <v>0</v>
      </c>
      <c r="AA229" s="23">
        <f>AA227-AA228+MAX(0,-AA226)</f>
        <v>0</v>
      </c>
      <c r="AB229" s="23">
        <f>AB227-AB228+MAX(0,-AB226)</f>
        <v>0</v>
      </c>
      <c r="AC229" s="23">
        <f>AC227-AC228+MAX(0,-AC226)</f>
        <v>0</v>
      </c>
      <c r="AD229" s="23">
        <f>AD227-AD228+MAX(0,-AD226)</f>
        <v>0</v>
      </c>
      <c r="AE229" s="23">
        <f>AE227-AE228+MAX(0,-AE226)</f>
        <v>0</v>
      </c>
    </row>
    <row r="230">
      <c r="A230" s="6" t="inlineStr">
        <is>
          <t xml:space="preserve">Trade tax base (rounded down to €100; KG allowance)</t>
        </is>
      </c>
      <c r="B230" s="10" t="inlineStr">
        <is>
          <t xml:space="preserve">€</t>
        </is>
      </c>
      <c r="F230" s="23">
        <f>IF(Inputs!$C$91="KG",MAX(0,ROUNDDOWN(MAX(0,F226-F228)/100,0)*100-Inputs!$C$115),ROUNDDOWN(MAX(0,F226-F228)/100,0)*100)</f>
        <v>2300</v>
      </c>
      <c r="G230" s="23">
        <f>IF(Inputs!$C$91="KG",MAX(0,ROUNDDOWN(MAX(0,G226-G228)/100,0)*100-Inputs!$C$115),ROUNDDOWN(MAX(0,G226-G228)/100,0)*100)</f>
        <v>0</v>
      </c>
      <c r="H230" s="23">
        <f>IF(Inputs!$C$91="KG",MAX(0,ROUNDDOWN(MAX(0,H226-H228)/100,0)*100-Inputs!$C$115),ROUNDDOWN(MAX(0,H226-H228)/100,0)*100)</f>
        <v>0</v>
      </c>
      <c r="I230" s="23">
        <f>IF(Inputs!$C$91="KG",MAX(0,ROUNDDOWN(MAX(0,I226-I228)/100,0)*100-Inputs!$C$115),ROUNDDOWN(MAX(0,I226-I228)/100,0)*100)</f>
        <v>0</v>
      </c>
      <c r="J230" s="23">
        <f>IF(Inputs!$C$91="KG",MAX(0,ROUNDDOWN(MAX(0,J226-J228)/100,0)*100-Inputs!$C$115),ROUNDDOWN(MAX(0,J226-J228)/100,0)*100)</f>
        <v>0</v>
      </c>
      <c r="K230" s="23">
        <f>IF(Inputs!$C$91="KG",MAX(0,ROUNDDOWN(MAX(0,K226-K228)/100,0)*100-Inputs!$C$115),ROUNDDOWN(MAX(0,K226-K228)/100,0)*100)</f>
        <v>0</v>
      </c>
      <c r="L230" s="23">
        <f>IF(Inputs!$C$91="KG",MAX(0,ROUNDDOWN(MAX(0,L226-L228)/100,0)*100-Inputs!$C$115),ROUNDDOWN(MAX(0,L226-L228)/100,0)*100)</f>
        <v>0</v>
      </c>
      <c r="M230" s="23">
        <f>IF(Inputs!$C$91="KG",MAX(0,ROUNDDOWN(MAX(0,M226-M228)/100,0)*100-Inputs!$C$115),ROUNDDOWN(MAX(0,M226-M228)/100,0)*100)</f>
        <v>0</v>
      </c>
      <c r="N230" s="23">
        <f>IF(Inputs!$C$91="KG",MAX(0,ROUNDDOWN(MAX(0,N226-N228)/100,0)*100-Inputs!$C$115),ROUNDDOWN(MAX(0,N226-N228)/100,0)*100)</f>
        <v>0</v>
      </c>
      <c r="O230" s="23">
        <f>IF(Inputs!$C$91="KG",MAX(0,ROUNDDOWN(MAX(0,O226-O228)/100,0)*100-Inputs!$C$115),ROUNDDOWN(MAX(0,O226-O228)/100,0)*100)</f>
        <v>0</v>
      </c>
      <c r="P230" s="23">
        <f>IF(Inputs!$C$91="KG",MAX(0,ROUNDDOWN(MAX(0,P226-P228)/100,0)*100-Inputs!$C$115),ROUNDDOWN(MAX(0,P226-P228)/100,0)*100)</f>
        <v>0</v>
      </c>
      <c r="Q230" s="23">
        <f>IF(Inputs!$C$91="KG",MAX(0,ROUNDDOWN(MAX(0,Q226-Q228)/100,0)*100-Inputs!$C$115),ROUNDDOWN(MAX(0,Q226-Q228)/100,0)*100)</f>
        <v>0</v>
      </c>
      <c r="R230" s="23">
        <f>IF(Inputs!$C$91="KG",MAX(0,ROUNDDOWN(MAX(0,R226-R228)/100,0)*100-Inputs!$C$115),ROUNDDOWN(MAX(0,R226-R228)/100,0)*100)</f>
        <v>0</v>
      </c>
      <c r="S230" s="23">
        <f>IF(Inputs!$C$91="KG",MAX(0,ROUNDDOWN(MAX(0,S226-S228)/100,0)*100-Inputs!$C$115),ROUNDDOWN(MAX(0,S226-S228)/100,0)*100)</f>
        <v>0</v>
      </c>
      <c r="T230" s="23">
        <f>IF(Inputs!$C$91="KG",MAX(0,ROUNDDOWN(MAX(0,T226-T228)/100,0)*100-Inputs!$C$115),ROUNDDOWN(MAX(0,T226-T228)/100,0)*100)</f>
        <v>0</v>
      </c>
      <c r="U230" s="23">
        <f>IF(Inputs!$C$91="KG",MAX(0,ROUNDDOWN(MAX(0,U226-U228)/100,0)*100-Inputs!$C$115),ROUNDDOWN(MAX(0,U226-U228)/100,0)*100)</f>
        <v>0</v>
      </c>
      <c r="V230" s="23">
        <f>IF(Inputs!$C$91="KG",MAX(0,ROUNDDOWN(MAX(0,V226-V228)/100,0)*100-Inputs!$C$115),ROUNDDOWN(MAX(0,V226-V228)/100,0)*100)</f>
        <v>176900</v>
      </c>
      <c r="W230" s="23">
        <f>IF(Inputs!$C$91="KG",MAX(0,ROUNDDOWN(MAX(0,W226-W228)/100,0)*100-Inputs!$C$115),ROUNDDOWN(MAX(0,W226-W228)/100,0)*100)</f>
        <v>910700</v>
      </c>
      <c r="X230" s="23">
        <f>IF(Inputs!$C$91="KG",MAX(0,ROUNDDOWN(MAX(0,X226-X228)/100,0)*100-Inputs!$C$115),ROUNDDOWN(MAX(0,X226-X228)/100,0)*100)</f>
        <v>930100</v>
      </c>
      <c r="Y230" s="23">
        <f>IF(Inputs!$C$91="KG",MAX(0,ROUNDDOWN(MAX(0,Y226-Y228)/100,0)*100-Inputs!$C$115),ROUNDDOWN(MAX(0,Y226-Y228)/100,0)*100)</f>
        <v>992000</v>
      </c>
      <c r="Z230" s="23">
        <f>IF(Inputs!$C$91="KG",MAX(0,ROUNDDOWN(MAX(0,Z226-Z228)/100,0)*100-Inputs!$C$115),ROUNDDOWN(MAX(0,Z226-Z228)/100,0)*100)</f>
        <v>3376300</v>
      </c>
      <c r="AA230" s="23">
        <f>IF(Inputs!$C$91="KG",MAX(0,ROUNDDOWN(MAX(0,AA226-AA228)/100,0)*100-Inputs!$C$115),ROUNDDOWN(MAX(0,AA226-AA228)/100,0)*100)</f>
        <v>3421900</v>
      </c>
      <c r="AB230" s="23">
        <f>IF(Inputs!$C$91="KG",MAX(0,ROUNDDOWN(MAX(0,AB226-AB228)/100,0)*100-Inputs!$C$115),ROUNDDOWN(MAX(0,AB226-AB228)/100,0)*100)</f>
        <v>3466200</v>
      </c>
      <c r="AC230" s="23">
        <f>IF(Inputs!$C$91="KG",MAX(0,ROUNDDOWN(MAX(0,AC226-AC228)/100,0)*100-Inputs!$C$115),ROUNDDOWN(MAX(0,AC226-AC228)/100,0)*100)</f>
        <v>3509500</v>
      </c>
      <c r="AD230" s="23">
        <f>IF(Inputs!$C$91="KG",MAX(0,ROUNDDOWN(MAX(0,AD226-AD228)/100,0)*100-Inputs!$C$115),ROUNDDOWN(MAX(0,AD226-AD228)/100,0)*100)</f>
        <v>3482900</v>
      </c>
      <c r="AE230" s="23">
        <f>IF(Inputs!$C$91="KG",MAX(0,ROUNDDOWN(MAX(0,AE226-AE228)/100,0)*100-Inputs!$C$115),ROUNDDOWN(MAX(0,AE226-AE228)/100,0)*100)</f>
        <v>1798300</v>
      </c>
    </row>
    <row r="231">
      <c r="A231" s="6" t="inlineStr">
        <is>
          <t xml:space="preserve">Trade tax</t>
        </is>
      </c>
      <c r="B231" s="10" t="inlineStr">
        <is>
          <t xml:space="preserve">€</t>
        </is>
      </c>
      <c r="F231" s="23">
        <f>F230*Inputs!$C$114*Inputs!$C$92</f>
        <v>322.00000000000006</v>
      </c>
      <c r="G231" s="23">
        <f>G230*Inputs!$C$114*Inputs!$C$92</f>
        <v>0</v>
      </c>
      <c r="H231" s="23">
        <f>H230*Inputs!$C$114*Inputs!$C$92</f>
        <v>0</v>
      </c>
      <c r="I231" s="23">
        <f>I230*Inputs!$C$114*Inputs!$C$92</f>
        <v>0</v>
      </c>
      <c r="J231" s="23">
        <f>J230*Inputs!$C$114*Inputs!$C$92</f>
        <v>0</v>
      </c>
      <c r="K231" s="23">
        <f>K230*Inputs!$C$114*Inputs!$C$92</f>
        <v>0</v>
      </c>
      <c r="L231" s="23">
        <f>L230*Inputs!$C$114*Inputs!$C$92</f>
        <v>0</v>
      </c>
      <c r="M231" s="23">
        <f>M230*Inputs!$C$114*Inputs!$C$92</f>
        <v>0</v>
      </c>
      <c r="N231" s="23">
        <f>N230*Inputs!$C$114*Inputs!$C$92</f>
        <v>0</v>
      </c>
      <c r="O231" s="23">
        <f>O230*Inputs!$C$114*Inputs!$C$92</f>
        <v>0</v>
      </c>
      <c r="P231" s="23">
        <f>P230*Inputs!$C$114*Inputs!$C$92</f>
        <v>0</v>
      </c>
      <c r="Q231" s="23">
        <f>Q230*Inputs!$C$114*Inputs!$C$92</f>
        <v>0</v>
      </c>
      <c r="R231" s="23">
        <f>R230*Inputs!$C$114*Inputs!$C$92</f>
        <v>0</v>
      </c>
      <c r="S231" s="23">
        <f>S230*Inputs!$C$114*Inputs!$C$92</f>
        <v>0</v>
      </c>
      <c r="T231" s="23">
        <f>T230*Inputs!$C$114*Inputs!$C$92</f>
        <v>0</v>
      </c>
      <c r="U231" s="23">
        <f>U230*Inputs!$C$114*Inputs!$C$92</f>
        <v>0</v>
      </c>
      <c r="V231" s="23">
        <f>V230*Inputs!$C$114*Inputs!$C$92</f>
        <v>24766.000000000004</v>
      </c>
      <c r="W231" s="23">
        <f>W230*Inputs!$C$114*Inputs!$C$92</f>
        <v>127498.00000000001</v>
      </c>
      <c r="X231" s="23">
        <f>X230*Inputs!$C$114*Inputs!$C$92</f>
        <v>130214.00000000001</v>
      </c>
      <c r="Y231" s="23">
        <f>Y230*Inputs!$C$114*Inputs!$C$92</f>
        <v>138880</v>
      </c>
      <c r="Z231" s="23">
        <f>Z230*Inputs!$C$114*Inputs!$C$92</f>
        <v>472682.00000000006</v>
      </c>
      <c r="AA231" s="23">
        <f>AA230*Inputs!$C$114*Inputs!$C$92</f>
        <v>479066.00000000006</v>
      </c>
      <c r="AB231" s="23">
        <f>AB230*Inputs!$C$114*Inputs!$C$92</f>
        <v>485268.00000000006</v>
      </c>
      <c r="AC231" s="23">
        <f>AC230*Inputs!$C$114*Inputs!$C$92</f>
        <v>491330.00000000006</v>
      </c>
      <c r="AD231" s="23">
        <f>AD230*Inputs!$C$114*Inputs!$C$92</f>
        <v>487606.00000000006</v>
      </c>
      <c r="AE231" s="23">
        <f>AE230*Inputs!$C$114*Inputs!$C$92</f>
        <v>251762.00000000003</v>
      </c>
    </row>
    <row r="232">
      <c r="A232" s="6" t="inlineStr">
        <is>
          <t xml:space="preserve">Corporate loss carry-forward at the start (GmbH)</t>
        </is>
      </c>
      <c r="B232" s="10" t="inlineStr">
        <is>
          <t xml:space="preserve">€</t>
        </is>
      </c>
      <c r="E232" s="9">
        <v>0</v>
      </c>
      <c r="F232" s="23">
        <f>E235</f>
        <v>0</v>
      </c>
      <c r="G232" s="23">
        <f>F235</f>
        <v>0</v>
      </c>
      <c r="H232" s="23">
        <f>G235</f>
        <v>0</v>
      </c>
      <c r="I232" s="23">
        <f>H235</f>
        <v>0</v>
      </c>
      <c r="J232" s="23">
        <f>I235</f>
        <v>0</v>
      </c>
      <c r="K232" s="23">
        <f>J235</f>
        <v>0</v>
      </c>
      <c r="L232" s="23">
        <f>K235</f>
        <v>0</v>
      </c>
      <c r="M232" s="23">
        <f>L235</f>
        <v>0</v>
      </c>
      <c r="N232" s="23">
        <f>M235</f>
        <v>0</v>
      </c>
      <c r="O232" s="23">
        <f>N235</f>
        <v>0</v>
      </c>
      <c r="P232" s="23">
        <f>O235</f>
        <v>0</v>
      </c>
      <c r="Q232" s="23">
        <f>P235</f>
        <v>0</v>
      </c>
      <c r="R232" s="23">
        <f>Q235</f>
        <v>0</v>
      </c>
      <c r="S232" s="23">
        <f>R235</f>
        <v>0</v>
      </c>
      <c r="T232" s="23">
        <f>S235</f>
        <v>0</v>
      </c>
      <c r="U232" s="23">
        <f>T235</f>
        <v>0</v>
      </c>
      <c r="V232" s="23">
        <f>U235</f>
        <v>0</v>
      </c>
      <c r="W232" s="23">
        <f>V235</f>
        <v>0</v>
      </c>
      <c r="X232" s="23">
        <f>W235</f>
        <v>0</v>
      </c>
      <c r="Y232" s="23">
        <f>X235</f>
        <v>0</v>
      </c>
      <c r="Z232" s="23">
        <f>Y235</f>
        <v>0</v>
      </c>
      <c r="AA232" s="23">
        <f>Z235</f>
        <v>0</v>
      </c>
      <c r="AB232" s="23">
        <f>AA235</f>
        <v>0</v>
      </c>
      <c r="AC232" s="23">
        <f>AB235</f>
        <v>0</v>
      </c>
      <c r="AD232" s="23">
        <f>AC235</f>
        <v>0</v>
      </c>
      <c r="AE232" s="23">
        <f>AD235</f>
        <v>0</v>
      </c>
    </row>
    <row r="233">
      <c r="A233" s="6" t="inlineStr">
        <is>
          <t xml:space="preserve">Corporate tax: share of profit above €1m that losses may offset</t>
        </is>
      </c>
      <c r="F233" s="24">
        <f>IF(Timing!F59&lt;=Inputs!$C$123,Inputs!$C$121,Inputs!$C$122)</f>
        <v>0.6</v>
      </c>
      <c r="G233" s="24">
        <f>IF(Timing!G59&lt;=Inputs!$C$123,Inputs!$C$121,Inputs!$C$122)</f>
        <v>0.6</v>
      </c>
      <c r="H233" s="24">
        <f>IF(Timing!H59&lt;=Inputs!$C$123,Inputs!$C$121,Inputs!$C$122)</f>
        <v>0.6</v>
      </c>
      <c r="I233" s="24">
        <f>IF(Timing!I59&lt;=Inputs!$C$123,Inputs!$C$121,Inputs!$C$122)</f>
        <v>0.6</v>
      </c>
      <c r="J233" s="24">
        <f>IF(Timing!J59&lt;=Inputs!$C$123,Inputs!$C$121,Inputs!$C$122)</f>
        <v>0.6</v>
      </c>
      <c r="K233" s="24">
        <f>IF(Timing!K59&lt;=Inputs!$C$123,Inputs!$C$121,Inputs!$C$122)</f>
        <v>0.6</v>
      </c>
      <c r="L233" s="24">
        <f>IF(Timing!L59&lt;=Inputs!$C$123,Inputs!$C$121,Inputs!$C$122)</f>
        <v>0.6</v>
      </c>
      <c r="M233" s="24">
        <f>IF(Timing!M59&lt;=Inputs!$C$123,Inputs!$C$121,Inputs!$C$122)</f>
        <v>0.6</v>
      </c>
      <c r="N233" s="24">
        <f>IF(Timing!N59&lt;=Inputs!$C$123,Inputs!$C$121,Inputs!$C$122)</f>
        <v>0.6</v>
      </c>
      <c r="O233" s="24">
        <f>IF(Timing!O59&lt;=Inputs!$C$123,Inputs!$C$121,Inputs!$C$122)</f>
        <v>0.6</v>
      </c>
      <c r="P233" s="24">
        <f>IF(Timing!P59&lt;=Inputs!$C$123,Inputs!$C$121,Inputs!$C$122)</f>
        <v>0.6</v>
      </c>
      <c r="Q233" s="24">
        <f>IF(Timing!Q59&lt;=Inputs!$C$123,Inputs!$C$121,Inputs!$C$122)</f>
        <v>0.6</v>
      </c>
      <c r="R233" s="24">
        <f>IF(Timing!R59&lt;=Inputs!$C$123,Inputs!$C$121,Inputs!$C$122)</f>
        <v>0.6</v>
      </c>
      <c r="S233" s="24">
        <f>IF(Timing!S59&lt;=Inputs!$C$123,Inputs!$C$121,Inputs!$C$122)</f>
        <v>0.6</v>
      </c>
      <c r="T233" s="24">
        <f>IF(Timing!T59&lt;=Inputs!$C$123,Inputs!$C$121,Inputs!$C$122)</f>
        <v>0.6</v>
      </c>
      <c r="U233" s="24">
        <f>IF(Timing!U59&lt;=Inputs!$C$123,Inputs!$C$121,Inputs!$C$122)</f>
        <v>0.6</v>
      </c>
      <c r="V233" s="24">
        <f>IF(Timing!V59&lt;=Inputs!$C$123,Inputs!$C$121,Inputs!$C$122)</f>
        <v>0.6</v>
      </c>
      <c r="W233" s="24">
        <f>IF(Timing!W59&lt;=Inputs!$C$123,Inputs!$C$121,Inputs!$C$122)</f>
        <v>0.6</v>
      </c>
      <c r="X233" s="24">
        <f>IF(Timing!X59&lt;=Inputs!$C$123,Inputs!$C$121,Inputs!$C$122)</f>
        <v>0.6</v>
      </c>
      <c r="Y233" s="24">
        <f>IF(Timing!Y59&lt;=Inputs!$C$123,Inputs!$C$121,Inputs!$C$122)</f>
        <v>0.6</v>
      </c>
      <c r="Z233" s="24">
        <f>IF(Timing!Z59&lt;=Inputs!$C$123,Inputs!$C$121,Inputs!$C$122)</f>
        <v>0.6</v>
      </c>
      <c r="AA233" s="24">
        <f>IF(Timing!AA59&lt;=Inputs!$C$123,Inputs!$C$121,Inputs!$C$122)</f>
        <v>0.6</v>
      </c>
      <c r="AB233" s="24">
        <f>IF(Timing!AB59&lt;=Inputs!$C$123,Inputs!$C$121,Inputs!$C$122)</f>
        <v>0.6</v>
      </c>
      <c r="AC233" s="24">
        <f>IF(Timing!AC59&lt;=Inputs!$C$123,Inputs!$C$121,Inputs!$C$122)</f>
        <v>0.6</v>
      </c>
      <c r="AD233" s="24">
        <f>IF(Timing!AD59&lt;=Inputs!$C$123,Inputs!$C$121,Inputs!$C$122)</f>
        <v>0.6</v>
      </c>
      <c r="AE233" s="24">
        <f>IF(Timing!AE59&lt;=Inputs!$C$123,Inputs!$C$121,Inputs!$C$122)</f>
        <v>0.6</v>
      </c>
    </row>
    <row r="234">
      <c r="A234" s="6" t="inlineStr">
        <is>
          <t xml:space="preserve">Corporate losses used</t>
        </is>
      </c>
      <c r="B234" s="10" t="inlineStr">
        <is>
          <t xml:space="preserve">€</t>
        </is>
      </c>
      <c r="F234" s="23">
        <f>IF(AND(Inputs!$C$91="GmbH",F224&gt;0),MIN(F232,MIN(F224,Inputs!$C$119)+F233*MAX(0,F224-Inputs!$C$119)),0)</f>
        <v>0</v>
      </c>
      <c r="G234" s="23">
        <f>IF(AND(Inputs!$C$91="GmbH",G224&gt;0),MIN(G232,MIN(G224,Inputs!$C$119)+G233*MAX(0,G224-Inputs!$C$119)),0)</f>
        <v>0</v>
      </c>
      <c r="H234" s="23">
        <f>IF(AND(Inputs!$C$91="GmbH",H224&gt;0),MIN(H232,MIN(H224,Inputs!$C$119)+H233*MAX(0,H224-Inputs!$C$119)),0)</f>
        <v>0</v>
      </c>
      <c r="I234" s="23">
        <f>IF(AND(Inputs!$C$91="GmbH",I224&gt;0),MIN(I232,MIN(I224,Inputs!$C$119)+I233*MAX(0,I224-Inputs!$C$119)),0)</f>
        <v>0</v>
      </c>
      <c r="J234" s="23">
        <f>IF(AND(Inputs!$C$91="GmbH",J224&gt;0),MIN(J232,MIN(J224,Inputs!$C$119)+J233*MAX(0,J224-Inputs!$C$119)),0)</f>
        <v>0</v>
      </c>
      <c r="K234" s="23">
        <f>IF(AND(Inputs!$C$91="GmbH",K224&gt;0),MIN(K232,MIN(K224,Inputs!$C$119)+K233*MAX(0,K224-Inputs!$C$119)),0)</f>
        <v>0</v>
      </c>
      <c r="L234" s="23">
        <f>IF(AND(Inputs!$C$91="GmbH",L224&gt;0),MIN(L232,MIN(L224,Inputs!$C$119)+L233*MAX(0,L224-Inputs!$C$119)),0)</f>
        <v>0</v>
      </c>
      <c r="M234" s="23">
        <f>IF(AND(Inputs!$C$91="GmbH",M224&gt;0),MIN(M232,MIN(M224,Inputs!$C$119)+M233*MAX(0,M224-Inputs!$C$119)),0)</f>
        <v>0</v>
      </c>
      <c r="N234" s="23">
        <f>IF(AND(Inputs!$C$91="GmbH",N224&gt;0),MIN(N232,MIN(N224,Inputs!$C$119)+N233*MAX(0,N224-Inputs!$C$119)),0)</f>
        <v>0</v>
      </c>
      <c r="O234" s="23">
        <f>IF(AND(Inputs!$C$91="GmbH",O224&gt;0),MIN(O232,MIN(O224,Inputs!$C$119)+O233*MAX(0,O224-Inputs!$C$119)),0)</f>
        <v>0</v>
      </c>
      <c r="P234" s="23">
        <f>IF(AND(Inputs!$C$91="GmbH",P224&gt;0),MIN(P232,MIN(P224,Inputs!$C$119)+P233*MAX(0,P224-Inputs!$C$119)),0)</f>
        <v>0</v>
      </c>
      <c r="Q234" s="23">
        <f>IF(AND(Inputs!$C$91="GmbH",Q224&gt;0),MIN(Q232,MIN(Q224,Inputs!$C$119)+Q233*MAX(0,Q224-Inputs!$C$119)),0)</f>
        <v>0</v>
      </c>
      <c r="R234" s="23">
        <f>IF(AND(Inputs!$C$91="GmbH",R224&gt;0),MIN(R232,MIN(R224,Inputs!$C$119)+R233*MAX(0,R224-Inputs!$C$119)),0)</f>
        <v>0</v>
      </c>
      <c r="S234" s="23">
        <f>IF(AND(Inputs!$C$91="GmbH",S224&gt;0),MIN(S232,MIN(S224,Inputs!$C$119)+S233*MAX(0,S224-Inputs!$C$119)),0)</f>
        <v>0</v>
      </c>
      <c r="T234" s="23">
        <f>IF(AND(Inputs!$C$91="GmbH",T224&gt;0),MIN(T232,MIN(T224,Inputs!$C$119)+T233*MAX(0,T224-Inputs!$C$119)),0)</f>
        <v>0</v>
      </c>
      <c r="U234" s="23">
        <f>IF(AND(Inputs!$C$91="GmbH",U224&gt;0),MIN(U232,MIN(U224,Inputs!$C$119)+U233*MAX(0,U224-Inputs!$C$119)),0)</f>
        <v>0</v>
      </c>
      <c r="V234" s="23">
        <f>IF(AND(Inputs!$C$91="GmbH",V224&gt;0),MIN(V232,MIN(V224,Inputs!$C$119)+V233*MAX(0,V224-Inputs!$C$119)),0)</f>
        <v>0</v>
      </c>
      <c r="W234" s="23">
        <f>IF(AND(Inputs!$C$91="GmbH",W224&gt;0),MIN(W232,MIN(W224,Inputs!$C$119)+W233*MAX(0,W224-Inputs!$C$119)),0)</f>
        <v>0</v>
      </c>
      <c r="X234" s="23">
        <f>IF(AND(Inputs!$C$91="GmbH",X224&gt;0),MIN(X232,MIN(X224,Inputs!$C$119)+X233*MAX(0,X224-Inputs!$C$119)),0)</f>
        <v>0</v>
      </c>
      <c r="Y234" s="23">
        <f>IF(AND(Inputs!$C$91="GmbH",Y224&gt;0),MIN(Y232,MIN(Y224,Inputs!$C$119)+Y233*MAX(0,Y224-Inputs!$C$119)),0)</f>
        <v>0</v>
      </c>
      <c r="Z234" s="23">
        <f>IF(AND(Inputs!$C$91="GmbH",Z224&gt;0),MIN(Z232,MIN(Z224,Inputs!$C$119)+Z233*MAX(0,Z224-Inputs!$C$119)),0)</f>
        <v>0</v>
      </c>
      <c r="AA234" s="23">
        <f>IF(AND(Inputs!$C$91="GmbH",AA224&gt;0),MIN(AA232,MIN(AA224,Inputs!$C$119)+AA233*MAX(0,AA224-Inputs!$C$119)),0)</f>
        <v>0</v>
      </c>
      <c r="AB234" s="23">
        <f>IF(AND(Inputs!$C$91="GmbH",AB224&gt;0),MIN(AB232,MIN(AB224,Inputs!$C$119)+AB233*MAX(0,AB224-Inputs!$C$119)),0)</f>
        <v>0</v>
      </c>
      <c r="AC234" s="23">
        <f>IF(AND(Inputs!$C$91="GmbH",AC224&gt;0),MIN(AC232,MIN(AC224,Inputs!$C$119)+AC233*MAX(0,AC224-Inputs!$C$119)),0)</f>
        <v>0</v>
      </c>
      <c r="AD234" s="23">
        <f>IF(AND(Inputs!$C$91="GmbH",AD224&gt;0),MIN(AD232,MIN(AD224,Inputs!$C$119)+AD233*MAX(0,AD224-Inputs!$C$119)),0)</f>
        <v>0</v>
      </c>
      <c r="AE234" s="23">
        <f>IF(AND(Inputs!$C$91="GmbH",AE224&gt;0),MIN(AE232,MIN(AE224,Inputs!$C$119)+AE233*MAX(0,AE224-Inputs!$C$119)),0)</f>
        <v>0</v>
      </c>
    </row>
    <row r="235">
      <c r="A235" s="6" t="inlineStr">
        <is>
          <t xml:space="preserve">Corporate loss carry-forward at the year end</t>
        </is>
      </c>
      <c r="B235" s="10" t="inlineStr">
        <is>
          <t xml:space="preserve">€</t>
        </is>
      </c>
      <c r="F235" s="23">
        <f>IF(Inputs!$C$91="GmbH",F232-F234+MAX(0,-F224),0)</f>
        <v>0</v>
      </c>
      <c r="G235" s="23">
        <f>IF(Inputs!$C$91="GmbH",G232-G234+MAX(0,-G224),0)</f>
        <v>0</v>
      </c>
      <c r="H235" s="23">
        <f>IF(Inputs!$C$91="GmbH",H232-H234+MAX(0,-H224),0)</f>
        <v>0</v>
      </c>
      <c r="I235" s="23">
        <f>IF(Inputs!$C$91="GmbH",I232-I234+MAX(0,-I224),0)</f>
        <v>0</v>
      </c>
      <c r="J235" s="23">
        <f>IF(Inputs!$C$91="GmbH",J232-J234+MAX(0,-J224),0)</f>
        <v>0</v>
      </c>
      <c r="K235" s="23">
        <f>IF(Inputs!$C$91="GmbH",K232-K234+MAX(0,-K224),0)</f>
        <v>0</v>
      </c>
      <c r="L235" s="23">
        <f>IF(Inputs!$C$91="GmbH",L232-L234+MAX(0,-L224),0)</f>
        <v>0</v>
      </c>
      <c r="M235" s="23">
        <f>IF(Inputs!$C$91="GmbH",M232-M234+MAX(0,-M224),0)</f>
        <v>0</v>
      </c>
      <c r="N235" s="23">
        <f>IF(Inputs!$C$91="GmbH",N232-N234+MAX(0,-N224),0)</f>
        <v>0</v>
      </c>
      <c r="O235" s="23">
        <f>IF(Inputs!$C$91="GmbH",O232-O234+MAX(0,-O224),0)</f>
        <v>0</v>
      </c>
      <c r="P235" s="23">
        <f>IF(Inputs!$C$91="GmbH",P232-P234+MAX(0,-P224),0)</f>
        <v>0</v>
      </c>
      <c r="Q235" s="23">
        <f>IF(Inputs!$C$91="GmbH",Q232-Q234+MAX(0,-Q224),0)</f>
        <v>0</v>
      </c>
      <c r="R235" s="23">
        <f>IF(Inputs!$C$91="GmbH",R232-R234+MAX(0,-R224),0)</f>
        <v>0</v>
      </c>
      <c r="S235" s="23">
        <f>IF(Inputs!$C$91="GmbH",S232-S234+MAX(0,-S224),0)</f>
        <v>0</v>
      </c>
      <c r="T235" s="23">
        <f>IF(Inputs!$C$91="GmbH",T232-T234+MAX(0,-T224),0)</f>
        <v>0</v>
      </c>
      <c r="U235" s="23">
        <f>IF(Inputs!$C$91="GmbH",U232-U234+MAX(0,-U224),0)</f>
        <v>0</v>
      </c>
      <c r="V235" s="23">
        <f>IF(Inputs!$C$91="GmbH",V232-V234+MAX(0,-V224),0)</f>
        <v>0</v>
      </c>
      <c r="W235" s="23">
        <f>IF(Inputs!$C$91="GmbH",W232-W234+MAX(0,-W224),0)</f>
        <v>0</v>
      </c>
      <c r="X235" s="23">
        <f>IF(Inputs!$C$91="GmbH",X232-X234+MAX(0,-X224),0)</f>
        <v>0</v>
      </c>
      <c r="Y235" s="23">
        <f>IF(Inputs!$C$91="GmbH",Y232-Y234+MAX(0,-Y224),0)</f>
        <v>0</v>
      </c>
      <c r="Z235" s="23">
        <f>IF(Inputs!$C$91="GmbH",Z232-Z234+MAX(0,-Z224),0)</f>
        <v>0</v>
      </c>
      <c r="AA235" s="23">
        <f>IF(Inputs!$C$91="GmbH",AA232-AA234+MAX(0,-AA224),0)</f>
        <v>0</v>
      </c>
      <c r="AB235" s="23">
        <f>IF(Inputs!$C$91="GmbH",AB232-AB234+MAX(0,-AB224),0)</f>
        <v>0</v>
      </c>
      <c r="AC235" s="23">
        <f>IF(Inputs!$C$91="GmbH",AC232-AC234+MAX(0,-AC224),0)</f>
        <v>0</v>
      </c>
      <c r="AD235" s="23">
        <f>IF(Inputs!$C$91="GmbH",AD232-AD234+MAX(0,-AD224),0)</f>
        <v>0</v>
      </c>
      <c r="AE235" s="23">
        <f>IF(Inputs!$C$91="GmbH",AE232-AE234+MAX(0,-AE224),0)</f>
        <v>0</v>
      </c>
    </row>
    <row r="236">
      <c r="A236" s="6" t="inlineStr">
        <is>
          <t xml:space="preserve">Corporate taxable income</t>
        </is>
      </c>
      <c r="B236" s="10" t="inlineStr">
        <is>
          <t xml:space="preserve">€</t>
        </is>
      </c>
      <c r="F236" s="23">
        <f>IF(Inputs!$C$91="GmbH",MAX(0,F224-F234),0)</f>
        <v>0</v>
      </c>
      <c r="G236" s="23">
        <f>IF(Inputs!$C$91="GmbH",MAX(0,G224-G234),0)</f>
        <v>0</v>
      </c>
      <c r="H236" s="23">
        <f>IF(Inputs!$C$91="GmbH",MAX(0,H224-H234),0)</f>
        <v>0</v>
      </c>
      <c r="I236" s="23">
        <f>IF(Inputs!$C$91="GmbH",MAX(0,I224-I234),0)</f>
        <v>0</v>
      </c>
      <c r="J236" s="23">
        <f>IF(Inputs!$C$91="GmbH",MAX(0,J224-J234),0)</f>
        <v>0</v>
      </c>
      <c r="K236" s="23">
        <f>IF(Inputs!$C$91="GmbH",MAX(0,K224-K234),0)</f>
        <v>0</v>
      </c>
      <c r="L236" s="23">
        <f>IF(Inputs!$C$91="GmbH",MAX(0,L224-L234),0)</f>
        <v>0</v>
      </c>
      <c r="M236" s="23">
        <f>IF(Inputs!$C$91="GmbH",MAX(0,M224-M234),0)</f>
        <v>0</v>
      </c>
      <c r="N236" s="23">
        <f>IF(Inputs!$C$91="GmbH",MAX(0,N224-N234),0)</f>
        <v>0</v>
      </c>
      <c r="O236" s="23">
        <f>IF(Inputs!$C$91="GmbH",MAX(0,O224-O234),0)</f>
        <v>0</v>
      </c>
      <c r="P236" s="23">
        <f>IF(Inputs!$C$91="GmbH",MAX(0,P224-P234),0)</f>
        <v>0</v>
      </c>
      <c r="Q236" s="23">
        <f>IF(Inputs!$C$91="GmbH",MAX(0,Q224-Q234),0)</f>
        <v>0</v>
      </c>
      <c r="R236" s="23">
        <f>IF(Inputs!$C$91="GmbH",MAX(0,R224-R234),0)</f>
        <v>0</v>
      </c>
      <c r="S236" s="23">
        <f>IF(Inputs!$C$91="GmbH",MAX(0,S224-S234),0)</f>
        <v>0</v>
      </c>
      <c r="T236" s="23">
        <f>IF(Inputs!$C$91="GmbH",MAX(0,T224-T234),0)</f>
        <v>0</v>
      </c>
      <c r="U236" s="23">
        <f>IF(Inputs!$C$91="GmbH",MAX(0,U224-U234),0)</f>
        <v>0</v>
      </c>
      <c r="V236" s="23">
        <f>IF(Inputs!$C$91="GmbH",MAX(0,V224-V234),0)</f>
        <v>0</v>
      </c>
      <c r="W236" s="23">
        <f>IF(Inputs!$C$91="GmbH",MAX(0,W224-W234),0)</f>
        <v>0</v>
      </c>
      <c r="X236" s="23">
        <f>IF(Inputs!$C$91="GmbH",MAX(0,X224-X234),0)</f>
        <v>0</v>
      </c>
      <c r="Y236" s="23">
        <f>IF(Inputs!$C$91="GmbH",MAX(0,Y224-Y234),0)</f>
        <v>0</v>
      </c>
      <c r="Z236" s="23">
        <f>IF(Inputs!$C$91="GmbH",MAX(0,Z224-Z234),0)</f>
        <v>0</v>
      </c>
      <c r="AA236" s="23">
        <f>IF(Inputs!$C$91="GmbH",MAX(0,AA224-AA234),0)</f>
        <v>0</v>
      </c>
      <c r="AB236" s="23">
        <f>IF(Inputs!$C$91="GmbH",MAX(0,AB224-AB234),0)</f>
        <v>0</v>
      </c>
      <c r="AC236" s="23">
        <f>IF(Inputs!$C$91="GmbH",MAX(0,AC224-AC234),0)</f>
        <v>0</v>
      </c>
      <c r="AD236" s="23">
        <f>IF(Inputs!$C$91="GmbH",MAX(0,AD224-AD234),0)</f>
        <v>0</v>
      </c>
      <c r="AE236" s="23">
        <f>IF(Inputs!$C$91="GmbH",MAX(0,AE224-AE234),0)</f>
        <v>0</v>
      </c>
    </row>
    <row r="237">
      <c r="A237" s="6" t="inlineStr">
        <is>
          <t xml:space="preserve">Corporate tax rate (§ 23 KStG)</t>
        </is>
      </c>
      <c r="F237" s="24">
        <f>IF(Inputs!$C$91="GmbH",MAX(Inputs!$C$125,Inputs!$C$124-Inputs!$C$126*MAX(0,Timing!F59-Inputs!$C$127)),0)</f>
        <v>0</v>
      </c>
      <c r="G237" s="24">
        <f>IF(Inputs!$C$91="GmbH",MAX(Inputs!$C$125,Inputs!$C$124-Inputs!$C$126*MAX(0,Timing!G59-Inputs!$C$127)),0)</f>
        <v>0</v>
      </c>
      <c r="H237" s="24">
        <f>IF(Inputs!$C$91="GmbH",MAX(Inputs!$C$125,Inputs!$C$124-Inputs!$C$126*MAX(0,Timing!H59-Inputs!$C$127)),0)</f>
        <v>0</v>
      </c>
      <c r="I237" s="24">
        <f>IF(Inputs!$C$91="GmbH",MAX(Inputs!$C$125,Inputs!$C$124-Inputs!$C$126*MAX(0,Timing!I59-Inputs!$C$127)),0)</f>
        <v>0</v>
      </c>
      <c r="J237" s="24">
        <f>IF(Inputs!$C$91="GmbH",MAX(Inputs!$C$125,Inputs!$C$124-Inputs!$C$126*MAX(0,Timing!J59-Inputs!$C$127)),0)</f>
        <v>0</v>
      </c>
      <c r="K237" s="24">
        <f>IF(Inputs!$C$91="GmbH",MAX(Inputs!$C$125,Inputs!$C$124-Inputs!$C$126*MAX(0,Timing!K59-Inputs!$C$127)),0)</f>
        <v>0</v>
      </c>
      <c r="L237" s="24">
        <f>IF(Inputs!$C$91="GmbH",MAX(Inputs!$C$125,Inputs!$C$124-Inputs!$C$126*MAX(0,Timing!L59-Inputs!$C$127)),0)</f>
        <v>0</v>
      </c>
      <c r="M237" s="24">
        <f>IF(Inputs!$C$91="GmbH",MAX(Inputs!$C$125,Inputs!$C$124-Inputs!$C$126*MAX(0,Timing!M59-Inputs!$C$127)),0)</f>
        <v>0</v>
      </c>
      <c r="N237" s="24">
        <f>IF(Inputs!$C$91="GmbH",MAX(Inputs!$C$125,Inputs!$C$124-Inputs!$C$126*MAX(0,Timing!N59-Inputs!$C$127)),0)</f>
        <v>0</v>
      </c>
      <c r="O237" s="24">
        <f>IF(Inputs!$C$91="GmbH",MAX(Inputs!$C$125,Inputs!$C$124-Inputs!$C$126*MAX(0,Timing!O59-Inputs!$C$127)),0)</f>
        <v>0</v>
      </c>
      <c r="P237" s="24">
        <f>IF(Inputs!$C$91="GmbH",MAX(Inputs!$C$125,Inputs!$C$124-Inputs!$C$126*MAX(0,Timing!P59-Inputs!$C$127)),0)</f>
        <v>0</v>
      </c>
      <c r="Q237" s="24">
        <f>IF(Inputs!$C$91="GmbH",MAX(Inputs!$C$125,Inputs!$C$124-Inputs!$C$126*MAX(0,Timing!Q59-Inputs!$C$127)),0)</f>
        <v>0</v>
      </c>
      <c r="R237" s="24">
        <f>IF(Inputs!$C$91="GmbH",MAX(Inputs!$C$125,Inputs!$C$124-Inputs!$C$126*MAX(0,Timing!R59-Inputs!$C$127)),0)</f>
        <v>0</v>
      </c>
      <c r="S237" s="24">
        <f>IF(Inputs!$C$91="GmbH",MAX(Inputs!$C$125,Inputs!$C$124-Inputs!$C$126*MAX(0,Timing!S59-Inputs!$C$127)),0)</f>
        <v>0</v>
      </c>
      <c r="T237" s="24">
        <f>IF(Inputs!$C$91="GmbH",MAX(Inputs!$C$125,Inputs!$C$124-Inputs!$C$126*MAX(0,Timing!T59-Inputs!$C$127)),0)</f>
        <v>0</v>
      </c>
      <c r="U237" s="24">
        <f>IF(Inputs!$C$91="GmbH",MAX(Inputs!$C$125,Inputs!$C$124-Inputs!$C$126*MAX(0,Timing!U59-Inputs!$C$127)),0)</f>
        <v>0</v>
      </c>
      <c r="V237" s="24">
        <f>IF(Inputs!$C$91="GmbH",MAX(Inputs!$C$125,Inputs!$C$124-Inputs!$C$126*MAX(0,Timing!V59-Inputs!$C$127)),0)</f>
        <v>0</v>
      </c>
      <c r="W237" s="24">
        <f>IF(Inputs!$C$91="GmbH",MAX(Inputs!$C$125,Inputs!$C$124-Inputs!$C$126*MAX(0,Timing!W59-Inputs!$C$127)),0)</f>
        <v>0</v>
      </c>
      <c r="X237" s="24">
        <f>IF(Inputs!$C$91="GmbH",MAX(Inputs!$C$125,Inputs!$C$124-Inputs!$C$126*MAX(0,Timing!X59-Inputs!$C$127)),0)</f>
        <v>0</v>
      </c>
      <c r="Y237" s="24">
        <f>IF(Inputs!$C$91="GmbH",MAX(Inputs!$C$125,Inputs!$C$124-Inputs!$C$126*MAX(0,Timing!Y59-Inputs!$C$127)),0)</f>
        <v>0</v>
      </c>
      <c r="Z237" s="24">
        <f>IF(Inputs!$C$91="GmbH",MAX(Inputs!$C$125,Inputs!$C$124-Inputs!$C$126*MAX(0,Timing!Z59-Inputs!$C$127)),0)</f>
        <v>0</v>
      </c>
      <c r="AA237" s="24">
        <f>IF(Inputs!$C$91="GmbH",MAX(Inputs!$C$125,Inputs!$C$124-Inputs!$C$126*MAX(0,Timing!AA59-Inputs!$C$127)),0)</f>
        <v>0</v>
      </c>
      <c r="AB237" s="24">
        <f>IF(Inputs!$C$91="GmbH",MAX(Inputs!$C$125,Inputs!$C$124-Inputs!$C$126*MAX(0,Timing!AB59-Inputs!$C$127)),0)</f>
        <v>0</v>
      </c>
      <c r="AC237" s="24">
        <f>IF(Inputs!$C$91="GmbH",MAX(Inputs!$C$125,Inputs!$C$124-Inputs!$C$126*MAX(0,Timing!AC59-Inputs!$C$127)),0)</f>
        <v>0</v>
      </c>
      <c r="AD237" s="24">
        <f>IF(Inputs!$C$91="GmbH",MAX(Inputs!$C$125,Inputs!$C$124-Inputs!$C$126*MAX(0,Timing!AD59-Inputs!$C$127)),0)</f>
        <v>0</v>
      </c>
      <c r="AE237" s="24">
        <f>IF(Inputs!$C$91="GmbH",MAX(Inputs!$C$125,Inputs!$C$124-Inputs!$C$126*MAX(0,Timing!AE59-Inputs!$C$127)),0)</f>
        <v>0</v>
      </c>
    </row>
    <row r="238">
      <c r="A238" s="6" t="inlineStr">
        <is>
          <t xml:space="preserve">Corporate tax</t>
        </is>
      </c>
      <c r="B238" s="10" t="inlineStr">
        <is>
          <t xml:space="preserve">€</t>
        </is>
      </c>
      <c r="F238" s="23">
        <f>F236*F237</f>
        <v>0</v>
      </c>
      <c r="G238" s="23">
        <f>G236*G237</f>
        <v>0</v>
      </c>
      <c r="H238" s="23">
        <f>H236*H237</f>
        <v>0</v>
      </c>
      <c r="I238" s="23">
        <f>I236*I237</f>
        <v>0</v>
      </c>
      <c r="J238" s="23">
        <f>J236*J237</f>
        <v>0</v>
      </c>
      <c r="K238" s="23">
        <f>K236*K237</f>
        <v>0</v>
      </c>
      <c r="L238" s="23">
        <f>L236*L237</f>
        <v>0</v>
      </c>
      <c r="M238" s="23">
        <f>M236*M237</f>
        <v>0</v>
      </c>
      <c r="N238" s="23">
        <f>N236*N237</f>
        <v>0</v>
      </c>
      <c r="O238" s="23">
        <f>O236*O237</f>
        <v>0</v>
      </c>
      <c r="P238" s="23">
        <f>P236*P237</f>
        <v>0</v>
      </c>
      <c r="Q238" s="23">
        <f>Q236*Q237</f>
        <v>0</v>
      </c>
      <c r="R238" s="23">
        <f>R236*R237</f>
        <v>0</v>
      </c>
      <c r="S238" s="23">
        <f>S236*S237</f>
        <v>0</v>
      </c>
      <c r="T238" s="23">
        <f>T236*T237</f>
        <v>0</v>
      </c>
      <c r="U238" s="23">
        <f>U236*U237</f>
        <v>0</v>
      </c>
      <c r="V238" s="23">
        <f>V236*V237</f>
        <v>0</v>
      </c>
      <c r="W238" s="23">
        <f>W236*W237</f>
        <v>0</v>
      </c>
      <c r="X238" s="23">
        <f>X236*X237</f>
        <v>0</v>
      </c>
      <c r="Y238" s="23">
        <f>Y236*Y237</f>
        <v>0</v>
      </c>
      <c r="Z238" s="23">
        <f>Z236*Z237</f>
        <v>0</v>
      </c>
      <c r="AA238" s="23">
        <f>AA236*AA237</f>
        <v>0</v>
      </c>
      <c r="AB238" s="23">
        <f>AB236*AB237</f>
        <v>0</v>
      </c>
      <c r="AC238" s="23">
        <f>AC236*AC237</f>
        <v>0</v>
      </c>
      <c r="AD238" s="23">
        <f>AD236*AD237</f>
        <v>0</v>
      </c>
      <c r="AE238" s="23">
        <f>AE236*AE237</f>
        <v>0</v>
      </c>
    </row>
    <row r="239">
      <c r="A239" s="6" t="inlineStr">
        <is>
          <t xml:space="preserve">Solidarity surcharge</t>
        </is>
      </c>
      <c r="B239" s="10" t="inlineStr">
        <is>
          <t xml:space="preserve">€</t>
        </is>
      </c>
      <c r="F239" s="23">
        <f>F238*Inputs!$C$128</f>
        <v>0</v>
      </c>
      <c r="G239" s="23">
        <f>G238*Inputs!$C$128</f>
        <v>0</v>
      </c>
      <c r="H239" s="23">
        <f>H238*Inputs!$C$128</f>
        <v>0</v>
      </c>
      <c r="I239" s="23">
        <f>I238*Inputs!$C$128</f>
        <v>0</v>
      </c>
      <c r="J239" s="23">
        <f>J238*Inputs!$C$128</f>
        <v>0</v>
      </c>
      <c r="K239" s="23">
        <f>K238*Inputs!$C$128</f>
        <v>0</v>
      </c>
      <c r="L239" s="23">
        <f>L238*Inputs!$C$128</f>
        <v>0</v>
      </c>
      <c r="M239" s="23">
        <f>M238*Inputs!$C$128</f>
        <v>0</v>
      </c>
      <c r="N239" s="23">
        <f>N238*Inputs!$C$128</f>
        <v>0</v>
      </c>
      <c r="O239" s="23">
        <f>O238*Inputs!$C$128</f>
        <v>0</v>
      </c>
      <c r="P239" s="23">
        <f>P238*Inputs!$C$128</f>
        <v>0</v>
      </c>
      <c r="Q239" s="23">
        <f>Q238*Inputs!$C$128</f>
        <v>0</v>
      </c>
      <c r="R239" s="23">
        <f>R238*Inputs!$C$128</f>
        <v>0</v>
      </c>
      <c r="S239" s="23">
        <f>S238*Inputs!$C$128</f>
        <v>0</v>
      </c>
      <c r="T239" s="23">
        <f>T238*Inputs!$C$128</f>
        <v>0</v>
      </c>
      <c r="U239" s="23">
        <f>U238*Inputs!$C$128</f>
        <v>0</v>
      </c>
      <c r="V239" s="23">
        <f>V238*Inputs!$C$128</f>
        <v>0</v>
      </c>
      <c r="W239" s="23">
        <f>W238*Inputs!$C$128</f>
        <v>0</v>
      </c>
      <c r="X239" s="23">
        <f>X238*Inputs!$C$128</f>
        <v>0</v>
      </c>
      <c r="Y239" s="23">
        <f>Y238*Inputs!$C$128</f>
        <v>0</v>
      </c>
      <c r="Z239" s="23">
        <f>Z238*Inputs!$C$128</f>
        <v>0</v>
      </c>
      <c r="AA239" s="23">
        <f>AA238*Inputs!$C$128</f>
        <v>0</v>
      </c>
      <c r="AB239" s="23">
        <f>AB238*Inputs!$C$128</f>
        <v>0</v>
      </c>
      <c r="AC239" s="23">
        <f>AC238*Inputs!$C$128</f>
        <v>0</v>
      </c>
      <c r="AD239" s="23">
        <f>AD238*Inputs!$C$128</f>
        <v>0</v>
      </c>
      <c r="AE239" s="23">
        <f>AE238*Inputs!$C$128</f>
        <v>0</v>
      </c>
    </row>
    <row r="240">
      <c r="A240" s="41" t="inlineStr">
        <is>
          <t xml:space="preserve">Taxes</t>
        </is>
      </c>
      <c r="B240" s="10" t="inlineStr">
        <is>
          <t xml:space="preserve">€</t>
        </is>
      </c>
      <c r="F240" s="42">
        <f>F231+F238+F239</f>
        <v>322.00000000000006</v>
      </c>
      <c r="G240" s="42">
        <f>G231+G238+G239</f>
        <v>0</v>
      </c>
      <c r="H240" s="42">
        <f>H231+H238+H239</f>
        <v>0</v>
      </c>
      <c r="I240" s="42">
        <f>I231+I238+I239</f>
        <v>0</v>
      </c>
      <c r="J240" s="42">
        <f>J231+J238+J239</f>
        <v>0</v>
      </c>
      <c r="K240" s="42">
        <f>K231+K238+K239</f>
        <v>0</v>
      </c>
      <c r="L240" s="42">
        <f>L231+L238+L239</f>
        <v>0</v>
      </c>
      <c r="M240" s="42">
        <f>M231+M238+M239</f>
        <v>0</v>
      </c>
      <c r="N240" s="42">
        <f>N231+N238+N239</f>
        <v>0</v>
      </c>
      <c r="O240" s="42">
        <f>O231+O238+O239</f>
        <v>0</v>
      </c>
      <c r="P240" s="42">
        <f>P231+P238+P239</f>
        <v>0</v>
      </c>
      <c r="Q240" s="42">
        <f>Q231+Q238+Q239</f>
        <v>0</v>
      </c>
      <c r="R240" s="42">
        <f>R231+R238+R239</f>
        <v>0</v>
      </c>
      <c r="S240" s="42">
        <f>S231+S238+S239</f>
        <v>0</v>
      </c>
      <c r="T240" s="42">
        <f>T231+T238+T239</f>
        <v>0</v>
      </c>
      <c r="U240" s="42">
        <f>U231+U238+U239</f>
        <v>0</v>
      </c>
      <c r="V240" s="42">
        <f>V231+V238+V239</f>
        <v>24766.000000000004</v>
      </c>
      <c r="W240" s="42">
        <f>W231+W238+W239</f>
        <v>127498.00000000001</v>
      </c>
      <c r="X240" s="42">
        <f>X231+X238+X239</f>
        <v>130214.00000000001</v>
      </c>
      <c r="Y240" s="42">
        <f>Y231+Y238+Y239</f>
        <v>138880</v>
      </c>
      <c r="Z240" s="42">
        <f>Z231+Z238+Z239</f>
        <v>472682.00000000006</v>
      </c>
      <c r="AA240" s="42">
        <f>AA231+AA238+AA239</f>
        <v>479066.00000000006</v>
      </c>
      <c r="AB240" s="42">
        <f>AB231+AB238+AB239</f>
        <v>485268.00000000006</v>
      </c>
      <c r="AC240" s="42">
        <f>AC231+AC238+AC239</f>
        <v>491330.00000000006</v>
      </c>
      <c r="AD240" s="42">
        <f>AD231+AD238+AD239</f>
        <v>487606.00000000006</v>
      </c>
      <c r="AE240" s="42">
        <f>AE231+AE238+AE239</f>
        <v>251762.00000000003</v>
      </c>
    </row>
    <row r="241">
      <c r="A241" s="41" t="inlineStr">
        <is>
          <t xml:space="preserve">CFADS: EBITDA − change in working capital − taxes</t>
        </is>
      </c>
      <c r="B241" s="10" t="inlineStr">
        <is>
          <t xml:space="preserve">€</t>
        </is>
      </c>
      <c r="F241" s="42">
        <f>Operations!F162-Operations!F170-F240</f>
        <v>1886729.1949932326</v>
      </c>
      <c r="G241" s="42">
        <f>Operations!G162-Operations!G170-G240</f>
        <v>2891300.796933104</v>
      </c>
      <c r="H241" s="42">
        <f>Operations!H162-Operations!H170-H240</f>
        <v>2747393.1974834823</v>
      </c>
      <c r="I241" s="42">
        <f>Operations!I162-Operations!I170-I240</f>
        <v>2785821.947840727</v>
      </c>
      <c r="J241" s="42">
        <f>Operations!J162-Operations!J170-J240</f>
        <v>2837853.0981292613</v>
      </c>
      <c r="K241" s="42">
        <f>Operations!K162-Operations!K170-K240</f>
        <v>2851595.982314709</v>
      </c>
      <c r="L241" s="42">
        <f>Operations!L162-Operations!L170-L240</f>
        <v>3311534.209424312</v>
      </c>
      <c r="M241" s="42">
        <f>Operations!M162-Operations!M170-M240</f>
        <v>2995214.661760493</v>
      </c>
      <c r="N241" s="42">
        <f>Operations!N162-Operations!N170-N240</f>
        <v>3050908.570415697</v>
      </c>
      <c r="O241" s="42">
        <f>Operations!O162-Operations!O170-O240</f>
        <v>3104286.2016449817</v>
      </c>
      <c r="P241" s="42">
        <f>Operations!P162-Operations!P170-P240</f>
        <v>3037818.6590970466</v>
      </c>
      <c r="Q241" s="42">
        <f>Operations!Q162-Operations!Q170-Q240</f>
        <v>3092803.3010314982</v>
      </c>
      <c r="R241" s="42">
        <f>Operations!R162-Operations!R170-R240</f>
        <v>3149887.037150371</v>
      </c>
      <c r="S241" s="42">
        <f>Operations!S162-Operations!S170-S240</f>
        <v>3204429.6246665204</v>
      </c>
      <c r="T241" s="42">
        <f>Operations!T162-Operations!T170-T240</f>
        <v>3263431.3424560083</v>
      </c>
      <c r="U241" s="42">
        <f>Operations!U162-Operations!U170-U240</f>
        <v>3322252.483971308</v>
      </c>
      <c r="V241" s="42">
        <f>Operations!V162-Operations!V170-V240</f>
        <v>3358557.6744105457</v>
      </c>
      <c r="W241" s="42">
        <f>Operations!W162-Operations!W170-W240</f>
        <v>3314164.1472976217</v>
      </c>
      <c r="X241" s="42">
        <f>Operations!X162-Operations!X170-X240</f>
        <v>3374570.710963452</v>
      </c>
      <c r="Y241" s="42">
        <f>Operations!Y162-Operations!Y170-Y240</f>
        <v>3428829.1715150094</v>
      </c>
      <c r="Z241" s="42">
        <f>Operations!Z162-Operations!Z170-Z240</f>
        <v>3079715.3769154726</v>
      </c>
      <c r="AA241" s="42">
        <f>Operations!AA162-Operations!AA170-AA240</f>
        <v>3134115.929518473</v>
      </c>
      <c r="AB241" s="42">
        <f>Operations!AB162-Operations!AB170-AB240</f>
        <v>3193798.91257796</v>
      </c>
      <c r="AC241" s="42">
        <f>Operations!AC162-Operations!AC170-AC240</f>
        <v>3253371.717710882</v>
      </c>
      <c r="AD241" s="42">
        <f>Operations!AD162-Operations!AD170-AD240</f>
        <v>3325282.1203396544</v>
      </c>
      <c r="AE241" s="42">
        <f>Operations!AE162-Operations!AE170-AE240</f>
        <v>2202700.325412804</v>
      </c>
    </row>
    <row r="243">
      <c r="A243" s="5" t="inlineStr">
        <is>
          <t xml:space="preserve">Downside without debt</t>
        </is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>
      <c r="A244" s="6" t="inlineStr">
        <is>
          <t xml:space="preserve">Depreciable base: capex</t>
        </is>
      </c>
      <c r="B244" s="10" t="inlineStr">
        <is>
          <t xml:space="preserve">€</t>
        </is>
      </c>
      <c r="C244" s="45">
        <f>Construction!$C$79</f>
        <v>59992427.25</v>
      </c>
    </row>
    <row r="245">
      <c r="A245" s="6" t="inlineStr">
        <is>
          <t xml:space="preserve">Book value at the start of the year</t>
        </is>
      </c>
      <c r="B245" s="10" t="inlineStr">
        <is>
          <t xml:space="preserve">€</t>
        </is>
      </c>
      <c r="F245" s="23">
        <f>E252</f>
        <v>59992427.25</v>
      </c>
      <c r="G245" s="23">
        <f>F252</f>
        <v>58117663.8984375</v>
      </c>
      <c r="H245" s="23">
        <f>G252</f>
        <v>54368137.1953125</v>
      </c>
      <c r="I245" s="23">
        <f>H252</f>
        <v>50618610.4921875</v>
      </c>
      <c r="J245" s="23">
        <f>I252</f>
        <v>46869083.7890625</v>
      </c>
      <c r="K245" s="23">
        <f>J252</f>
        <v>43119557.0859375</v>
      </c>
      <c r="L245" s="23">
        <f>K252</f>
        <v>39370030.3828125</v>
      </c>
      <c r="M245" s="23">
        <f>L252</f>
        <v>35620503.6796875</v>
      </c>
      <c r="N245" s="23">
        <f>M252</f>
        <v>31870976.9765625</v>
      </c>
      <c r="O245" s="23">
        <f>N252</f>
        <v>28121450.2734375</v>
      </c>
      <c r="P245" s="23">
        <f>O252</f>
        <v>24371923.5703125</v>
      </c>
      <c r="Q245" s="23">
        <f>P252</f>
        <v>20622396.8671875</v>
      </c>
      <c r="R245" s="23">
        <f>Q252</f>
        <v>16872870.1640625</v>
      </c>
      <c r="S245" s="23">
        <f>R252</f>
        <v>13123343.4609375</v>
      </c>
      <c r="T245" s="23">
        <f>S252</f>
        <v>9373816.7578125</v>
      </c>
      <c r="U245" s="23">
        <f>T252</f>
        <v>5624290.0546875</v>
      </c>
      <c r="V245" s="23">
        <f>U252</f>
        <v>1874763.3515625</v>
      </c>
      <c r="W245" s="23">
        <f>V252</f>
        <v>0</v>
      </c>
      <c r="X245" s="23">
        <f>W252</f>
        <v>0</v>
      </c>
      <c r="Y245" s="23">
        <f>X252</f>
        <v>0</v>
      </c>
      <c r="Z245" s="23">
        <f>Y252</f>
        <v>0</v>
      </c>
      <c r="AA245" s="23">
        <f>Z252</f>
        <v>0</v>
      </c>
      <c r="AB245" s="23">
        <f>AA252</f>
        <v>0</v>
      </c>
      <c r="AC245" s="23">
        <f>AB252</f>
        <v>0</v>
      </c>
      <c r="AD245" s="23">
        <f>AC252</f>
        <v>0</v>
      </c>
      <c r="AE245" s="23">
        <f>AD252</f>
        <v>0</v>
      </c>
    </row>
    <row r="246">
      <c r="A246" s="6" t="inlineStr">
        <is>
          <t xml:space="preserve">Months depreciated before the year</t>
        </is>
      </c>
      <c r="E246" s="9">
        <v>0</v>
      </c>
      <c r="F246" s="23">
        <f>E253</f>
        <v>0</v>
      </c>
      <c r="G246" s="23">
        <f>F253</f>
        <v>6</v>
      </c>
      <c r="H246" s="23">
        <f>G253</f>
        <v>18</v>
      </c>
      <c r="I246" s="23">
        <f>H253</f>
        <v>30</v>
      </c>
      <c r="J246" s="23">
        <f>I253</f>
        <v>42</v>
      </c>
      <c r="K246" s="23">
        <f>J253</f>
        <v>54</v>
      </c>
      <c r="L246" s="23">
        <f>K253</f>
        <v>66</v>
      </c>
      <c r="M246" s="23">
        <f>L253</f>
        <v>78</v>
      </c>
      <c r="N246" s="23">
        <f>M253</f>
        <v>90</v>
      </c>
      <c r="O246" s="23">
        <f>N253</f>
        <v>102</v>
      </c>
      <c r="P246" s="23">
        <f>O253</f>
        <v>114</v>
      </c>
      <c r="Q246" s="23">
        <f>P253</f>
        <v>126</v>
      </c>
      <c r="R246" s="23">
        <f>Q253</f>
        <v>138</v>
      </c>
      <c r="S246" s="23">
        <f>R253</f>
        <v>150</v>
      </c>
      <c r="T246" s="23">
        <f>S253</f>
        <v>162</v>
      </c>
      <c r="U246" s="23">
        <f>T253</f>
        <v>174</v>
      </c>
      <c r="V246" s="23">
        <f>U253</f>
        <v>186</v>
      </c>
      <c r="W246" s="23">
        <f>V253</f>
        <v>198</v>
      </c>
      <c r="X246" s="23">
        <f>W253</f>
        <v>198</v>
      </c>
      <c r="Y246" s="23">
        <f>X253</f>
        <v>198</v>
      </c>
      <c r="Z246" s="23">
        <f>Y253</f>
        <v>198</v>
      </c>
      <c r="AA246" s="23">
        <f>Z253</f>
        <v>198</v>
      </c>
      <c r="AB246" s="23">
        <f>AA253</f>
        <v>198</v>
      </c>
      <c r="AC246" s="23">
        <f>AB253</f>
        <v>198</v>
      </c>
      <c r="AD246" s="23">
        <f>AC253</f>
        <v>198</v>
      </c>
      <c r="AE246" s="23">
        <f>AD253</f>
        <v>198</v>
      </c>
    </row>
    <row r="247">
      <c r="A247" s="6" t="inlineStr">
        <is>
          <t xml:space="preserve">Remaining useful life</t>
        </is>
      </c>
      <c r="B247" s="10" t="inlineStr">
        <is>
          <t xml:space="preserve">years</t>
        </is>
      </c>
      <c r="F247" s="21">
        <f>Inputs!$C$93-F246/12</f>
        <v>16</v>
      </c>
      <c r="G247" s="21">
        <f>Inputs!$C$93-G246/12</f>
        <v>15.5</v>
      </c>
      <c r="H247" s="21">
        <f>Inputs!$C$93-H246/12</f>
        <v>14.5</v>
      </c>
      <c r="I247" s="21">
        <f>Inputs!$C$93-I246/12</f>
        <v>13.5</v>
      </c>
      <c r="J247" s="21">
        <f>Inputs!$C$93-J246/12</f>
        <v>12.5</v>
      </c>
      <c r="K247" s="21">
        <f>Inputs!$C$93-K246/12</f>
        <v>11.5</v>
      </c>
      <c r="L247" s="21">
        <f>Inputs!$C$93-L246/12</f>
        <v>10.5</v>
      </c>
      <c r="M247" s="21">
        <f>Inputs!$C$93-M246/12</f>
        <v>9.5</v>
      </c>
      <c r="N247" s="21">
        <f>Inputs!$C$93-N246/12</f>
        <v>8.5</v>
      </c>
      <c r="O247" s="21">
        <f>Inputs!$C$93-O246/12</f>
        <v>7.5</v>
      </c>
      <c r="P247" s="21">
        <f>Inputs!$C$93-P246/12</f>
        <v>6.5</v>
      </c>
      <c r="Q247" s="21">
        <f>Inputs!$C$93-Q246/12</f>
        <v>5.5</v>
      </c>
      <c r="R247" s="21">
        <f>Inputs!$C$93-R246/12</f>
        <v>4.5</v>
      </c>
      <c r="S247" s="21">
        <f>Inputs!$C$93-S246/12</f>
        <v>3.5</v>
      </c>
      <c r="T247" s="21">
        <f>Inputs!$C$93-T246/12</f>
        <v>2.5</v>
      </c>
      <c r="U247" s="21">
        <f>Inputs!$C$93-U246/12</f>
        <v>1.5</v>
      </c>
      <c r="V247" s="21">
        <f>Inputs!$C$93-V246/12</f>
        <v>0.5</v>
      </c>
      <c r="W247" s="21">
        <f>Inputs!$C$93-W246/12</f>
        <v>-0.5</v>
      </c>
      <c r="X247" s="21">
        <f>Inputs!$C$93-X246/12</f>
        <v>-0.5</v>
      </c>
      <c r="Y247" s="21">
        <f>Inputs!$C$93-Y246/12</f>
        <v>-0.5</v>
      </c>
      <c r="Z247" s="21">
        <f>Inputs!$C$93-Z246/12</f>
        <v>-0.5</v>
      </c>
      <c r="AA247" s="21">
        <f>Inputs!$C$93-AA246/12</f>
        <v>-0.5</v>
      </c>
      <c r="AB247" s="21">
        <f>Inputs!$C$93-AB246/12</f>
        <v>-0.5</v>
      </c>
      <c r="AC247" s="21">
        <f>Inputs!$C$93-AC246/12</f>
        <v>-0.5</v>
      </c>
      <c r="AD247" s="21">
        <f>Inputs!$C$93-AD246/12</f>
        <v>-0.5</v>
      </c>
      <c r="AE247" s="21">
        <f>Inputs!$C$93-AE246/12</f>
        <v>-0.5</v>
      </c>
    </row>
    <row r="248">
      <c r="A248" s="6" t="inlineStr">
        <is>
          <t xml:space="preserve">Straight-line amount</t>
        </is>
      </c>
      <c r="B248" s="10" t="inlineStr">
        <is>
          <t xml:space="preserve">€</t>
        </is>
      </c>
      <c r="F248" s="23">
        <f>IF(F247&gt;0,F245/F247*Timing!F87/12,F245)</f>
        <v>1874763.3515625</v>
      </c>
      <c r="G248" s="23">
        <f>IF(G247&gt;0,G245/G247*Timing!G87/12,G245)</f>
        <v>3749526.703125</v>
      </c>
      <c r="H248" s="23">
        <f>IF(H247&gt;0,H245/H247*Timing!H87/12,H245)</f>
        <v>3749526.703125</v>
      </c>
      <c r="I248" s="23">
        <f>IF(I247&gt;0,I245/I247*Timing!I87/12,I245)</f>
        <v>3749526.703125</v>
      </c>
      <c r="J248" s="23">
        <f>IF(J247&gt;0,J245/J247*Timing!J87/12,J245)</f>
        <v>3749526.703125</v>
      </c>
      <c r="K248" s="23">
        <f>IF(K247&gt;0,K245/K247*Timing!K87/12,K245)</f>
        <v>3749526.703125</v>
      </c>
      <c r="L248" s="23">
        <f>IF(L247&gt;0,L245/L247*Timing!L87/12,L245)</f>
        <v>3749526.703125</v>
      </c>
      <c r="M248" s="23">
        <f>IF(M247&gt;0,M245/M247*Timing!M87/12,M245)</f>
        <v>3749526.703125</v>
      </c>
      <c r="N248" s="23">
        <f>IF(N247&gt;0,N245/N247*Timing!N87/12,N245)</f>
        <v>3749526.703125</v>
      </c>
      <c r="O248" s="23">
        <f>IF(O247&gt;0,O245/O247*Timing!O87/12,O245)</f>
        <v>3749526.703125</v>
      </c>
      <c r="P248" s="23">
        <f>IF(P247&gt;0,P245/P247*Timing!P87/12,P245)</f>
        <v>3749526.703125</v>
      </c>
      <c r="Q248" s="23">
        <f>IF(Q247&gt;0,Q245/Q247*Timing!Q87/12,Q245)</f>
        <v>3749526.703125</v>
      </c>
      <c r="R248" s="23">
        <f>IF(R247&gt;0,R245/R247*Timing!R87/12,R245)</f>
        <v>3749526.703125</v>
      </c>
      <c r="S248" s="23">
        <f>IF(S247&gt;0,S245/S247*Timing!S87/12,S245)</f>
        <v>3749526.703125</v>
      </c>
      <c r="T248" s="23">
        <f>IF(T247&gt;0,T245/T247*Timing!T87/12,T245)</f>
        <v>3749526.703125</v>
      </c>
      <c r="U248" s="23">
        <f>IF(U247&gt;0,U245/U247*Timing!U87/12,U245)</f>
        <v>3749526.703125</v>
      </c>
      <c r="V248" s="23">
        <f>IF(V247&gt;0,V245/V247*Timing!V87/12,V245)</f>
        <v>3749526.703125</v>
      </c>
      <c r="W248" s="23">
        <f>IF(W247&gt;0,W245/W247*Timing!W87/12,W245)</f>
        <v>0</v>
      </c>
      <c r="X248" s="23">
        <f>IF(X247&gt;0,X245/X247*Timing!X87/12,X245)</f>
        <v>0</v>
      </c>
      <c r="Y248" s="23">
        <f>IF(Y247&gt;0,Y245/Y247*Timing!Y87/12,Y245)</f>
        <v>0</v>
      </c>
      <c r="Z248" s="23">
        <f>IF(Z247&gt;0,Z245/Z247*Timing!Z87/12,Z245)</f>
        <v>0</v>
      </c>
      <c r="AA248" s="23">
        <f>IF(AA247&gt;0,AA245/AA247*Timing!AA87/12,AA245)</f>
        <v>0</v>
      </c>
      <c r="AB248" s="23">
        <f>IF(AB247&gt;0,AB245/AB247*Timing!AB87/12,AB245)</f>
        <v>0</v>
      </c>
      <c r="AC248" s="23">
        <f>IF(AC247&gt;0,AC245/AC247*Timing!AC87/12,AC245)</f>
        <v>0</v>
      </c>
      <c r="AD248" s="23">
        <f>IF(AD247&gt;0,AD245/AD247*Timing!AD87/12,AD245)</f>
        <v>0</v>
      </c>
      <c r="AE248" s="23">
        <f>IF(AE247&gt;0,AE245/AE247*Timing!AE87/12,AE245)</f>
        <v>0</v>
      </c>
    </row>
    <row r="249">
      <c r="A249" s="6" t="inlineStr">
        <is>
          <t xml:space="preserve">Declining-balance amount</t>
        </is>
      </c>
      <c r="B249" s="10" t="inlineStr">
        <is>
          <t xml:space="preserve">€</t>
        </is>
      </c>
      <c r="F249" s="23">
        <f>F245*Timing!$C$36*Timing!F87/12</f>
        <v>5624290.0546875</v>
      </c>
      <c r="G249" s="23">
        <f>G245*Timing!$C$36*Timing!G87/12</f>
        <v>10897061.980957031</v>
      </c>
      <c r="H249" s="23">
        <f>H245*Timing!$C$36*Timing!H87/12</f>
        <v>10194025.724121094</v>
      </c>
      <c r="I249" s="23">
        <f>I245*Timing!$C$36*Timing!I87/12</f>
        <v>9490989.467285156</v>
      </c>
      <c r="J249" s="23">
        <f>J245*Timing!$C$36*Timing!J87/12</f>
        <v>8787953.210449219</v>
      </c>
      <c r="K249" s="23">
        <f>K245*Timing!$C$36*Timing!K87/12</f>
        <v>8084916.953613281</v>
      </c>
      <c r="L249" s="23">
        <f>L245*Timing!$C$36*Timing!L87/12</f>
        <v>7381880.696777344</v>
      </c>
      <c r="M249" s="23">
        <f>M245*Timing!$C$36*Timing!M87/12</f>
        <v>6678844.439941406</v>
      </c>
      <c r="N249" s="23">
        <f>N245*Timing!$C$36*Timing!N87/12</f>
        <v>5975808.183105469</v>
      </c>
      <c r="O249" s="23">
        <f>O245*Timing!$C$36*Timing!O87/12</f>
        <v>5272771.926269531</v>
      </c>
      <c r="P249" s="23">
        <f>P245*Timing!$C$36*Timing!P87/12</f>
        <v>4569735.669433594</v>
      </c>
      <c r="Q249" s="23">
        <f>Q245*Timing!$C$36*Timing!Q87/12</f>
        <v>3866699.4125976562</v>
      </c>
      <c r="R249" s="23">
        <f>R245*Timing!$C$36*Timing!R87/12</f>
        <v>3163663.1557617188</v>
      </c>
      <c r="S249" s="23">
        <f>S245*Timing!$C$36*Timing!S87/12</f>
        <v>2460626.8989257812</v>
      </c>
      <c r="T249" s="23">
        <f>T245*Timing!$C$36*Timing!T87/12</f>
        <v>1757590.6420898438</v>
      </c>
      <c r="U249" s="23">
        <f>U245*Timing!$C$36*Timing!U87/12</f>
        <v>1054554.3852539062</v>
      </c>
      <c r="V249" s="23">
        <f>V245*Timing!$C$36*Timing!V87/12</f>
        <v>351518.12841796875</v>
      </c>
      <c r="W249" s="23">
        <f>W245*Timing!$C$36*Timing!W87/12</f>
        <v>0</v>
      </c>
      <c r="X249" s="23">
        <f>X245*Timing!$C$36*Timing!X87/12</f>
        <v>0</v>
      </c>
      <c r="Y249" s="23">
        <f>Y245*Timing!$C$36*Timing!Y87/12</f>
        <v>0</v>
      </c>
      <c r="Z249" s="23">
        <f>Z245*Timing!$C$36*Timing!Z87/12</f>
        <v>0</v>
      </c>
      <c r="AA249" s="23">
        <f>AA245*Timing!$C$36*Timing!AA87/12</f>
        <v>0</v>
      </c>
      <c r="AB249" s="23">
        <f>AB245*Timing!$C$36*Timing!AB87/12</f>
        <v>0</v>
      </c>
      <c r="AC249" s="23">
        <f>AC245*Timing!$C$36*Timing!AC87/12</f>
        <v>0</v>
      </c>
      <c r="AD249" s="23">
        <f>AD245*Timing!$C$36*Timing!AD87/12</f>
        <v>0</v>
      </c>
      <c r="AE249" s="23">
        <f>AE245*Timing!$C$36*Timing!AE87/12</f>
        <v>0</v>
      </c>
    </row>
    <row r="250">
      <c r="A250" s="6" t="inlineStr">
        <is>
          <t xml:space="preserve">Straight-line from this year (1 = yes)</t>
        </is>
      </c>
      <c r="E250" s="9">
        <v>0</v>
      </c>
      <c r="F250" s="23">
        <f>IF(OR(Timing!$C$35=0,E250=1,F248&gt;=F249),1,0)</f>
        <v>1</v>
      </c>
      <c r="G250" s="23">
        <f>IF(OR(Timing!$C$35=0,F250=1,G248&gt;=G249),1,0)</f>
        <v>1</v>
      </c>
      <c r="H250" s="23">
        <f>IF(OR(Timing!$C$35=0,G250=1,H248&gt;=H249),1,0)</f>
        <v>1</v>
      </c>
      <c r="I250" s="23">
        <f>IF(OR(Timing!$C$35=0,H250=1,I248&gt;=I249),1,0)</f>
        <v>1</v>
      </c>
      <c r="J250" s="23">
        <f>IF(OR(Timing!$C$35=0,I250=1,J248&gt;=J249),1,0)</f>
        <v>1</v>
      </c>
      <c r="K250" s="23">
        <f>IF(OR(Timing!$C$35=0,J250=1,K248&gt;=K249),1,0)</f>
        <v>1</v>
      </c>
      <c r="L250" s="23">
        <f>IF(OR(Timing!$C$35=0,K250=1,L248&gt;=L249),1,0)</f>
        <v>1</v>
      </c>
      <c r="M250" s="23">
        <f>IF(OR(Timing!$C$35=0,L250=1,M248&gt;=M249),1,0)</f>
        <v>1</v>
      </c>
      <c r="N250" s="23">
        <f>IF(OR(Timing!$C$35=0,M250=1,N248&gt;=N249),1,0)</f>
        <v>1</v>
      </c>
      <c r="O250" s="23">
        <f>IF(OR(Timing!$C$35=0,N250=1,O248&gt;=O249),1,0)</f>
        <v>1</v>
      </c>
      <c r="P250" s="23">
        <f>IF(OR(Timing!$C$35=0,O250=1,P248&gt;=P249),1,0)</f>
        <v>1</v>
      </c>
      <c r="Q250" s="23">
        <f>IF(OR(Timing!$C$35=0,P250=1,Q248&gt;=Q249),1,0)</f>
        <v>1</v>
      </c>
      <c r="R250" s="23">
        <f>IF(OR(Timing!$C$35=0,Q250=1,R248&gt;=R249),1,0)</f>
        <v>1</v>
      </c>
      <c r="S250" s="23">
        <f>IF(OR(Timing!$C$35=0,R250=1,S248&gt;=S249),1,0)</f>
        <v>1</v>
      </c>
      <c r="T250" s="23">
        <f>IF(OR(Timing!$C$35=0,S250=1,T248&gt;=T249),1,0)</f>
        <v>1</v>
      </c>
      <c r="U250" s="23">
        <f>IF(OR(Timing!$C$35=0,T250=1,U248&gt;=U249),1,0)</f>
        <v>1</v>
      </c>
      <c r="V250" s="23">
        <f>IF(OR(Timing!$C$35=0,U250=1,V248&gt;=V249),1,0)</f>
        <v>1</v>
      </c>
      <c r="W250" s="23">
        <f>IF(OR(Timing!$C$35=0,V250=1,W248&gt;=W249),1,0)</f>
        <v>1</v>
      </c>
      <c r="X250" s="23">
        <f>IF(OR(Timing!$C$35=0,W250=1,X248&gt;=X249),1,0)</f>
        <v>1</v>
      </c>
      <c r="Y250" s="23">
        <f>IF(OR(Timing!$C$35=0,X250=1,Y248&gt;=Y249),1,0)</f>
        <v>1</v>
      </c>
      <c r="Z250" s="23">
        <f>IF(OR(Timing!$C$35=0,Y250=1,Z248&gt;=Z249),1,0)</f>
        <v>1</v>
      </c>
      <c r="AA250" s="23">
        <f>IF(OR(Timing!$C$35=0,Z250=1,AA248&gt;=AA249),1,0)</f>
        <v>1</v>
      </c>
      <c r="AB250" s="23">
        <f>IF(OR(Timing!$C$35=0,AA250=1,AB248&gt;=AB249),1,0)</f>
        <v>1</v>
      </c>
      <c r="AC250" s="23">
        <f>IF(OR(Timing!$C$35=0,AB250=1,AC248&gt;=AC249),1,0)</f>
        <v>1</v>
      </c>
      <c r="AD250" s="23">
        <f>IF(OR(Timing!$C$35=0,AC250=1,AD248&gt;=AD249),1,0)</f>
        <v>1</v>
      </c>
      <c r="AE250" s="23">
        <f>IF(OR(Timing!$C$35=0,AD250=1,AE248&gt;=AE249),1,0)</f>
        <v>1</v>
      </c>
    </row>
    <row r="251">
      <c r="A251" s="6" t="inlineStr">
        <is>
          <t xml:space="preserve">Depreciation by schedule</t>
        </is>
      </c>
      <c r="B251" s="10" t="inlineStr">
        <is>
          <t xml:space="preserve">€</t>
        </is>
      </c>
      <c r="F251" s="23">
        <f>IF(F245&lt;=Inputs!$C$157,0,MIN(F245,IF(F250=1,F248,F249)))</f>
        <v>1874763.3515625</v>
      </c>
      <c r="G251" s="23">
        <f>IF(G245&lt;=Inputs!$C$157,0,MIN(G245,IF(G250=1,G248,G249)))</f>
        <v>3749526.703125</v>
      </c>
      <c r="H251" s="23">
        <f>IF(H245&lt;=Inputs!$C$157,0,MIN(H245,IF(H250=1,H248,H249)))</f>
        <v>3749526.703125</v>
      </c>
      <c r="I251" s="23">
        <f>IF(I245&lt;=Inputs!$C$157,0,MIN(I245,IF(I250=1,I248,I249)))</f>
        <v>3749526.703125</v>
      </c>
      <c r="J251" s="23">
        <f>IF(J245&lt;=Inputs!$C$157,0,MIN(J245,IF(J250=1,J248,J249)))</f>
        <v>3749526.703125</v>
      </c>
      <c r="K251" s="23">
        <f>IF(K245&lt;=Inputs!$C$157,0,MIN(K245,IF(K250=1,K248,K249)))</f>
        <v>3749526.703125</v>
      </c>
      <c r="L251" s="23">
        <f>IF(L245&lt;=Inputs!$C$157,0,MIN(L245,IF(L250=1,L248,L249)))</f>
        <v>3749526.703125</v>
      </c>
      <c r="M251" s="23">
        <f>IF(M245&lt;=Inputs!$C$157,0,MIN(M245,IF(M250=1,M248,M249)))</f>
        <v>3749526.703125</v>
      </c>
      <c r="N251" s="23">
        <f>IF(N245&lt;=Inputs!$C$157,0,MIN(N245,IF(N250=1,N248,N249)))</f>
        <v>3749526.703125</v>
      </c>
      <c r="O251" s="23">
        <f>IF(O245&lt;=Inputs!$C$157,0,MIN(O245,IF(O250=1,O248,O249)))</f>
        <v>3749526.703125</v>
      </c>
      <c r="P251" s="23">
        <f>IF(P245&lt;=Inputs!$C$157,0,MIN(P245,IF(P250=1,P248,P249)))</f>
        <v>3749526.703125</v>
      </c>
      <c r="Q251" s="23">
        <f>IF(Q245&lt;=Inputs!$C$157,0,MIN(Q245,IF(Q250=1,Q248,Q249)))</f>
        <v>3749526.703125</v>
      </c>
      <c r="R251" s="23">
        <f>IF(R245&lt;=Inputs!$C$157,0,MIN(R245,IF(R250=1,R248,R249)))</f>
        <v>3749526.703125</v>
      </c>
      <c r="S251" s="23">
        <f>IF(S245&lt;=Inputs!$C$157,0,MIN(S245,IF(S250=1,S248,S249)))</f>
        <v>3749526.703125</v>
      </c>
      <c r="T251" s="23">
        <f>IF(T245&lt;=Inputs!$C$157,0,MIN(T245,IF(T250=1,T248,T249)))</f>
        <v>3749526.703125</v>
      </c>
      <c r="U251" s="23">
        <f>IF(U245&lt;=Inputs!$C$157,0,MIN(U245,IF(U250=1,U248,U249)))</f>
        <v>3749526.703125</v>
      </c>
      <c r="V251" s="23">
        <f>IF(V245&lt;=Inputs!$C$157,0,MIN(V245,IF(V250=1,V248,V249)))</f>
        <v>1874763.3515625</v>
      </c>
      <c r="W251" s="23">
        <f>IF(W245&lt;=Inputs!$C$157,0,MIN(W245,IF(W250=1,W248,W249)))</f>
        <v>0</v>
      </c>
      <c r="X251" s="23">
        <f>IF(X245&lt;=Inputs!$C$157,0,MIN(X245,IF(X250=1,X248,X249)))</f>
        <v>0</v>
      </c>
      <c r="Y251" s="23">
        <f>IF(Y245&lt;=Inputs!$C$157,0,MIN(Y245,IF(Y250=1,Y248,Y249)))</f>
        <v>0</v>
      </c>
      <c r="Z251" s="23">
        <f>IF(Z245&lt;=Inputs!$C$157,0,MIN(Z245,IF(Z250=1,Z248,Z249)))</f>
        <v>0</v>
      </c>
      <c r="AA251" s="23">
        <f>IF(AA245&lt;=Inputs!$C$157,0,MIN(AA245,IF(AA250=1,AA248,AA249)))</f>
        <v>0</v>
      </c>
      <c r="AB251" s="23">
        <f>IF(AB245&lt;=Inputs!$C$157,0,MIN(AB245,IF(AB250=1,AB248,AB249)))</f>
        <v>0</v>
      </c>
      <c r="AC251" s="23">
        <f>IF(AC245&lt;=Inputs!$C$157,0,MIN(AC245,IF(AC250=1,AC248,AC249)))</f>
        <v>0</v>
      </c>
      <c r="AD251" s="23">
        <f>IF(AD245&lt;=Inputs!$C$157,0,MIN(AD245,IF(AD250=1,AD248,AD249)))</f>
        <v>0</v>
      </c>
      <c r="AE251" s="23">
        <f>IF(AE245&lt;=Inputs!$C$157,0,MIN(AE245,IF(AE250=1,AE248,AE249)))</f>
        <v>0</v>
      </c>
    </row>
    <row r="252">
      <c r="A252" s="6" t="inlineStr">
        <is>
          <t xml:space="preserve">Book value at the year end</t>
        </is>
      </c>
      <c r="B252" s="10" t="inlineStr">
        <is>
          <t xml:space="preserve">€</t>
        </is>
      </c>
      <c r="E252" s="23">
        <f>$C$244</f>
        <v>59992427.25</v>
      </c>
      <c r="F252" s="23">
        <f>F245-F251</f>
        <v>58117663.8984375</v>
      </c>
      <c r="G252" s="23">
        <f>G245-G251</f>
        <v>54368137.1953125</v>
      </c>
      <c r="H252" s="23">
        <f>H245-H251</f>
        <v>50618610.4921875</v>
      </c>
      <c r="I252" s="23">
        <f>I245-I251</f>
        <v>46869083.7890625</v>
      </c>
      <c r="J252" s="23">
        <f>J245-J251</f>
        <v>43119557.0859375</v>
      </c>
      <c r="K252" s="23">
        <f>K245-K251</f>
        <v>39370030.3828125</v>
      </c>
      <c r="L252" s="23">
        <f>L245-L251</f>
        <v>35620503.6796875</v>
      </c>
      <c r="M252" s="23">
        <f>M245-M251</f>
        <v>31870976.9765625</v>
      </c>
      <c r="N252" s="23">
        <f>N245-N251</f>
        <v>28121450.2734375</v>
      </c>
      <c r="O252" s="23">
        <f>O245-O251</f>
        <v>24371923.5703125</v>
      </c>
      <c r="P252" s="23">
        <f>P245-P251</f>
        <v>20622396.8671875</v>
      </c>
      <c r="Q252" s="23">
        <f>Q245-Q251</f>
        <v>16872870.1640625</v>
      </c>
      <c r="R252" s="23">
        <f>R245-R251</f>
        <v>13123343.4609375</v>
      </c>
      <c r="S252" s="23">
        <f>S245-S251</f>
        <v>9373816.7578125</v>
      </c>
      <c r="T252" s="23">
        <f>T245-T251</f>
        <v>5624290.0546875</v>
      </c>
      <c r="U252" s="23">
        <f>U245-U251</f>
        <v>1874763.3515625</v>
      </c>
      <c r="V252" s="23">
        <f>V245-V251</f>
        <v>0</v>
      </c>
      <c r="W252" s="23">
        <f>W245-W251</f>
        <v>0</v>
      </c>
      <c r="X252" s="23">
        <f>X245-X251</f>
        <v>0</v>
      </c>
      <c r="Y252" s="23">
        <f>Y245-Y251</f>
        <v>0</v>
      </c>
      <c r="Z252" s="23">
        <f>Z245-Z251</f>
        <v>0</v>
      </c>
      <c r="AA252" s="23">
        <f>AA245-AA251</f>
        <v>0</v>
      </c>
      <c r="AB252" s="23">
        <f>AB245-AB251</f>
        <v>0</v>
      </c>
      <c r="AC252" s="23">
        <f>AC245-AC251</f>
        <v>0</v>
      </c>
      <c r="AD252" s="23">
        <f>AD245-AD251</f>
        <v>0</v>
      </c>
      <c r="AE252" s="23">
        <f>AE245-AE251</f>
        <v>0</v>
      </c>
    </row>
    <row r="253">
      <c r="A253" s="6" t="inlineStr">
        <is>
          <t xml:space="preserve">Months depreciated</t>
        </is>
      </c>
      <c r="F253" s="23">
        <f>F246+IF(F245&gt;Inputs!$C$157,Timing!F87,0)</f>
        <v>6</v>
      </c>
      <c r="G253" s="23">
        <f>G246+IF(G245&gt;Inputs!$C$157,Timing!G87,0)</f>
        <v>18</v>
      </c>
      <c r="H253" s="23">
        <f>H246+IF(H245&gt;Inputs!$C$157,Timing!H87,0)</f>
        <v>30</v>
      </c>
      <c r="I253" s="23">
        <f>I246+IF(I245&gt;Inputs!$C$157,Timing!I87,0)</f>
        <v>42</v>
      </c>
      <c r="J253" s="23">
        <f>J246+IF(J245&gt;Inputs!$C$157,Timing!J87,0)</f>
        <v>54</v>
      </c>
      <c r="K253" s="23">
        <f>K246+IF(K245&gt;Inputs!$C$157,Timing!K87,0)</f>
        <v>66</v>
      </c>
      <c r="L253" s="23">
        <f>L246+IF(L245&gt;Inputs!$C$157,Timing!L87,0)</f>
        <v>78</v>
      </c>
      <c r="M253" s="23">
        <f>M246+IF(M245&gt;Inputs!$C$157,Timing!M87,0)</f>
        <v>90</v>
      </c>
      <c r="N253" s="23">
        <f>N246+IF(N245&gt;Inputs!$C$157,Timing!N87,0)</f>
        <v>102</v>
      </c>
      <c r="O253" s="23">
        <f>O246+IF(O245&gt;Inputs!$C$157,Timing!O87,0)</f>
        <v>114</v>
      </c>
      <c r="P253" s="23">
        <f>P246+IF(P245&gt;Inputs!$C$157,Timing!P87,0)</f>
        <v>126</v>
      </c>
      <c r="Q253" s="23">
        <f>Q246+IF(Q245&gt;Inputs!$C$157,Timing!Q87,0)</f>
        <v>138</v>
      </c>
      <c r="R253" s="23">
        <f>R246+IF(R245&gt;Inputs!$C$157,Timing!R87,0)</f>
        <v>150</v>
      </c>
      <c r="S253" s="23">
        <f>S246+IF(S245&gt;Inputs!$C$157,Timing!S87,0)</f>
        <v>162</v>
      </c>
      <c r="T253" s="23">
        <f>T246+IF(T245&gt;Inputs!$C$157,Timing!T87,0)</f>
        <v>174</v>
      </c>
      <c r="U253" s="23">
        <f>U246+IF(U245&gt;Inputs!$C$157,Timing!U87,0)</f>
        <v>186</v>
      </c>
      <c r="V253" s="23">
        <f>V246+IF(V245&gt;Inputs!$C$157,Timing!V87,0)</f>
        <v>198</v>
      </c>
      <c r="W253" s="23">
        <f>W246+IF(W245&gt;Inputs!$C$157,Timing!W87,0)</f>
        <v>198</v>
      </c>
      <c r="X253" s="23">
        <f>X246+IF(X245&gt;Inputs!$C$157,Timing!X87,0)</f>
        <v>198</v>
      </c>
      <c r="Y253" s="23">
        <f>Y246+IF(Y245&gt;Inputs!$C$157,Timing!Y87,0)</f>
        <v>198</v>
      </c>
      <c r="Z253" s="23">
        <f>Z246+IF(Z245&gt;Inputs!$C$157,Timing!Z87,0)</f>
        <v>198</v>
      </c>
      <c r="AA253" s="23">
        <f>AA246+IF(AA245&gt;Inputs!$C$157,Timing!AA87,0)</f>
        <v>198</v>
      </c>
      <c r="AB253" s="23">
        <f>AB246+IF(AB245&gt;Inputs!$C$157,Timing!AB87,0)</f>
        <v>198</v>
      </c>
      <c r="AC253" s="23">
        <f>AC246+IF(AC245&gt;Inputs!$C$157,Timing!AC87,0)</f>
        <v>198</v>
      </c>
      <c r="AD253" s="23">
        <f>AD246+IF(AD245&gt;Inputs!$C$157,Timing!AD87,0)</f>
        <v>198</v>
      </c>
      <c r="AE253" s="23">
        <f>AE246+IF(AE245&gt;Inputs!$C$157,Timing!AE87,0)</f>
        <v>198</v>
      </c>
    </row>
    <row r="254">
      <c r="A254" s="6" t="inlineStr">
        <is>
          <t xml:space="preserve">Book value written off when the farm is dismantled</t>
        </is>
      </c>
      <c r="B254" s="10" t="inlineStr">
        <is>
          <t xml:space="preserve">€</t>
        </is>
      </c>
      <c r="F254" s="23">
        <f>IF(AND(Timing!F72=1,F252&gt;Inputs!$C$157),F252,0)</f>
        <v>0</v>
      </c>
      <c r="G254" s="23">
        <f>IF(AND(Timing!G72=1,G252&gt;Inputs!$C$157),G252,0)</f>
        <v>0</v>
      </c>
      <c r="H254" s="23">
        <f>IF(AND(Timing!H72=1,H252&gt;Inputs!$C$157),H252,0)</f>
        <v>0</v>
      </c>
      <c r="I254" s="23">
        <f>IF(AND(Timing!I72=1,I252&gt;Inputs!$C$157),I252,0)</f>
        <v>0</v>
      </c>
      <c r="J254" s="23">
        <f>IF(AND(Timing!J72=1,J252&gt;Inputs!$C$157),J252,0)</f>
        <v>0</v>
      </c>
      <c r="K254" s="23">
        <f>IF(AND(Timing!K72=1,K252&gt;Inputs!$C$157),K252,0)</f>
        <v>0</v>
      </c>
      <c r="L254" s="23">
        <f>IF(AND(Timing!L72=1,L252&gt;Inputs!$C$157),L252,0)</f>
        <v>0</v>
      </c>
      <c r="M254" s="23">
        <f>IF(AND(Timing!M72=1,M252&gt;Inputs!$C$157),M252,0)</f>
        <v>0</v>
      </c>
      <c r="N254" s="23">
        <f>IF(AND(Timing!N72=1,N252&gt;Inputs!$C$157),N252,0)</f>
        <v>0</v>
      </c>
      <c r="O254" s="23">
        <f>IF(AND(Timing!O72=1,O252&gt;Inputs!$C$157),O252,0)</f>
        <v>0</v>
      </c>
      <c r="P254" s="23">
        <f>IF(AND(Timing!P72=1,P252&gt;Inputs!$C$157),P252,0)</f>
        <v>0</v>
      </c>
      <c r="Q254" s="23">
        <f>IF(AND(Timing!Q72=1,Q252&gt;Inputs!$C$157),Q252,0)</f>
        <v>0</v>
      </c>
      <c r="R254" s="23">
        <f>IF(AND(Timing!R72=1,R252&gt;Inputs!$C$157),R252,0)</f>
        <v>0</v>
      </c>
      <c r="S254" s="23">
        <f>IF(AND(Timing!S72=1,S252&gt;Inputs!$C$157),S252,0)</f>
        <v>0</v>
      </c>
      <c r="T254" s="23">
        <f>IF(AND(Timing!T72=1,T252&gt;Inputs!$C$157),T252,0)</f>
        <v>0</v>
      </c>
      <c r="U254" s="23">
        <f>IF(AND(Timing!U72=1,U252&gt;Inputs!$C$157),U252,0)</f>
        <v>0</v>
      </c>
      <c r="V254" s="23">
        <f>IF(AND(Timing!V72=1,V252&gt;Inputs!$C$157),V252,0)</f>
        <v>0</v>
      </c>
      <c r="W254" s="23">
        <f>IF(AND(Timing!W72=1,W252&gt;Inputs!$C$157),W252,0)</f>
        <v>0</v>
      </c>
      <c r="X254" s="23">
        <f>IF(AND(Timing!X72=1,X252&gt;Inputs!$C$157),X252,0)</f>
        <v>0</v>
      </c>
      <c r="Y254" s="23">
        <f>IF(AND(Timing!Y72=1,Y252&gt;Inputs!$C$157),Y252,0)</f>
        <v>0</v>
      </c>
      <c r="Z254" s="23">
        <f>IF(AND(Timing!Z72=1,Z252&gt;Inputs!$C$157),Z252,0)</f>
        <v>0</v>
      </c>
      <c r="AA254" s="23">
        <f>IF(AND(Timing!AA72=1,AA252&gt;Inputs!$C$157),AA252,0)</f>
        <v>0</v>
      </c>
      <c r="AB254" s="23">
        <f>IF(AND(Timing!AB72=1,AB252&gt;Inputs!$C$157),AB252,0)</f>
        <v>0</v>
      </c>
      <c r="AC254" s="23">
        <f>IF(AND(Timing!AC72=1,AC252&gt;Inputs!$C$157),AC252,0)</f>
        <v>0</v>
      </c>
      <c r="AD254" s="23">
        <f>IF(AND(Timing!AD72=1,AD252&gt;Inputs!$C$157),AD252,0)</f>
        <v>0</v>
      </c>
      <c r="AE254" s="23">
        <f>IF(AND(Timing!AE72=1,AE252&gt;Inputs!$C$157),AE252,0)</f>
        <v>0</v>
      </c>
    </row>
    <row r="255">
      <c r="A255" s="41" t="inlineStr">
        <is>
          <t xml:space="preserve">Depreciation</t>
        </is>
      </c>
      <c r="B255" s="10" t="inlineStr">
        <is>
          <t xml:space="preserve">€</t>
        </is>
      </c>
      <c r="F255" s="42">
        <f>F251+F254</f>
        <v>1874763.3515625</v>
      </c>
      <c r="G255" s="42">
        <f>G251+G254</f>
        <v>3749526.703125</v>
      </c>
      <c r="H255" s="42">
        <f>H251+H254</f>
        <v>3749526.703125</v>
      </c>
      <c r="I255" s="42">
        <f>I251+I254</f>
        <v>3749526.703125</v>
      </c>
      <c r="J255" s="42">
        <f>J251+J254</f>
        <v>3749526.703125</v>
      </c>
      <c r="K255" s="42">
        <f>K251+K254</f>
        <v>3749526.703125</v>
      </c>
      <c r="L255" s="42">
        <f>L251+L254</f>
        <v>3749526.703125</v>
      </c>
      <c r="M255" s="42">
        <f>M251+M254</f>
        <v>3749526.703125</v>
      </c>
      <c r="N255" s="42">
        <f>N251+N254</f>
        <v>3749526.703125</v>
      </c>
      <c r="O255" s="42">
        <f>O251+O254</f>
        <v>3749526.703125</v>
      </c>
      <c r="P255" s="42">
        <f>P251+P254</f>
        <v>3749526.703125</v>
      </c>
      <c r="Q255" s="42">
        <f>Q251+Q254</f>
        <v>3749526.703125</v>
      </c>
      <c r="R255" s="42">
        <f>R251+R254</f>
        <v>3749526.703125</v>
      </c>
      <c r="S255" s="42">
        <f>S251+S254</f>
        <v>3749526.703125</v>
      </c>
      <c r="T255" s="42">
        <f>T251+T254</f>
        <v>3749526.703125</v>
      </c>
      <c r="U255" s="42">
        <f>U251+U254</f>
        <v>3749526.703125</v>
      </c>
      <c r="V255" s="42">
        <f>V251+V254</f>
        <v>1874763.3515625</v>
      </c>
      <c r="W255" s="42">
        <f>W251+W254</f>
        <v>0</v>
      </c>
      <c r="X255" s="42">
        <f>X251+X254</f>
        <v>0</v>
      </c>
      <c r="Y255" s="42">
        <f>Y251+Y254</f>
        <v>0</v>
      </c>
      <c r="Z255" s="42">
        <f>Z251+Z254</f>
        <v>0</v>
      </c>
      <c r="AA255" s="42">
        <f>AA251+AA254</f>
        <v>0</v>
      </c>
      <c r="AB255" s="42">
        <f>AB251+AB254</f>
        <v>0</v>
      </c>
      <c r="AC255" s="42">
        <f>AC251+AC254</f>
        <v>0</v>
      </c>
      <c r="AD255" s="42">
        <f>AD251+AD254</f>
        <v>0</v>
      </c>
      <c r="AE255" s="42">
        <f>AE251+AE254</f>
        <v>0</v>
      </c>
    </row>
    <row r="256">
      <c r="A256" s="6" t="inlineStr">
        <is>
          <t xml:space="preserve">Interest</t>
        </is>
      </c>
      <c r="B256" s="10" t="inlineStr">
        <is>
          <t xml:space="preserve">€</t>
        </is>
      </c>
      <c r="F256" s="23">
        <f>0</f>
        <v>0</v>
      </c>
      <c r="G256" s="23">
        <f>0</f>
        <v>0</v>
      </c>
      <c r="H256" s="23">
        <f>0</f>
        <v>0</v>
      </c>
      <c r="I256" s="23">
        <f>0</f>
        <v>0</v>
      </c>
      <c r="J256" s="23">
        <f>0</f>
        <v>0</v>
      </c>
      <c r="K256" s="23">
        <f>0</f>
        <v>0</v>
      </c>
      <c r="L256" s="23">
        <f>0</f>
        <v>0</v>
      </c>
      <c r="M256" s="23">
        <f>0</f>
        <v>0</v>
      </c>
      <c r="N256" s="23">
        <f>0</f>
        <v>0</v>
      </c>
      <c r="O256" s="23">
        <f>0</f>
        <v>0</v>
      </c>
      <c r="P256" s="23">
        <f>0</f>
        <v>0</v>
      </c>
      <c r="Q256" s="23">
        <f>0</f>
        <v>0</v>
      </c>
      <c r="R256" s="23">
        <f>0</f>
        <v>0</v>
      </c>
      <c r="S256" s="23">
        <f>0</f>
        <v>0</v>
      </c>
      <c r="T256" s="23">
        <f>0</f>
        <v>0</v>
      </c>
      <c r="U256" s="23">
        <f>0</f>
        <v>0</v>
      </c>
      <c r="V256" s="23">
        <f>0</f>
        <v>0</v>
      </c>
      <c r="W256" s="23">
        <f>0</f>
        <v>0</v>
      </c>
      <c r="X256" s="23">
        <f>0</f>
        <v>0</v>
      </c>
      <c r="Y256" s="23">
        <f>0</f>
        <v>0</v>
      </c>
      <c r="Z256" s="23">
        <f>0</f>
        <v>0</v>
      </c>
      <c r="AA256" s="23">
        <f>0</f>
        <v>0</v>
      </c>
      <c r="AB256" s="23">
        <f>0</f>
        <v>0</v>
      </c>
      <c r="AC256" s="23">
        <f>0</f>
        <v>0</v>
      </c>
      <c r="AD256" s="23">
        <f>0</f>
        <v>0</v>
      </c>
      <c r="AE256" s="23">
        <f>0</f>
        <v>0</v>
      </c>
    </row>
    <row r="257">
      <c r="A257" s="41" t="inlineStr">
        <is>
          <t xml:space="preserve">Profit before tax</t>
        </is>
      </c>
      <c r="B257" s="10" t="inlineStr">
        <is>
          <t xml:space="preserve">€</t>
        </is>
      </c>
      <c r="F257" s="42">
        <f>Operations!F217-F255-F256-F10</f>
        <v>-582294.239564931</v>
      </c>
      <c r="G257" s="42">
        <f>Operations!G217-G255-G256-G10</f>
        <v>-1129600.0048617437</v>
      </c>
      <c r="H257" s="42">
        <f>Operations!H217-H255-H256-H10</f>
        <v>-1163548.7254175588</v>
      </c>
      <c r="I257" s="42">
        <f>Operations!I217-I255-I256-I10</f>
        <v>-1193054.1111894052</v>
      </c>
      <c r="J257" s="42">
        <f>Operations!J217-J255-J256-J10</f>
        <v>-1223377.686257893</v>
      </c>
      <c r="K257" s="42">
        <f>Operations!K217-K255-K256-K10</f>
        <v>297454.78580853465</v>
      </c>
      <c r="L257" s="42">
        <f>Operations!L217-L255-L256-L10</f>
        <v>-1004563.8407770918</v>
      </c>
      <c r="M257" s="42">
        <f>Operations!M217-M255-M256-M10</f>
        <v>-1037866.965374629</v>
      </c>
      <c r="N257" s="42">
        <f>Operations!N217-N255-N256-N10</f>
        <v>-1072236.3236948284</v>
      </c>
      <c r="O257" s="42">
        <f>Operations!O217-O255-O256-O10</f>
        <v>-1107366.639710755</v>
      </c>
      <c r="P257" s="42">
        <f>Operations!P217-P255-P256-P10</f>
        <v>-1284445.255778186</v>
      </c>
      <c r="Q257" s="42">
        <f>Operations!Q217-Q255-Q256-Q10</f>
        <v>-1334040.7218309112</v>
      </c>
      <c r="R257" s="42">
        <f>Operations!R217-R255-R256-R10</f>
        <v>-1385275.2325017902</v>
      </c>
      <c r="S257" s="42">
        <f>Operations!S217-S255-S256-S10</f>
        <v>-1437672.9357374138</v>
      </c>
      <c r="T257" s="42">
        <f>Operations!T217-T255-T256-T10</f>
        <v>-1491876.732783955</v>
      </c>
      <c r="U257" s="42">
        <f>Operations!U217-U255-U256-U10</f>
        <v>-1547815.4552619914</v>
      </c>
      <c r="V257" s="42">
        <f>Operations!V217-V255-V256-V10</f>
        <v>204984.02115511568</v>
      </c>
      <c r="W257" s="42">
        <f>Operations!W217-W255-W256-W10</f>
        <v>2104814.2745619807</v>
      </c>
      <c r="X257" s="42">
        <f>Operations!X217-X255-X256-X10</f>
        <v>2128856.488809407</v>
      </c>
      <c r="Y257" s="42">
        <f>Operations!Y217-Y255-Y256-Y10</f>
        <v>2152021.7967316275</v>
      </c>
      <c r="Z257" s="42">
        <f>Operations!Z217-Z255-Z256-Z10</f>
        <v>2085023.7561525803</v>
      </c>
      <c r="AA257" s="42">
        <f>Operations!AA217-AA255-AA256-AA10</f>
        <v>2104651.292549995</v>
      </c>
      <c r="AB257" s="42">
        <f>Operations!AB217-AB255-AB256-AB10</f>
        <v>2122532.825429992</v>
      </c>
      <c r="AC257" s="42">
        <f>Operations!AC217-AC255-AC256-AC10</f>
        <v>2138895.6086373916</v>
      </c>
      <c r="AD257" s="42">
        <f>Operations!AD217-AD255-AD256-AD10</f>
        <v>2084811.0704494086</v>
      </c>
      <c r="AE257" s="42">
        <f>Operations!AE217-AE255-AE256-AE10</f>
        <v>1119197.5132500674</v>
      </c>
    </row>
    <row r="258">
      <c r="A258" s="6" t="inlineStr">
        <is>
          <t xml:space="preserve">Trade tax: add-back of interest and land lease</t>
        </is>
      </c>
      <c r="B258" s="10" t="inlineStr">
        <is>
          <t xml:space="preserve">€</t>
        </is>
      </c>
      <c r="F258" s="23">
        <f>Inputs!$C$116*MAX(0,F256+Inputs!$C$118*Operations!F210-Inputs!$C$117)</f>
        <v>0</v>
      </c>
      <c r="G258" s="23">
        <f>Inputs!$C$116*MAX(0,G256+Inputs!$C$118*Operations!G210-Inputs!$C$117)</f>
        <v>1982.2690789174521</v>
      </c>
      <c r="H258" s="23">
        <f>Inputs!$C$116*MAX(0,H256+Inputs!$C$118*Operations!H210-Inputs!$C$117)</f>
        <v>1849.6011604104133</v>
      </c>
      <c r="I258" s="23">
        <f>Inputs!$C$116*MAX(0,I256+Inputs!$C$118*Operations!I210-Inputs!$C$117)</f>
        <v>1789.1970462199533</v>
      </c>
      <c r="J258" s="23">
        <f>Inputs!$C$116*MAX(0,J256+Inputs!$C$118*Operations!J210-Inputs!$C$117)</f>
        <v>1729.6913200406707</v>
      </c>
      <c r="K258" s="23">
        <f>Inputs!$C$116*MAX(0,K256+Inputs!$C$118*Operations!K210-Inputs!$C$117)</f>
        <v>23223.684514493216</v>
      </c>
      <c r="L258" s="23">
        <f>Inputs!$C$116*MAX(0,L256+Inputs!$C$118*Operations!L210-Inputs!$C$117)</f>
        <v>5524.872761263527</v>
      </c>
      <c r="M258" s="23">
        <f>Inputs!$C$116*MAX(0,M256+Inputs!$C$118*Operations!M210-Inputs!$C$117)</f>
        <v>5460.313222774224</v>
      </c>
      <c r="N258" s="23">
        <f>Inputs!$C$116*MAX(0,N256+Inputs!$C$118*Operations!N210-Inputs!$C$117)</f>
        <v>5396.717767480215</v>
      </c>
      <c r="O258" s="23">
        <f>Inputs!$C$116*MAX(0,O256+Inputs!$C$118*Operations!O210-Inputs!$C$117)</f>
        <v>5334.0994631707</v>
      </c>
      <c r="P258" s="23">
        <f>Inputs!$C$116*MAX(0,P256+Inputs!$C$118*Operations!P210-Inputs!$C$117)</f>
        <v>5811.59095102382</v>
      </c>
      <c r="Q258" s="23">
        <f>Inputs!$C$116*MAX(0,Q256+Inputs!$C$118*Operations!Q210-Inputs!$C$117)</f>
        <v>6927.822770044295</v>
      </c>
      <c r="R258" s="23">
        <f>Inputs!$C$116*MAX(0,R256+Inputs!$C$118*Operations!R210-Inputs!$C$117)</f>
        <v>8066.379225445191</v>
      </c>
      <c r="S258" s="23">
        <f>Inputs!$C$116*MAX(0,S256+Inputs!$C$118*Operations!S210-Inputs!$C$117)</f>
        <v>9227.706809954085</v>
      </c>
      <c r="T258" s="23">
        <f>Inputs!$C$116*MAX(0,T256+Inputs!$C$118*Operations!T210-Inputs!$C$117)</f>
        <v>10412.260946153168</v>
      </c>
      <c r="U258" s="23">
        <f>Inputs!$C$116*MAX(0,U256+Inputs!$C$118*Operations!U210-Inputs!$C$117)</f>
        <v>11620.506165076229</v>
      </c>
      <c r="V258" s="23">
        <f>Inputs!$C$116*MAX(0,V256+Inputs!$C$118*Operations!V210-Inputs!$C$117)</f>
        <v>12852.91628837776</v>
      </c>
      <c r="W258" s="23">
        <f>Inputs!$C$116*MAX(0,W256+Inputs!$C$118*Operations!W210-Inputs!$C$117)</f>
        <v>14109.974614145314</v>
      </c>
      <c r="X258" s="23">
        <f>Inputs!$C$116*MAX(0,X256+Inputs!$C$118*Operations!X210-Inputs!$C$117)</f>
        <v>15392.174106428218</v>
      </c>
      <c r="Y258" s="23">
        <f>Inputs!$C$116*MAX(0,Y256+Inputs!$C$118*Operations!Y210-Inputs!$C$117)</f>
        <v>16700.017588556788</v>
      </c>
      <c r="Z258" s="23">
        <f>Inputs!$C$116*MAX(0,Z256+Inputs!$C$118*Operations!Z210-Inputs!$C$117)</f>
        <v>18034.017940327918</v>
      </c>
      <c r="AA258" s="23">
        <f>Inputs!$C$116*MAX(0,AA256+Inputs!$C$118*Operations!AA210-Inputs!$C$117)</f>
        <v>19394.698299134485</v>
      </c>
      <c r="AB258" s="23">
        <f>Inputs!$C$116*MAX(0,AB256+Inputs!$C$118*Operations!AB210-Inputs!$C$117)</f>
        <v>20782.59226511717</v>
      </c>
      <c r="AC258" s="23">
        <f>Inputs!$C$116*MAX(0,AC256+Inputs!$C$118*Operations!AC210-Inputs!$C$117)</f>
        <v>22198.244110419517</v>
      </c>
      <c r="AD258" s="23">
        <f>Inputs!$C$116*MAX(0,AD256+Inputs!$C$118*Operations!AD210-Inputs!$C$117)</f>
        <v>23642.208992627915</v>
      </c>
      <c r="AE258" s="23">
        <f>Inputs!$C$116*MAX(0,AE256+Inputs!$C$118*Operations!AE210-Inputs!$C$117)</f>
        <v>0</v>
      </c>
    </row>
    <row r="259">
      <c r="A259" s="6" t="inlineStr">
        <is>
          <t xml:space="preserve">Trade income before losses</t>
        </is>
      </c>
      <c r="B259" s="10" t="inlineStr">
        <is>
          <t xml:space="preserve">€</t>
        </is>
      </c>
      <c r="F259" s="23">
        <f>F257+F258</f>
        <v>-582294.239564931</v>
      </c>
      <c r="G259" s="23">
        <f>G257+G258</f>
        <v>-1127617.7357828263</v>
      </c>
      <c r="H259" s="23">
        <f>H257+H258</f>
        <v>-1161699.1242571485</v>
      </c>
      <c r="I259" s="23">
        <f>I257+I258</f>
        <v>-1191264.9141431851</v>
      </c>
      <c r="J259" s="23">
        <f>J257+J258</f>
        <v>-1221647.9949378523</v>
      </c>
      <c r="K259" s="23">
        <f>K257+K258</f>
        <v>320678.47032302787</v>
      </c>
      <c r="L259" s="23">
        <f>L257+L258</f>
        <v>-999038.9680158283</v>
      </c>
      <c r="M259" s="23">
        <f>M257+M258</f>
        <v>-1032406.6521518548</v>
      </c>
      <c r="N259" s="23">
        <f>N257+N258</f>
        <v>-1066839.6059273481</v>
      </c>
      <c r="O259" s="23">
        <f>O257+O258</f>
        <v>-1102032.5402475845</v>
      </c>
      <c r="P259" s="23">
        <f>P257+P258</f>
        <v>-1278633.6648271622</v>
      </c>
      <c r="Q259" s="23">
        <f>Q257+Q258</f>
        <v>-1327112.899060867</v>
      </c>
      <c r="R259" s="23">
        <f>R257+R258</f>
        <v>-1377208.853276345</v>
      </c>
      <c r="S259" s="23">
        <f>S257+S258</f>
        <v>-1428445.2289274598</v>
      </c>
      <c r="T259" s="23">
        <f>T257+T258</f>
        <v>-1481464.4718378019</v>
      </c>
      <c r="U259" s="23">
        <f>U257+U258</f>
        <v>-1536194.949096915</v>
      </c>
      <c r="V259" s="23">
        <f>V257+V258</f>
        <v>217836.93744349346</v>
      </c>
      <c r="W259" s="23">
        <f>W257+W258</f>
        <v>2118924.249176126</v>
      </c>
      <c r="X259" s="23">
        <f>X257+X258</f>
        <v>2144248.6629158356</v>
      </c>
      <c r="Y259" s="23">
        <f>Y257+Y258</f>
        <v>2168721.8143201843</v>
      </c>
      <c r="Z259" s="23">
        <f>Z257+Z258</f>
        <v>2103057.774092908</v>
      </c>
      <c r="AA259" s="23">
        <f>AA257+AA258</f>
        <v>2124045.9908491294</v>
      </c>
      <c r="AB259" s="23">
        <f>AB257+AB258</f>
        <v>2143315.417695109</v>
      </c>
      <c r="AC259" s="23">
        <f>AC257+AC258</f>
        <v>2161093.852747811</v>
      </c>
      <c r="AD259" s="23">
        <f>AD257+AD258</f>
        <v>2108453.2794420365</v>
      </c>
      <c r="AE259" s="23">
        <f>AE257+AE258</f>
        <v>1119197.5132500674</v>
      </c>
    </row>
    <row r="260">
      <c r="A260" s="6" t="inlineStr">
        <is>
          <t xml:space="preserve">Trade loss carry-forward at the start</t>
        </is>
      </c>
      <c r="B260" s="10" t="inlineStr">
        <is>
          <t xml:space="preserve">€</t>
        </is>
      </c>
      <c r="E260" s="9">
        <v>0</v>
      </c>
      <c r="F260" s="23">
        <f>E262</f>
        <v>0</v>
      </c>
      <c r="G260" s="23">
        <f>F262</f>
        <v>582294.239564931</v>
      </c>
      <c r="H260" s="23">
        <f>G262</f>
        <v>1709911.9753477573</v>
      </c>
      <c r="I260" s="23">
        <f>H262</f>
        <v>2871611.0996049056</v>
      </c>
      <c r="J260" s="23">
        <f>I262</f>
        <v>4062876.0137480907</v>
      </c>
      <c r="K260" s="23">
        <f>J262</f>
        <v>5284524.008685943</v>
      </c>
      <c r="L260" s="23">
        <f>K262</f>
        <v>4963845.538362915</v>
      </c>
      <c r="M260" s="23">
        <f>L262</f>
        <v>5962884.506378743</v>
      </c>
      <c r="N260" s="23">
        <f>M262</f>
        <v>6995291.158530598</v>
      </c>
      <c r="O260" s="23">
        <f>N262</f>
        <v>8062130.764457946</v>
      </c>
      <c r="P260" s="23">
        <f>O262</f>
        <v>9164163.30470553</v>
      </c>
      <c r="Q260" s="23">
        <f>P262</f>
        <v>10442796.969532693</v>
      </c>
      <c r="R260" s="23">
        <f>Q262</f>
        <v>11769909.86859356</v>
      </c>
      <c r="S260" s="23">
        <f>R262</f>
        <v>13147118.721869905</v>
      </c>
      <c r="T260" s="23">
        <f>S262</f>
        <v>14575563.950797364</v>
      </c>
      <c r="U260" s="23">
        <f>T262</f>
        <v>16057028.422635166</v>
      </c>
      <c r="V260" s="23">
        <f>U262</f>
        <v>17593223.371732082</v>
      </c>
      <c r="W260" s="23">
        <f>V262</f>
        <v>17375386.434288587</v>
      </c>
      <c r="X260" s="23">
        <f>W262</f>
        <v>15704031.884782912</v>
      </c>
      <c r="Y260" s="23">
        <f>X262</f>
        <v>14017482.687033411</v>
      </c>
      <c r="Z260" s="23">
        <f>Y262</f>
        <v>12316249.5984413</v>
      </c>
      <c r="AA260" s="23">
        <f>Z262</f>
        <v>10654414.933985556</v>
      </c>
      <c r="AB260" s="23">
        <f>AA262</f>
        <v>8979987.339476079</v>
      </c>
      <c r="AC260" s="23">
        <f>AB262</f>
        <v>7293998.088859013</v>
      </c>
      <c r="AD260" s="23">
        <f>AC262</f>
        <v>5597341.777210327</v>
      </c>
      <c r="AE260" s="23">
        <f>AD262</f>
        <v>3932269.809545105</v>
      </c>
    </row>
    <row r="261">
      <c r="A261" s="6" t="inlineStr">
        <is>
          <t xml:space="preserve">Trade losses used (€1m in full, 60 % above)</t>
        </is>
      </c>
      <c r="B261" s="10" t="inlineStr">
        <is>
          <t xml:space="preserve">€</t>
        </is>
      </c>
      <c r="F261" s="23">
        <f>IF(F259&gt;0,MIN(F260,MIN(F259,Inputs!$C$119)+Inputs!$C$120*MAX(0,F259-Inputs!$C$119)),0)</f>
        <v>0</v>
      </c>
      <c r="G261" s="23">
        <f>IF(G259&gt;0,MIN(G260,MIN(G259,Inputs!$C$119)+Inputs!$C$120*MAX(0,G259-Inputs!$C$119)),0)</f>
        <v>0</v>
      </c>
      <c r="H261" s="23">
        <f>IF(H259&gt;0,MIN(H260,MIN(H259,Inputs!$C$119)+Inputs!$C$120*MAX(0,H259-Inputs!$C$119)),0)</f>
        <v>0</v>
      </c>
      <c r="I261" s="23">
        <f>IF(I259&gt;0,MIN(I260,MIN(I259,Inputs!$C$119)+Inputs!$C$120*MAX(0,I259-Inputs!$C$119)),0)</f>
        <v>0</v>
      </c>
      <c r="J261" s="23">
        <f>IF(J259&gt;0,MIN(J260,MIN(J259,Inputs!$C$119)+Inputs!$C$120*MAX(0,J259-Inputs!$C$119)),0)</f>
        <v>0</v>
      </c>
      <c r="K261" s="23">
        <f>IF(K259&gt;0,MIN(K260,MIN(K259,Inputs!$C$119)+Inputs!$C$120*MAX(0,K259-Inputs!$C$119)),0)</f>
        <v>320678.47032302804</v>
      </c>
      <c r="L261" s="23">
        <f>IF(L259&gt;0,MIN(L260,MIN(L259,Inputs!$C$119)+Inputs!$C$120*MAX(0,L259-Inputs!$C$119)),0)</f>
        <v>0</v>
      </c>
      <c r="M261" s="23">
        <f>IF(M259&gt;0,MIN(M260,MIN(M259,Inputs!$C$119)+Inputs!$C$120*MAX(0,M259-Inputs!$C$119)),0)</f>
        <v>0</v>
      </c>
      <c r="N261" s="23">
        <f>IF(N259&gt;0,MIN(N260,MIN(N259,Inputs!$C$119)+Inputs!$C$120*MAX(0,N259-Inputs!$C$119)),0)</f>
        <v>0</v>
      </c>
      <c r="O261" s="23">
        <f>IF(O259&gt;0,MIN(O260,MIN(O259,Inputs!$C$119)+Inputs!$C$120*MAX(0,O259-Inputs!$C$119)),0)</f>
        <v>0</v>
      </c>
      <c r="P261" s="23">
        <f>IF(P259&gt;0,MIN(P260,MIN(P259,Inputs!$C$119)+Inputs!$C$120*MAX(0,P259-Inputs!$C$119)),0)</f>
        <v>0</v>
      </c>
      <c r="Q261" s="23">
        <f>IF(Q259&gt;0,MIN(Q260,MIN(Q259,Inputs!$C$119)+Inputs!$C$120*MAX(0,Q259-Inputs!$C$119)),0)</f>
        <v>0</v>
      </c>
      <c r="R261" s="23">
        <f>IF(R259&gt;0,MIN(R260,MIN(R259,Inputs!$C$119)+Inputs!$C$120*MAX(0,R259-Inputs!$C$119)),0)</f>
        <v>0</v>
      </c>
      <c r="S261" s="23">
        <f>IF(S259&gt;0,MIN(S260,MIN(S259,Inputs!$C$119)+Inputs!$C$120*MAX(0,S259-Inputs!$C$119)),0)</f>
        <v>0</v>
      </c>
      <c r="T261" s="23">
        <f>IF(T259&gt;0,MIN(T260,MIN(T259,Inputs!$C$119)+Inputs!$C$120*MAX(0,T259-Inputs!$C$119)),0)</f>
        <v>0</v>
      </c>
      <c r="U261" s="23">
        <f>IF(U259&gt;0,MIN(U260,MIN(U259,Inputs!$C$119)+Inputs!$C$120*MAX(0,U259-Inputs!$C$119)),0)</f>
        <v>0</v>
      </c>
      <c r="V261" s="23">
        <f>IF(V259&gt;0,MIN(V260,MIN(V259,Inputs!$C$119)+Inputs!$C$120*MAX(0,V259-Inputs!$C$119)),0)</f>
        <v>217836.9374434948</v>
      </c>
      <c r="W261" s="23">
        <f>IF(W259&gt;0,MIN(W260,MIN(W259,Inputs!$C$119)+Inputs!$C$120*MAX(0,W259-Inputs!$C$119)),0)</f>
        <v>1671354.5495056752</v>
      </c>
      <c r="X261" s="23">
        <f>IF(X259&gt;0,MIN(X260,MIN(X259,Inputs!$C$119)+Inputs!$C$120*MAX(0,X259-Inputs!$C$119)),0)</f>
        <v>1686549.197749501</v>
      </c>
      <c r="Y261" s="23">
        <f>IF(Y259&gt;0,MIN(Y260,MIN(Y259,Inputs!$C$119)+Inputs!$C$120*MAX(0,Y259-Inputs!$C$119)),0)</f>
        <v>1701233.0885921102</v>
      </c>
      <c r="Z261" s="23">
        <f>IF(Z259&gt;0,MIN(Z260,MIN(Z259,Inputs!$C$119)+Inputs!$C$120*MAX(0,Z259-Inputs!$C$119)),0)</f>
        <v>1661834.6644557454</v>
      </c>
      <c r="AA261" s="23">
        <f>IF(AA259&gt;0,MIN(AA260,MIN(AA259,Inputs!$C$119)+Inputs!$C$120*MAX(0,AA259-Inputs!$C$119)),0)</f>
        <v>1674427.5945094768</v>
      </c>
      <c r="AB261" s="23">
        <f>IF(AB259&gt;0,MIN(AB260,MIN(AB259,Inputs!$C$119)+Inputs!$C$120*MAX(0,AB259-Inputs!$C$119)),0)</f>
        <v>1685989.2506170655</v>
      </c>
      <c r="AC261" s="23">
        <f>IF(AC259&gt;0,MIN(AC260,MIN(AC259,Inputs!$C$119)+Inputs!$C$120*MAX(0,AC259-Inputs!$C$119)),0)</f>
        <v>1696656.3116486864</v>
      </c>
      <c r="AD261" s="23">
        <f>IF(AD259&gt;0,MIN(AD260,MIN(AD259,Inputs!$C$119)+Inputs!$C$120*MAX(0,AD259-Inputs!$C$119)),0)</f>
        <v>1665071.967665222</v>
      </c>
      <c r="AE261" s="23">
        <f>IF(AE259&gt;0,MIN(AE260,MIN(AE259,Inputs!$C$119)+Inputs!$C$120*MAX(0,AE259-Inputs!$C$119)),0)</f>
        <v>1071518.5079500405</v>
      </c>
    </row>
    <row r="262">
      <c r="A262" s="6" t="inlineStr">
        <is>
          <t xml:space="preserve">Trade loss carry-forward at the year end</t>
        </is>
      </c>
      <c r="B262" s="10" t="inlineStr">
        <is>
          <t xml:space="preserve">€</t>
        </is>
      </c>
      <c r="F262" s="23">
        <f>F260-F261+MAX(0,-F259)</f>
        <v>582294.239564931</v>
      </c>
      <c r="G262" s="23">
        <f>G260-G261+MAX(0,-G259)</f>
        <v>1709911.9753477573</v>
      </c>
      <c r="H262" s="23">
        <f>H260-H261+MAX(0,-H259)</f>
        <v>2871611.0996049056</v>
      </c>
      <c r="I262" s="23">
        <f>I260-I261+MAX(0,-I259)</f>
        <v>4062876.0137480907</v>
      </c>
      <c r="J262" s="23">
        <f>J260-J261+MAX(0,-J259)</f>
        <v>5284524.008685943</v>
      </c>
      <c r="K262" s="23">
        <f>K260-K261+MAX(0,-K259)</f>
        <v>4963845.538362915</v>
      </c>
      <c r="L262" s="23">
        <f>L260-L261+MAX(0,-L259)</f>
        <v>5962884.506378743</v>
      </c>
      <c r="M262" s="23">
        <f>M260-M261+MAX(0,-M259)</f>
        <v>6995291.158530598</v>
      </c>
      <c r="N262" s="23">
        <f>N260-N261+MAX(0,-N259)</f>
        <v>8062130.764457946</v>
      </c>
      <c r="O262" s="23">
        <f>O260-O261+MAX(0,-O259)</f>
        <v>9164163.30470553</v>
      </c>
      <c r="P262" s="23">
        <f>P260-P261+MAX(0,-P259)</f>
        <v>10442796.969532693</v>
      </c>
      <c r="Q262" s="23">
        <f>Q260-Q261+MAX(0,-Q259)</f>
        <v>11769909.86859356</v>
      </c>
      <c r="R262" s="23">
        <f>R260-R261+MAX(0,-R259)</f>
        <v>13147118.721869905</v>
      </c>
      <c r="S262" s="23">
        <f>S260-S261+MAX(0,-S259)</f>
        <v>14575563.950797364</v>
      </c>
      <c r="T262" s="23">
        <f>T260-T261+MAX(0,-T259)</f>
        <v>16057028.422635166</v>
      </c>
      <c r="U262" s="23">
        <f>U260-U261+MAX(0,-U259)</f>
        <v>17593223.371732082</v>
      </c>
      <c r="V262" s="23">
        <f>V260-V261+MAX(0,-V259)</f>
        <v>17375386.434288587</v>
      </c>
      <c r="W262" s="23">
        <f>W260-W261+MAX(0,-W259)</f>
        <v>15704031.884782912</v>
      </c>
      <c r="X262" s="23">
        <f>X260-X261+MAX(0,-X259)</f>
        <v>14017482.687033411</v>
      </c>
      <c r="Y262" s="23">
        <f>Y260-Y261+MAX(0,-Y259)</f>
        <v>12316249.5984413</v>
      </c>
      <c r="Z262" s="23">
        <f>Z260-Z261+MAX(0,-Z259)</f>
        <v>10654414.933985556</v>
      </c>
      <c r="AA262" s="23">
        <f>AA260-AA261+MAX(0,-AA259)</f>
        <v>8979987.339476079</v>
      </c>
      <c r="AB262" s="23">
        <f>AB260-AB261+MAX(0,-AB259)</f>
        <v>7293998.088859013</v>
      </c>
      <c r="AC262" s="23">
        <f>AC260-AC261+MAX(0,-AC259)</f>
        <v>5597341.777210327</v>
      </c>
      <c r="AD262" s="23">
        <f>AD260-AD261+MAX(0,-AD259)</f>
        <v>3932269.809545105</v>
      </c>
      <c r="AE262" s="23">
        <f>AE260-AE261+MAX(0,-AE259)</f>
        <v>2860751.3015950643</v>
      </c>
    </row>
    <row r="263">
      <c r="A263" s="6" t="inlineStr">
        <is>
          <t xml:space="preserve">Trade tax base (rounded down to €100; KG allowance)</t>
        </is>
      </c>
      <c r="B263" s="10" t="inlineStr">
        <is>
          <t xml:space="preserve">€</t>
        </is>
      </c>
      <c r="F263" s="23">
        <f>IF(Inputs!$C$91="KG",MAX(0,ROUNDDOWN(MAX(0,F259-F261)/100,0)*100-Inputs!$C$115),ROUNDDOWN(MAX(0,F259-F261)/100,0)*100)</f>
        <v>0</v>
      </c>
      <c r="G263" s="23">
        <f>IF(Inputs!$C$91="KG",MAX(0,ROUNDDOWN(MAX(0,G259-G261)/100,0)*100-Inputs!$C$115),ROUNDDOWN(MAX(0,G259-G261)/100,0)*100)</f>
        <v>0</v>
      </c>
      <c r="H263" s="23">
        <f>IF(Inputs!$C$91="KG",MAX(0,ROUNDDOWN(MAX(0,H259-H261)/100,0)*100-Inputs!$C$115),ROUNDDOWN(MAX(0,H259-H261)/100,0)*100)</f>
        <v>0</v>
      </c>
      <c r="I263" s="23">
        <f>IF(Inputs!$C$91="KG",MAX(0,ROUNDDOWN(MAX(0,I259-I261)/100,0)*100-Inputs!$C$115),ROUNDDOWN(MAX(0,I259-I261)/100,0)*100)</f>
        <v>0</v>
      </c>
      <c r="J263" s="23">
        <f>IF(Inputs!$C$91="KG",MAX(0,ROUNDDOWN(MAX(0,J259-J261)/100,0)*100-Inputs!$C$115),ROUNDDOWN(MAX(0,J259-J261)/100,0)*100)</f>
        <v>0</v>
      </c>
      <c r="K263" s="23">
        <f>IF(Inputs!$C$91="KG",MAX(0,ROUNDDOWN(MAX(0,K259-K261)/100,0)*100-Inputs!$C$115),ROUNDDOWN(MAX(0,K259-K261)/100,0)*100)</f>
        <v>0</v>
      </c>
      <c r="L263" s="23">
        <f>IF(Inputs!$C$91="KG",MAX(0,ROUNDDOWN(MAX(0,L259-L261)/100,0)*100-Inputs!$C$115),ROUNDDOWN(MAX(0,L259-L261)/100,0)*100)</f>
        <v>0</v>
      </c>
      <c r="M263" s="23">
        <f>IF(Inputs!$C$91="KG",MAX(0,ROUNDDOWN(MAX(0,M259-M261)/100,0)*100-Inputs!$C$115),ROUNDDOWN(MAX(0,M259-M261)/100,0)*100)</f>
        <v>0</v>
      </c>
      <c r="N263" s="23">
        <f>IF(Inputs!$C$91="KG",MAX(0,ROUNDDOWN(MAX(0,N259-N261)/100,0)*100-Inputs!$C$115),ROUNDDOWN(MAX(0,N259-N261)/100,0)*100)</f>
        <v>0</v>
      </c>
      <c r="O263" s="23">
        <f>IF(Inputs!$C$91="KG",MAX(0,ROUNDDOWN(MAX(0,O259-O261)/100,0)*100-Inputs!$C$115),ROUNDDOWN(MAX(0,O259-O261)/100,0)*100)</f>
        <v>0</v>
      </c>
      <c r="P263" s="23">
        <f>IF(Inputs!$C$91="KG",MAX(0,ROUNDDOWN(MAX(0,P259-P261)/100,0)*100-Inputs!$C$115),ROUNDDOWN(MAX(0,P259-P261)/100,0)*100)</f>
        <v>0</v>
      </c>
      <c r="Q263" s="23">
        <f>IF(Inputs!$C$91="KG",MAX(0,ROUNDDOWN(MAX(0,Q259-Q261)/100,0)*100-Inputs!$C$115),ROUNDDOWN(MAX(0,Q259-Q261)/100,0)*100)</f>
        <v>0</v>
      </c>
      <c r="R263" s="23">
        <f>IF(Inputs!$C$91="KG",MAX(0,ROUNDDOWN(MAX(0,R259-R261)/100,0)*100-Inputs!$C$115),ROUNDDOWN(MAX(0,R259-R261)/100,0)*100)</f>
        <v>0</v>
      </c>
      <c r="S263" s="23">
        <f>IF(Inputs!$C$91="KG",MAX(0,ROUNDDOWN(MAX(0,S259-S261)/100,0)*100-Inputs!$C$115),ROUNDDOWN(MAX(0,S259-S261)/100,0)*100)</f>
        <v>0</v>
      </c>
      <c r="T263" s="23">
        <f>IF(Inputs!$C$91="KG",MAX(0,ROUNDDOWN(MAX(0,T259-T261)/100,0)*100-Inputs!$C$115),ROUNDDOWN(MAX(0,T259-T261)/100,0)*100)</f>
        <v>0</v>
      </c>
      <c r="U263" s="23">
        <f>IF(Inputs!$C$91="KG",MAX(0,ROUNDDOWN(MAX(0,U259-U261)/100,0)*100-Inputs!$C$115),ROUNDDOWN(MAX(0,U259-U261)/100,0)*100)</f>
        <v>0</v>
      </c>
      <c r="V263" s="23">
        <f>IF(Inputs!$C$91="KG",MAX(0,ROUNDDOWN(MAX(0,V259-V261)/100,0)*100-Inputs!$C$115),ROUNDDOWN(MAX(0,V259-V261)/100,0)*100)</f>
        <v>0</v>
      </c>
      <c r="W263" s="23">
        <f>IF(Inputs!$C$91="KG",MAX(0,ROUNDDOWN(MAX(0,W259-W261)/100,0)*100-Inputs!$C$115),ROUNDDOWN(MAX(0,W259-W261)/100,0)*100)</f>
        <v>423000</v>
      </c>
      <c r="X263" s="23">
        <f>IF(Inputs!$C$91="KG",MAX(0,ROUNDDOWN(MAX(0,X259-X261)/100,0)*100-Inputs!$C$115),ROUNDDOWN(MAX(0,X259-X261)/100,0)*100)</f>
        <v>433100</v>
      </c>
      <c r="Y263" s="23">
        <f>IF(Inputs!$C$91="KG",MAX(0,ROUNDDOWN(MAX(0,Y259-Y261)/100,0)*100-Inputs!$C$115),ROUNDDOWN(MAX(0,Y259-Y261)/100,0)*100)</f>
        <v>442900</v>
      </c>
      <c r="Z263" s="23">
        <f>IF(Inputs!$C$91="KG",MAX(0,ROUNDDOWN(MAX(0,Z259-Z261)/100,0)*100-Inputs!$C$115),ROUNDDOWN(MAX(0,Z259-Z261)/100,0)*100)</f>
        <v>416700</v>
      </c>
      <c r="AA263" s="23">
        <f>IF(Inputs!$C$91="KG",MAX(0,ROUNDDOWN(MAX(0,AA259-AA261)/100,0)*100-Inputs!$C$115),ROUNDDOWN(MAX(0,AA259-AA261)/100,0)*100)</f>
        <v>425100</v>
      </c>
      <c r="AB263" s="23">
        <f>IF(Inputs!$C$91="KG",MAX(0,ROUNDDOWN(MAX(0,AB259-AB261)/100,0)*100-Inputs!$C$115),ROUNDDOWN(MAX(0,AB259-AB261)/100,0)*100)</f>
        <v>432800</v>
      </c>
      <c r="AC263" s="23">
        <f>IF(Inputs!$C$91="KG",MAX(0,ROUNDDOWN(MAX(0,AC259-AC261)/100,0)*100-Inputs!$C$115),ROUNDDOWN(MAX(0,AC259-AC261)/100,0)*100)</f>
        <v>439900</v>
      </c>
      <c r="AD263" s="23">
        <f>IF(Inputs!$C$91="KG",MAX(0,ROUNDDOWN(MAX(0,AD259-AD261)/100,0)*100-Inputs!$C$115),ROUNDDOWN(MAX(0,AD259-AD261)/100,0)*100)</f>
        <v>418800</v>
      </c>
      <c r="AE263" s="23">
        <f>IF(Inputs!$C$91="KG",MAX(0,ROUNDDOWN(MAX(0,AE259-AE261)/100,0)*100-Inputs!$C$115),ROUNDDOWN(MAX(0,AE259-AE261)/100,0)*100)</f>
        <v>23100</v>
      </c>
    </row>
    <row r="264">
      <c r="A264" s="6" t="inlineStr">
        <is>
          <t xml:space="preserve">Trade tax</t>
        </is>
      </c>
      <c r="B264" s="10" t="inlineStr">
        <is>
          <t xml:space="preserve">€</t>
        </is>
      </c>
      <c r="F264" s="23">
        <f>F263*Inputs!$C$114*Inputs!$C$92</f>
        <v>0</v>
      </c>
      <c r="G264" s="23">
        <f>G263*Inputs!$C$114*Inputs!$C$92</f>
        <v>0</v>
      </c>
      <c r="H264" s="23">
        <f>H263*Inputs!$C$114*Inputs!$C$92</f>
        <v>0</v>
      </c>
      <c r="I264" s="23">
        <f>I263*Inputs!$C$114*Inputs!$C$92</f>
        <v>0</v>
      </c>
      <c r="J264" s="23">
        <f>J263*Inputs!$C$114*Inputs!$C$92</f>
        <v>0</v>
      </c>
      <c r="K264" s="23">
        <f>K263*Inputs!$C$114*Inputs!$C$92</f>
        <v>0</v>
      </c>
      <c r="L264" s="23">
        <f>L263*Inputs!$C$114*Inputs!$C$92</f>
        <v>0</v>
      </c>
      <c r="M264" s="23">
        <f>M263*Inputs!$C$114*Inputs!$C$92</f>
        <v>0</v>
      </c>
      <c r="N264" s="23">
        <f>N263*Inputs!$C$114*Inputs!$C$92</f>
        <v>0</v>
      </c>
      <c r="O264" s="23">
        <f>O263*Inputs!$C$114*Inputs!$C$92</f>
        <v>0</v>
      </c>
      <c r="P264" s="23">
        <f>P263*Inputs!$C$114*Inputs!$C$92</f>
        <v>0</v>
      </c>
      <c r="Q264" s="23">
        <f>Q263*Inputs!$C$114*Inputs!$C$92</f>
        <v>0</v>
      </c>
      <c r="R264" s="23">
        <f>R263*Inputs!$C$114*Inputs!$C$92</f>
        <v>0</v>
      </c>
      <c r="S264" s="23">
        <f>S263*Inputs!$C$114*Inputs!$C$92</f>
        <v>0</v>
      </c>
      <c r="T264" s="23">
        <f>T263*Inputs!$C$114*Inputs!$C$92</f>
        <v>0</v>
      </c>
      <c r="U264" s="23">
        <f>U263*Inputs!$C$114*Inputs!$C$92</f>
        <v>0</v>
      </c>
      <c r="V264" s="23">
        <f>V263*Inputs!$C$114*Inputs!$C$92</f>
        <v>0</v>
      </c>
      <c r="W264" s="23">
        <f>W263*Inputs!$C$114*Inputs!$C$92</f>
        <v>59220.00000000001</v>
      </c>
      <c r="X264" s="23">
        <f>X263*Inputs!$C$114*Inputs!$C$92</f>
        <v>60634.00000000001</v>
      </c>
      <c r="Y264" s="23">
        <f>Y263*Inputs!$C$114*Inputs!$C$92</f>
        <v>62006.00000000001</v>
      </c>
      <c r="Z264" s="23">
        <f>Z263*Inputs!$C$114*Inputs!$C$92</f>
        <v>58338.00000000001</v>
      </c>
      <c r="AA264" s="23">
        <f>AA263*Inputs!$C$114*Inputs!$C$92</f>
        <v>59514.00000000001</v>
      </c>
      <c r="AB264" s="23">
        <f>AB263*Inputs!$C$114*Inputs!$C$92</f>
        <v>60592.00000000001</v>
      </c>
      <c r="AC264" s="23">
        <f>AC263*Inputs!$C$114*Inputs!$C$92</f>
        <v>61586.00000000001</v>
      </c>
      <c r="AD264" s="23">
        <f>AD263*Inputs!$C$114*Inputs!$C$92</f>
        <v>58632.00000000001</v>
      </c>
      <c r="AE264" s="23">
        <f>AE263*Inputs!$C$114*Inputs!$C$92</f>
        <v>3234.0000000000005</v>
      </c>
    </row>
    <row r="265">
      <c r="A265" s="6" t="inlineStr">
        <is>
          <t xml:space="preserve">Corporate loss carry-forward at the start (GmbH)</t>
        </is>
      </c>
      <c r="B265" s="10" t="inlineStr">
        <is>
          <t xml:space="preserve">€</t>
        </is>
      </c>
      <c r="E265" s="9">
        <v>0</v>
      </c>
      <c r="F265" s="23">
        <f>E268</f>
        <v>0</v>
      </c>
      <c r="G265" s="23">
        <f>F268</f>
        <v>0</v>
      </c>
      <c r="H265" s="23">
        <f>G268</f>
        <v>0</v>
      </c>
      <c r="I265" s="23">
        <f>H268</f>
        <v>0</v>
      </c>
      <c r="J265" s="23">
        <f>I268</f>
        <v>0</v>
      </c>
      <c r="K265" s="23">
        <f>J268</f>
        <v>0</v>
      </c>
      <c r="L265" s="23">
        <f>K268</f>
        <v>0</v>
      </c>
      <c r="M265" s="23">
        <f>L268</f>
        <v>0</v>
      </c>
      <c r="N265" s="23">
        <f>M268</f>
        <v>0</v>
      </c>
      <c r="O265" s="23">
        <f>N268</f>
        <v>0</v>
      </c>
      <c r="P265" s="23">
        <f>O268</f>
        <v>0</v>
      </c>
      <c r="Q265" s="23">
        <f>P268</f>
        <v>0</v>
      </c>
      <c r="R265" s="23">
        <f>Q268</f>
        <v>0</v>
      </c>
      <c r="S265" s="23">
        <f>R268</f>
        <v>0</v>
      </c>
      <c r="T265" s="23">
        <f>S268</f>
        <v>0</v>
      </c>
      <c r="U265" s="23">
        <f>T268</f>
        <v>0</v>
      </c>
      <c r="V265" s="23">
        <f>U268</f>
        <v>0</v>
      </c>
      <c r="W265" s="23">
        <f>V268</f>
        <v>0</v>
      </c>
      <c r="X265" s="23">
        <f>W268</f>
        <v>0</v>
      </c>
      <c r="Y265" s="23">
        <f>X268</f>
        <v>0</v>
      </c>
      <c r="Z265" s="23">
        <f>Y268</f>
        <v>0</v>
      </c>
      <c r="AA265" s="23">
        <f>Z268</f>
        <v>0</v>
      </c>
      <c r="AB265" s="23">
        <f>AA268</f>
        <v>0</v>
      </c>
      <c r="AC265" s="23">
        <f>AB268</f>
        <v>0</v>
      </c>
      <c r="AD265" s="23">
        <f>AC268</f>
        <v>0</v>
      </c>
      <c r="AE265" s="23">
        <f>AD268</f>
        <v>0</v>
      </c>
    </row>
    <row r="266">
      <c r="A266" s="6" t="inlineStr">
        <is>
          <t xml:space="preserve">Corporate tax: share of profit above €1m that losses may offset</t>
        </is>
      </c>
      <c r="F266" s="24">
        <f>IF(Timing!F59&lt;=Inputs!$C$123,Inputs!$C$121,Inputs!$C$122)</f>
        <v>0.6</v>
      </c>
      <c r="G266" s="24">
        <f>IF(Timing!G59&lt;=Inputs!$C$123,Inputs!$C$121,Inputs!$C$122)</f>
        <v>0.6</v>
      </c>
      <c r="H266" s="24">
        <f>IF(Timing!H59&lt;=Inputs!$C$123,Inputs!$C$121,Inputs!$C$122)</f>
        <v>0.6</v>
      </c>
      <c r="I266" s="24">
        <f>IF(Timing!I59&lt;=Inputs!$C$123,Inputs!$C$121,Inputs!$C$122)</f>
        <v>0.6</v>
      </c>
      <c r="J266" s="24">
        <f>IF(Timing!J59&lt;=Inputs!$C$123,Inputs!$C$121,Inputs!$C$122)</f>
        <v>0.6</v>
      </c>
      <c r="K266" s="24">
        <f>IF(Timing!K59&lt;=Inputs!$C$123,Inputs!$C$121,Inputs!$C$122)</f>
        <v>0.6</v>
      </c>
      <c r="L266" s="24">
        <f>IF(Timing!L59&lt;=Inputs!$C$123,Inputs!$C$121,Inputs!$C$122)</f>
        <v>0.6</v>
      </c>
      <c r="M266" s="24">
        <f>IF(Timing!M59&lt;=Inputs!$C$123,Inputs!$C$121,Inputs!$C$122)</f>
        <v>0.6</v>
      </c>
      <c r="N266" s="24">
        <f>IF(Timing!N59&lt;=Inputs!$C$123,Inputs!$C$121,Inputs!$C$122)</f>
        <v>0.6</v>
      </c>
      <c r="O266" s="24">
        <f>IF(Timing!O59&lt;=Inputs!$C$123,Inputs!$C$121,Inputs!$C$122)</f>
        <v>0.6</v>
      </c>
      <c r="P266" s="24">
        <f>IF(Timing!P59&lt;=Inputs!$C$123,Inputs!$C$121,Inputs!$C$122)</f>
        <v>0.6</v>
      </c>
      <c r="Q266" s="24">
        <f>IF(Timing!Q59&lt;=Inputs!$C$123,Inputs!$C$121,Inputs!$C$122)</f>
        <v>0.6</v>
      </c>
      <c r="R266" s="24">
        <f>IF(Timing!R59&lt;=Inputs!$C$123,Inputs!$C$121,Inputs!$C$122)</f>
        <v>0.6</v>
      </c>
      <c r="S266" s="24">
        <f>IF(Timing!S59&lt;=Inputs!$C$123,Inputs!$C$121,Inputs!$C$122)</f>
        <v>0.6</v>
      </c>
      <c r="T266" s="24">
        <f>IF(Timing!T59&lt;=Inputs!$C$123,Inputs!$C$121,Inputs!$C$122)</f>
        <v>0.6</v>
      </c>
      <c r="U266" s="24">
        <f>IF(Timing!U59&lt;=Inputs!$C$123,Inputs!$C$121,Inputs!$C$122)</f>
        <v>0.6</v>
      </c>
      <c r="V266" s="24">
        <f>IF(Timing!V59&lt;=Inputs!$C$123,Inputs!$C$121,Inputs!$C$122)</f>
        <v>0.6</v>
      </c>
      <c r="W266" s="24">
        <f>IF(Timing!W59&lt;=Inputs!$C$123,Inputs!$C$121,Inputs!$C$122)</f>
        <v>0.6</v>
      </c>
      <c r="X266" s="24">
        <f>IF(Timing!X59&lt;=Inputs!$C$123,Inputs!$C$121,Inputs!$C$122)</f>
        <v>0.6</v>
      </c>
      <c r="Y266" s="24">
        <f>IF(Timing!Y59&lt;=Inputs!$C$123,Inputs!$C$121,Inputs!$C$122)</f>
        <v>0.6</v>
      </c>
      <c r="Z266" s="24">
        <f>IF(Timing!Z59&lt;=Inputs!$C$123,Inputs!$C$121,Inputs!$C$122)</f>
        <v>0.6</v>
      </c>
      <c r="AA266" s="24">
        <f>IF(Timing!AA59&lt;=Inputs!$C$123,Inputs!$C$121,Inputs!$C$122)</f>
        <v>0.6</v>
      </c>
      <c r="AB266" s="24">
        <f>IF(Timing!AB59&lt;=Inputs!$C$123,Inputs!$C$121,Inputs!$C$122)</f>
        <v>0.6</v>
      </c>
      <c r="AC266" s="24">
        <f>IF(Timing!AC59&lt;=Inputs!$C$123,Inputs!$C$121,Inputs!$C$122)</f>
        <v>0.6</v>
      </c>
      <c r="AD266" s="24">
        <f>IF(Timing!AD59&lt;=Inputs!$C$123,Inputs!$C$121,Inputs!$C$122)</f>
        <v>0.6</v>
      </c>
      <c r="AE266" s="24">
        <f>IF(Timing!AE59&lt;=Inputs!$C$123,Inputs!$C$121,Inputs!$C$122)</f>
        <v>0.6</v>
      </c>
    </row>
    <row r="267">
      <c r="A267" s="6" t="inlineStr">
        <is>
          <t xml:space="preserve">Corporate losses used</t>
        </is>
      </c>
      <c r="B267" s="10" t="inlineStr">
        <is>
          <t xml:space="preserve">€</t>
        </is>
      </c>
      <c r="F267" s="23">
        <f>IF(AND(Inputs!$C$91="GmbH",F257&gt;0),MIN(F265,MIN(F257,Inputs!$C$119)+F266*MAX(0,F257-Inputs!$C$119)),0)</f>
        <v>0</v>
      </c>
      <c r="G267" s="23">
        <f>IF(AND(Inputs!$C$91="GmbH",G257&gt;0),MIN(G265,MIN(G257,Inputs!$C$119)+G266*MAX(0,G257-Inputs!$C$119)),0)</f>
        <v>0</v>
      </c>
      <c r="H267" s="23">
        <f>IF(AND(Inputs!$C$91="GmbH",H257&gt;0),MIN(H265,MIN(H257,Inputs!$C$119)+H266*MAX(0,H257-Inputs!$C$119)),0)</f>
        <v>0</v>
      </c>
      <c r="I267" s="23">
        <f>IF(AND(Inputs!$C$91="GmbH",I257&gt;0),MIN(I265,MIN(I257,Inputs!$C$119)+I266*MAX(0,I257-Inputs!$C$119)),0)</f>
        <v>0</v>
      </c>
      <c r="J267" s="23">
        <f>IF(AND(Inputs!$C$91="GmbH",J257&gt;0),MIN(J265,MIN(J257,Inputs!$C$119)+J266*MAX(0,J257-Inputs!$C$119)),0)</f>
        <v>0</v>
      </c>
      <c r="K267" s="23">
        <f>IF(AND(Inputs!$C$91="GmbH",K257&gt;0),MIN(K265,MIN(K257,Inputs!$C$119)+K266*MAX(0,K257-Inputs!$C$119)),0)</f>
        <v>0</v>
      </c>
      <c r="L267" s="23">
        <f>IF(AND(Inputs!$C$91="GmbH",L257&gt;0),MIN(L265,MIN(L257,Inputs!$C$119)+L266*MAX(0,L257-Inputs!$C$119)),0)</f>
        <v>0</v>
      </c>
      <c r="M267" s="23">
        <f>IF(AND(Inputs!$C$91="GmbH",M257&gt;0),MIN(M265,MIN(M257,Inputs!$C$119)+M266*MAX(0,M257-Inputs!$C$119)),0)</f>
        <v>0</v>
      </c>
      <c r="N267" s="23">
        <f>IF(AND(Inputs!$C$91="GmbH",N257&gt;0),MIN(N265,MIN(N257,Inputs!$C$119)+N266*MAX(0,N257-Inputs!$C$119)),0)</f>
        <v>0</v>
      </c>
      <c r="O267" s="23">
        <f>IF(AND(Inputs!$C$91="GmbH",O257&gt;0),MIN(O265,MIN(O257,Inputs!$C$119)+O266*MAX(0,O257-Inputs!$C$119)),0)</f>
        <v>0</v>
      </c>
      <c r="P267" s="23">
        <f>IF(AND(Inputs!$C$91="GmbH",P257&gt;0),MIN(P265,MIN(P257,Inputs!$C$119)+P266*MAX(0,P257-Inputs!$C$119)),0)</f>
        <v>0</v>
      </c>
      <c r="Q267" s="23">
        <f>IF(AND(Inputs!$C$91="GmbH",Q257&gt;0),MIN(Q265,MIN(Q257,Inputs!$C$119)+Q266*MAX(0,Q257-Inputs!$C$119)),0)</f>
        <v>0</v>
      </c>
      <c r="R267" s="23">
        <f>IF(AND(Inputs!$C$91="GmbH",R257&gt;0),MIN(R265,MIN(R257,Inputs!$C$119)+R266*MAX(0,R257-Inputs!$C$119)),0)</f>
        <v>0</v>
      </c>
      <c r="S267" s="23">
        <f>IF(AND(Inputs!$C$91="GmbH",S257&gt;0),MIN(S265,MIN(S257,Inputs!$C$119)+S266*MAX(0,S257-Inputs!$C$119)),0)</f>
        <v>0</v>
      </c>
      <c r="T267" s="23">
        <f>IF(AND(Inputs!$C$91="GmbH",T257&gt;0),MIN(T265,MIN(T257,Inputs!$C$119)+T266*MAX(0,T257-Inputs!$C$119)),0)</f>
        <v>0</v>
      </c>
      <c r="U267" s="23">
        <f>IF(AND(Inputs!$C$91="GmbH",U257&gt;0),MIN(U265,MIN(U257,Inputs!$C$119)+U266*MAX(0,U257-Inputs!$C$119)),0)</f>
        <v>0</v>
      </c>
      <c r="V267" s="23">
        <f>IF(AND(Inputs!$C$91="GmbH",V257&gt;0),MIN(V265,MIN(V257,Inputs!$C$119)+V266*MAX(0,V257-Inputs!$C$119)),0)</f>
        <v>0</v>
      </c>
      <c r="W267" s="23">
        <f>IF(AND(Inputs!$C$91="GmbH",W257&gt;0),MIN(W265,MIN(W257,Inputs!$C$119)+W266*MAX(0,W257-Inputs!$C$119)),0)</f>
        <v>0</v>
      </c>
      <c r="X267" s="23">
        <f>IF(AND(Inputs!$C$91="GmbH",X257&gt;0),MIN(X265,MIN(X257,Inputs!$C$119)+X266*MAX(0,X257-Inputs!$C$119)),0)</f>
        <v>0</v>
      </c>
      <c r="Y267" s="23">
        <f>IF(AND(Inputs!$C$91="GmbH",Y257&gt;0),MIN(Y265,MIN(Y257,Inputs!$C$119)+Y266*MAX(0,Y257-Inputs!$C$119)),0)</f>
        <v>0</v>
      </c>
      <c r="Z267" s="23">
        <f>IF(AND(Inputs!$C$91="GmbH",Z257&gt;0),MIN(Z265,MIN(Z257,Inputs!$C$119)+Z266*MAX(0,Z257-Inputs!$C$119)),0)</f>
        <v>0</v>
      </c>
      <c r="AA267" s="23">
        <f>IF(AND(Inputs!$C$91="GmbH",AA257&gt;0),MIN(AA265,MIN(AA257,Inputs!$C$119)+AA266*MAX(0,AA257-Inputs!$C$119)),0)</f>
        <v>0</v>
      </c>
      <c r="AB267" s="23">
        <f>IF(AND(Inputs!$C$91="GmbH",AB257&gt;0),MIN(AB265,MIN(AB257,Inputs!$C$119)+AB266*MAX(0,AB257-Inputs!$C$119)),0)</f>
        <v>0</v>
      </c>
      <c r="AC267" s="23">
        <f>IF(AND(Inputs!$C$91="GmbH",AC257&gt;0),MIN(AC265,MIN(AC257,Inputs!$C$119)+AC266*MAX(0,AC257-Inputs!$C$119)),0)</f>
        <v>0</v>
      </c>
      <c r="AD267" s="23">
        <f>IF(AND(Inputs!$C$91="GmbH",AD257&gt;0),MIN(AD265,MIN(AD257,Inputs!$C$119)+AD266*MAX(0,AD257-Inputs!$C$119)),0)</f>
        <v>0</v>
      </c>
      <c r="AE267" s="23">
        <f>IF(AND(Inputs!$C$91="GmbH",AE257&gt;0),MIN(AE265,MIN(AE257,Inputs!$C$119)+AE266*MAX(0,AE257-Inputs!$C$119)),0)</f>
        <v>0</v>
      </c>
    </row>
    <row r="268">
      <c r="A268" s="6" t="inlineStr">
        <is>
          <t xml:space="preserve">Corporate loss carry-forward at the year end</t>
        </is>
      </c>
      <c r="B268" s="10" t="inlineStr">
        <is>
          <t xml:space="preserve">€</t>
        </is>
      </c>
      <c r="F268" s="23">
        <f>IF(Inputs!$C$91="GmbH",F265-F267+MAX(0,-F257),0)</f>
        <v>0</v>
      </c>
      <c r="G268" s="23">
        <f>IF(Inputs!$C$91="GmbH",G265-G267+MAX(0,-G257),0)</f>
        <v>0</v>
      </c>
      <c r="H268" s="23">
        <f>IF(Inputs!$C$91="GmbH",H265-H267+MAX(0,-H257),0)</f>
        <v>0</v>
      </c>
      <c r="I268" s="23">
        <f>IF(Inputs!$C$91="GmbH",I265-I267+MAX(0,-I257),0)</f>
        <v>0</v>
      </c>
      <c r="J268" s="23">
        <f>IF(Inputs!$C$91="GmbH",J265-J267+MAX(0,-J257),0)</f>
        <v>0</v>
      </c>
      <c r="K268" s="23">
        <f>IF(Inputs!$C$91="GmbH",K265-K267+MAX(0,-K257),0)</f>
        <v>0</v>
      </c>
      <c r="L268" s="23">
        <f>IF(Inputs!$C$91="GmbH",L265-L267+MAX(0,-L257),0)</f>
        <v>0</v>
      </c>
      <c r="M268" s="23">
        <f>IF(Inputs!$C$91="GmbH",M265-M267+MAX(0,-M257),0)</f>
        <v>0</v>
      </c>
      <c r="N268" s="23">
        <f>IF(Inputs!$C$91="GmbH",N265-N267+MAX(0,-N257),0)</f>
        <v>0</v>
      </c>
      <c r="O268" s="23">
        <f>IF(Inputs!$C$91="GmbH",O265-O267+MAX(0,-O257),0)</f>
        <v>0</v>
      </c>
      <c r="P268" s="23">
        <f>IF(Inputs!$C$91="GmbH",P265-P267+MAX(0,-P257),0)</f>
        <v>0</v>
      </c>
      <c r="Q268" s="23">
        <f>IF(Inputs!$C$91="GmbH",Q265-Q267+MAX(0,-Q257),0)</f>
        <v>0</v>
      </c>
      <c r="R268" s="23">
        <f>IF(Inputs!$C$91="GmbH",R265-R267+MAX(0,-R257),0)</f>
        <v>0</v>
      </c>
      <c r="S268" s="23">
        <f>IF(Inputs!$C$91="GmbH",S265-S267+MAX(0,-S257),0)</f>
        <v>0</v>
      </c>
      <c r="T268" s="23">
        <f>IF(Inputs!$C$91="GmbH",T265-T267+MAX(0,-T257),0)</f>
        <v>0</v>
      </c>
      <c r="U268" s="23">
        <f>IF(Inputs!$C$91="GmbH",U265-U267+MAX(0,-U257),0)</f>
        <v>0</v>
      </c>
      <c r="V268" s="23">
        <f>IF(Inputs!$C$91="GmbH",V265-V267+MAX(0,-V257),0)</f>
        <v>0</v>
      </c>
      <c r="W268" s="23">
        <f>IF(Inputs!$C$91="GmbH",W265-W267+MAX(0,-W257),0)</f>
        <v>0</v>
      </c>
      <c r="X268" s="23">
        <f>IF(Inputs!$C$91="GmbH",X265-X267+MAX(0,-X257),0)</f>
        <v>0</v>
      </c>
      <c r="Y268" s="23">
        <f>IF(Inputs!$C$91="GmbH",Y265-Y267+MAX(0,-Y257),0)</f>
        <v>0</v>
      </c>
      <c r="Z268" s="23">
        <f>IF(Inputs!$C$91="GmbH",Z265-Z267+MAX(0,-Z257),0)</f>
        <v>0</v>
      </c>
      <c r="AA268" s="23">
        <f>IF(Inputs!$C$91="GmbH",AA265-AA267+MAX(0,-AA257),0)</f>
        <v>0</v>
      </c>
      <c r="AB268" s="23">
        <f>IF(Inputs!$C$91="GmbH",AB265-AB267+MAX(0,-AB257),0)</f>
        <v>0</v>
      </c>
      <c r="AC268" s="23">
        <f>IF(Inputs!$C$91="GmbH",AC265-AC267+MAX(0,-AC257),0)</f>
        <v>0</v>
      </c>
      <c r="AD268" s="23">
        <f>IF(Inputs!$C$91="GmbH",AD265-AD267+MAX(0,-AD257),0)</f>
        <v>0</v>
      </c>
      <c r="AE268" s="23">
        <f>IF(Inputs!$C$91="GmbH",AE265-AE267+MAX(0,-AE257),0)</f>
        <v>0</v>
      </c>
    </row>
    <row r="269">
      <c r="A269" s="6" t="inlineStr">
        <is>
          <t xml:space="preserve">Corporate taxable income</t>
        </is>
      </c>
      <c r="B269" s="10" t="inlineStr">
        <is>
          <t xml:space="preserve">€</t>
        </is>
      </c>
      <c r="F269" s="23">
        <f>IF(Inputs!$C$91="GmbH",MAX(0,F257-F267),0)</f>
        <v>0</v>
      </c>
      <c r="G269" s="23">
        <f>IF(Inputs!$C$91="GmbH",MAX(0,G257-G267),0)</f>
        <v>0</v>
      </c>
      <c r="H269" s="23">
        <f>IF(Inputs!$C$91="GmbH",MAX(0,H257-H267),0)</f>
        <v>0</v>
      </c>
      <c r="I269" s="23">
        <f>IF(Inputs!$C$91="GmbH",MAX(0,I257-I267),0)</f>
        <v>0</v>
      </c>
      <c r="J269" s="23">
        <f>IF(Inputs!$C$91="GmbH",MAX(0,J257-J267),0)</f>
        <v>0</v>
      </c>
      <c r="K269" s="23">
        <f>IF(Inputs!$C$91="GmbH",MAX(0,K257-K267),0)</f>
        <v>0</v>
      </c>
      <c r="L269" s="23">
        <f>IF(Inputs!$C$91="GmbH",MAX(0,L257-L267),0)</f>
        <v>0</v>
      </c>
      <c r="M269" s="23">
        <f>IF(Inputs!$C$91="GmbH",MAX(0,M257-M267),0)</f>
        <v>0</v>
      </c>
      <c r="N269" s="23">
        <f>IF(Inputs!$C$91="GmbH",MAX(0,N257-N267),0)</f>
        <v>0</v>
      </c>
      <c r="O269" s="23">
        <f>IF(Inputs!$C$91="GmbH",MAX(0,O257-O267),0)</f>
        <v>0</v>
      </c>
      <c r="P269" s="23">
        <f>IF(Inputs!$C$91="GmbH",MAX(0,P257-P267),0)</f>
        <v>0</v>
      </c>
      <c r="Q269" s="23">
        <f>IF(Inputs!$C$91="GmbH",MAX(0,Q257-Q267),0)</f>
        <v>0</v>
      </c>
      <c r="R269" s="23">
        <f>IF(Inputs!$C$91="GmbH",MAX(0,R257-R267),0)</f>
        <v>0</v>
      </c>
      <c r="S269" s="23">
        <f>IF(Inputs!$C$91="GmbH",MAX(0,S257-S267),0)</f>
        <v>0</v>
      </c>
      <c r="T269" s="23">
        <f>IF(Inputs!$C$91="GmbH",MAX(0,T257-T267),0)</f>
        <v>0</v>
      </c>
      <c r="U269" s="23">
        <f>IF(Inputs!$C$91="GmbH",MAX(0,U257-U267),0)</f>
        <v>0</v>
      </c>
      <c r="V269" s="23">
        <f>IF(Inputs!$C$91="GmbH",MAX(0,V257-V267),0)</f>
        <v>0</v>
      </c>
      <c r="W269" s="23">
        <f>IF(Inputs!$C$91="GmbH",MAX(0,W257-W267),0)</f>
        <v>0</v>
      </c>
      <c r="X269" s="23">
        <f>IF(Inputs!$C$91="GmbH",MAX(0,X257-X267),0)</f>
        <v>0</v>
      </c>
      <c r="Y269" s="23">
        <f>IF(Inputs!$C$91="GmbH",MAX(0,Y257-Y267),0)</f>
        <v>0</v>
      </c>
      <c r="Z269" s="23">
        <f>IF(Inputs!$C$91="GmbH",MAX(0,Z257-Z267),0)</f>
        <v>0</v>
      </c>
      <c r="AA269" s="23">
        <f>IF(Inputs!$C$91="GmbH",MAX(0,AA257-AA267),0)</f>
        <v>0</v>
      </c>
      <c r="AB269" s="23">
        <f>IF(Inputs!$C$91="GmbH",MAX(0,AB257-AB267),0)</f>
        <v>0</v>
      </c>
      <c r="AC269" s="23">
        <f>IF(Inputs!$C$91="GmbH",MAX(0,AC257-AC267),0)</f>
        <v>0</v>
      </c>
      <c r="AD269" s="23">
        <f>IF(Inputs!$C$91="GmbH",MAX(0,AD257-AD267),0)</f>
        <v>0</v>
      </c>
      <c r="AE269" s="23">
        <f>IF(Inputs!$C$91="GmbH",MAX(0,AE257-AE267),0)</f>
        <v>0</v>
      </c>
    </row>
    <row r="270">
      <c r="A270" s="6" t="inlineStr">
        <is>
          <t xml:space="preserve">Corporate tax rate (§ 23 KStG)</t>
        </is>
      </c>
      <c r="F270" s="24">
        <f>IF(Inputs!$C$91="GmbH",MAX(Inputs!$C$125,Inputs!$C$124-Inputs!$C$126*MAX(0,Timing!F59-Inputs!$C$127)),0)</f>
        <v>0</v>
      </c>
      <c r="G270" s="24">
        <f>IF(Inputs!$C$91="GmbH",MAX(Inputs!$C$125,Inputs!$C$124-Inputs!$C$126*MAX(0,Timing!G59-Inputs!$C$127)),0)</f>
        <v>0</v>
      </c>
      <c r="H270" s="24">
        <f>IF(Inputs!$C$91="GmbH",MAX(Inputs!$C$125,Inputs!$C$124-Inputs!$C$126*MAX(0,Timing!H59-Inputs!$C$127)),0)</f>
        <v>0</v>
      </c>
      <c r="I270" s="24">
        <f>IF(Inputs!$C$91="GmbH",MAX(Inputs!$C$125,Inputs!$C$124-Inputs!$C$126*MAX(0,Timing!I59-Inputs!$C$127)),0)</f>
        <v>0</v>
      </c>
      <c r="J270" s="24">
        <f>IF(Inputs!$C$91="GmbH",MAX(Inputs!$C$125,Inputs!$C$124-Inputs!$C$126*MAX(0,Timing!J59-Inputs!$C$127)),0)</f>
        <v>0</v>
      </c>
      <c r="K270" s="24">
        <f>IF(Inputs!$C$91="GmbH",MAX(Inputs!$C$125,Inputs!$C$124-Inputs!$C$126*MAX(0,Timing!K59-Inputs!$C$127)),0)</f>
        <v>0</v>
      </c>
      <c r="L270" s="24">
        <f>IF(Inputs!$C$91="GmbH",MAX(Inputs!$C$125,Inputs!$C$124-Inputs!$C$126*MAX(0,Timing!L59-Inputs!$C$127)),0)</f>
        <v>0</v>
      </c>
      <c r="M270" s="24">
        <f>IF(Inputs!$C$91="GmbH",MAX(Inputs!$C$125,Inputs!$C$124-Inputs!$C$126*MAX(0,Timing!M59-Inputs!$C$127)),0)</f>
        <v>0</v>
      </c>
      <c r="N270" s="24">
        <f>IF(Inputs!$C$91="GmbH",MAX(Inputs!$C$125,Inputs!$C$124-Inputs!$C$126*MAX(0,Timing!N59-Inputs!$C$127)),0)</f>
        <v>0</v>
      </c>
      <c r="O270" s="24">
        <f>IF(Inputs!$C$91="GmbH",MAX(Inputs!$C$125,Inputs!$C$124-Inputs!$C$126*MAX(0,Timing!O59-Inputs!$C$127)),0)</f>
        <v>0</v>
      </c>
      <c r="P270" s="24">
        <f>IF(Inputs!$C$91="GmbH",MAX(Inputs!$C$125,Inputs!$C$124-Inputs!$C$126*MAX(0,Timing!P59-Inputs!$C$127)),0)</f>
        <v>0</v>
      </c>
      <c r="Q270" s="24">
        <f>IF(Inputs!$C$91="GmbH",MAX(Inputs!$C$125,Inputs!$C$124-Inputs!$C$126*MAX(0,Timing!Q59-Inputs!$C$127)),0)</f>
        <v>0</v>
      </c>
      <c r="R270" s="24">
        <f>IF(Inputs!$C$91="GmbH",MAX(Inputs!$C$125,Inputs!$C$124-Inputs!$C$126*MAX(0,Timing!R59-Inputs!$C$127)),0)</f>
        <v>0</v>
      </c>
      <c r="S270" s="24">
        <f>IF(Inputs!$C$91="GmbH",MAX(Inputs!$C$125,Inputs!$C$124-Inputs!$C$126*MAX(0,Timing!S59-Inputs!$C$127)),0)</f>
        <v>0</v>
      </c>
      <c r="T270" s="24">
        <f>IF(Inputs!$C$91="GmbH",MAX(Inputs!$C$125,Inputs!$C$124-Inputs!$C$126*MAX(0,Timing!T59-Inputs!$C$127)),0)</f>
        <v>0</v>
      </c>
      <c r="U270" s="24">
        <f>IF(Inputs!$C$91="GmbH",MAX(Inputs!$C$125,Inputs!$C$124-Inputs!$C$126*MAX(0,Timing!U59-Inputs!$C$127)),0)</f>
        <v>0</v>
      </c>
      <c r="V270" s="24">
        <f>IF(Inputs!$C$91="GmbH",MAX(Inputs!$C$125,Inputs!$C$124-Inputs!$C$126*MAX(0,Timing!V59-Inputs!$C$127)),0)</f>
        <v>0</v>
      </c>
      <c r="W270" s="24">
        <f>IF(Inputs!$C$91="GmbH",MAX(Inputs!$C$125,Inputs!$C$124-Inputs!$C$126*MAX(0,Timing!W59-Inputs!$C$127)),0)</f>
        <v>0</v>
      </c>
      <c r="X270" s="24">
        <f>IF(Inputs!$C$91="GmbH",MAX(Inputs!$C$125,Inputs!$C$124-Inputs!$C$126*MAX(0,Timing!X59-Inputs!$C$127)),0)</f>
        <v>0</v>
      </c>
      <c r="Y270" s="24">
        <f>IF(Inputs!$C$91="GmbH",MAX(Inputs!$C$125,Inputs!$C$124-Inputs!$C$126*MAX(0,Timing!Y59-Inputs!$C$127)),0)</f>
        <v>0</v>
      </c>
      <c r="Z270" s="24">
        <f>IF(Inputs!$C$91="GmbH",MAX(Inputs!$C$125,Inputs!$C$124-Inputs!$C$126*MAX(0,Timing!Z59-Inputs!$C$127)),0)</f>
        <v>0</v>
      </c>
      <c r="AA270" s="24">
        <f>IF(Inputs!$C$91="GmbH",MAX(Inputs!$C$125,Inputs!$C$124-Inputs!$C$126*MAX(0,Timing!AA59-Inputs!$C$127)),0)</f>
        <v>0</v>
      </c>
      <c r="AB270" s="24">
        <f>IF(Inputs!$C$91="GmbH",MAX(Inputs!$C$125,Inputs!$C$124-Inputs!$C$126*MAX(0,Timing!AB59-Inputs!$C$127)),0)</f>
        <v>0</v>
      </c>
      <c r="AC270" s="24">
        <f>IF(Inputs!$C$91="GmbH",MAX(Inputs!$C$125,Inputs!$C$124-Inputs!$C$126*MAX(0,Timing!AC59-Inputs!$C$127)),0)</f>
        <v>0</v>
      </c>
      <c r="AD270" s="24">
        <f>IF(Inputs!$C$91="GmbH",MAX(Inputs!$C$125,Inputs!$C$124-Inputs!$C$126*MAX(0,Timing!AD59-Inputs!$C$127)),0)</f>
        <v>0</v>
      </c>
      <c r="AE270" s="24">
        <f>IF(Inputs!$C$91="GmbH",MAX(Inputs!$C$125,Inputs!$C$124-Inputs!$C$126*MAX(0,Timing!AE59-Inputs!$C$127)),0)</f>
        <v>0</v>
      </c>
    </row>
    <row r="271">
      <c r="A271" s="6" t="inlineStr">
        <is>
          <t xml:space="preserve">Corporate tax</t>
        </is>
      </c>
      <c r="B271" s="10" t="inlineStr">
        <is>
          <t xml:space="preserve">€</t>
        </is>
      </c>
      <c r="F271" s="23">
        <f>F269*F270</f>
        <v>0</v>
      </c>
      <c r="G271" s="23">
        <f>G269*G270</f>
        <v>0</v>
      </c>
      <c r="H271" s="23">
        <f>H269*H270</f>
        <v>0</v>
      </c>
      <c r="I271" s="23">
        <f>I269*I270</f>
        <v>0</v>
      </c>
      <c r="J271" s="23">
        <f>J269*J270</f>
        <v>0</v>
      </c>
      <c r="K271" s="23">
        <f>K269*K270</f>
        <v>0</v>
      </c>
      <c r="L271" s="23">
        <f>L269*L270</f>
        <v>0</v>
      </c>
      <c r="M271" s="23">
        <f>M269*M270</f>
        <v>0</v>
      </c>
      <c r="N271" s="23">
        <f>N269*N270</f>
        <v>0</v>
      </c>
      <c r="O271" s="23">
        <f>O269*O270</f>
        <v>0</v>
      </c>
      <c r="P271" s="23">
        <f>P269*P270</f>
        <v>0</v>
      </c>
      <c r="Q271" s="23">
        <f>Q269*Q270</f>
        <v>0</v>
      </c>
      <c r="R271" s="23">
        <f>R269*R270</f>
        <v>0</v>
      </c>
      <c r="S271" s="23">
        <f>S269*S270</f>
        <v>0</v>
      </c>
      <c r="T271" s="23">
        <f>T269*T270</f>
        <v>0</v>
      </c>
      <c r="U271" s="23">
        <f>U269*U270</f>
        <v>0</v>
      </c>
      <c r="V271" s="23">
        <f>V269*V270</f>
        <v>0</v>
      </c>
      <c r="W271" s="23">
        <f>W269*W270</f>
        <v>0</v>
      </c>
      <c r="X271" s="23">
        <f>X269*X270</f>
        <v>0</v>
      </c>
      <c r="Y271" s="23">
        <f>Y269*Y270</f>
        <v>0</v>
      </c>
      <c r="Z271" s="23">
        <f>Z269*Z270</f>
        <v>0</v>
      </c>
      <c r="AA271" s="23">
        <f>AA269*AA270</f>
        <v>0</v>
      </c>
      <c r="AB271" s="23">
        <f>AB269*AB270</f>
        <v>0</v>
      </c>
      <c r="AC271" s="23">
        <f>AC269*AC270</f>
        <v>0</v>
      </c>
      <c r="AD271" s="23">
        <f>AD269*AD270</f>
        <v>0</v>
      </c>
      <c r="AE271" s="23">
        <f>AE269*AE270</f>
        <v>0</v>
      </c>
    </row>
    <row r="272">
      <c r="A272" s="6" t="inlineStr">
        <is>
          <t xml:space="preserve">Solidarity surcharge</t>
        </is>
      </c>
      <c r="B272" s="10" t="inlineStr">
        <is>
          <t xml:space="preserve">€</t>
        </is>
      </c>
      <c r="F272" s="23">
        <f>F271*Inputs!$C$128</f>
        <v>0</v>
      </c>
      <c r="G272" s="23">
        <f>G271*Inputs!$C$128</f>
        <v>0</v>
      </c>
      <c r="H272" s="23">
        <f>H271*Inputs!$C$128</f>
        <v>0</v>
      </c>
      <c r="I272" s="23">
        <f>I271*Inputs!$C$128</f>
        <v>0</v>
      </c>
      <c r="J272" s="23">
        <f>J271*Inputs!$C$128</f>
        <v>0</v>
      </c>
      <c r="K272" s="23">
        <f>K271*Inputs!$C$128</f>
        <v>0</v>
      </c>
      <c r="L272" s="23">
        <f>L271*Inputs!$C$128</f>
        <v>0</v>
      </c>
      <c r="M272" s="23">
        <f>M271*Inputs!$C$128</f>
        <v>0</v>
      </c>
      <c r="N272" s="23">
        <f>N271*Inputs!$C$128</f>
        <v>0</v>
      </c>
      <c r="O272" s="23">
        <f>O271*Inputs!$C$128</f>
        <v>0</v>
      </c>
      <c r="P272" s="23">
        <f>P271*Inputs!$C$128</f>
        <v>0</v>
      </c>
      <c r="Q272" s="23">
        <f>Q271*Inputs!$C$128</f>
        <v>0</v>
      </c>
      <c r="R272" s="23">
        <f>R271*Inputs!$C$128</f>
        <v>0</v>
      </c>
      <c r="S272" s="23">
        <f>S271*Inputs!$C$128</f>
        <v>0</v>
      </c>
      <c r="T272" s="23">
        <f>T271*Inputs!$C$128</f>
        <v>0</v>
      </c>
      <c r="U272" s="23">
        <f>U271*Inputs!$C$128</f>
        <v>0</v>
      </c>
      <c r="V272" s="23">
        <f>V271*Inputs!$C$128</f>
        <v>0</v>
      </c>
      <c r="W272" s="23">
        <f>W271*Inputs!$C$128</f>
        <v>0</v>
      </c>
      <c r="X272" s="23">
        <f>X271*Inputs!$C$128</f>
        <v>0</v>
      </c>
      <c r="Y272" s="23">
        <f>Y271*Inputs!$C$128</f>
        <v>0</v>
      </c>
      <c r="Z272" s="23">
        <f>Z271*Inputs!$C$128</f>
        <v>0</v>
      </c>
      <c r="AA272" s="23">
        <f>AA271*Inputs!$C$128</f>
        <v>0</v>
      </c>
      <c r="AB272" s="23">
        <f>AB271*Inputs!$C$128</f>
        <v>0</v>
      </c>
      <c r="AC272" s="23">
        <f>AC271*Inputs!$C$128</f>
        <v>0</v>
      </c>
      <c r="AD272" s="23">
        <f>AD271*Inputs!$C$128</f>
        <v>0</v>
      </c>
      <c r="AE272" s="23">
        <f>AE271*Inputs!$C$128</f>
        <v>0</v>
      </c>
    </row>
    <row r="273">
      <c r="A273" s="41" t="inlineStr">
        <is>
          <t xml:space="preserve">Taxes</t>
        </is>
      </c>
      <c r="B273" s="10" t="inlineStr">
        <is>
          <t xml:space="preserve">€</t>
        </is>
      </c>
      <c r="F273" s="42">
        <f>F264+F271+F272</f>
        <v>0</v>
      </c>
      <c r="G273" s="42">
        <f>G264+G271+G272</f>
        <v>0</v>
      </c>
      <c r="H273" s="42">
        <f>H264+H271+H272</f>
        <v>0</v>
      </c>
      <c r="I273" s="42">
        <f>I264+I271+I272</f>
        <v>0</v>
      </c>
      <c r="J273" s="42">
        <f>J264+J271+J272</f>
        <v>0</v>
      </c>
      <c r="K273" s="42">
        <f>K264+K271+K272</f>
        <v>0</v>
      </c>
      <c r="L273" s="42">
        <f>L264+L271+L272</f>
        <v>0</v>
      </c>
      <c r="M273" s="42">
        <f>M264+M271+M272</f>
        <v>0</v>
      </c>
      <c r="N273" s="42">
        <f>N264+N271+N272</f>
        <v>0</v>
      </c>
      <c r="O273" s="42">
        <f>O264+O271+O272</f>
        <v>0</v>
      </c>
      <c r="P273" s="42">
        <f>P264+P271+P272</f>
        <v>0</v>
      </c>
      <c r="Q273" s="42">
        <f>Q264+Q271+Q272</f>
        <v>0</v>
      </c>
      <c r="R273" s="42">
        <f>R264+R271+R272</f>
        <v>0</v>
      </c>
      <c r="S273" s="42">
        <f>S264+S271+S272</f>
        <v>0</v>
      </c>
      <c r="T273" s="42">
        <f>T264+T271+T272</f>
        <v>0</v>
      </c>
      <c r="U273" s="42">
        <f>U264+U271+U272</f>
        <v>0</v>
      </c>
      <c r="V273" s="42">
        <f>V264+V271+V272</f>
        <v>0</v>
      </c>
      <c r="W273" s="42">
        <f>W264+W271+W272</f>
        <v>59220.00000000001</v>
      </c>
      <c r="X273" s="42">
        <f>X264+X271+X272</f>
        <v>60634.00000000001</v>
      </c>
      <c r="Y273" s="42">
        <f>Y264+Y271+Y272</f>
        <v>62006.00000000001</v>
      </c>
      <c r="Z273" s="42">
        <f>Z264+Z271+Z272</f>
        <v>58338.00000000001</v>
      </c>
      <c r="AA273" s="42">
        <f>AA264+AA271+AA272</f>
        <v>59514.00000000001</v>
      </c>
      <c r="AB273" s="42">
        <f>AB264+AB271+AB272</f>
        <v>60592.00000000001</v>
      </c>
      <c r="AC273" s="42">
        <f>AC264+AC271+AC272</f>
        <v>61586.00000000001</v>
      </c>
      <c r="AD273" s="42">
        <f>AD264+AD271+AD272</f>
        <v>58632.00000000001</v>
      </c>
      <c r="AE273" s="42">
        <f>AE264+AE271+AE272</f>
        <v>3234.0000000000005</v>
      </c>
    </row>
    <row r="274">
      <c r="A274" s="41" t="inlineStr">
        <is>
          <t xml:space="preserve">CFADS: EBITDA − change in working capital − taxes</t>
        </is>
      </c>
      <c r="B274" s="10" t="inlineStr">
        <is>
          <t xml:space="preserve">€</t>
        </is>
      </c>
      <c r="F274" s="42">
        <f>Operations!F217-Operations!F225-F273</f>
        <v>1453615.112304504</v>
      </c>
      <c r="G274" s="42">
        <f>Operations!G217-Operations!G225-G273</f>
        <v>1934443.9192025843</v>
      </c>
      <c r="H274" s="42">
        <f>Operations!H217-Operations!H225-H273</f>
        <v>3151921.8944625584</v>
      </c>
      <c r="I274" s="42">
        <f>Operations!I217-Operations!I225-I273</f>
        <v>2683529.8667177265</v>
      </c>
      <c r="J274" s="42">
        <f>Operations!J217-Operations!J225-J273</f>
        <v>2558516.524607921</v>
      </c>
      <c r="K274" s="42">
        <f>Operations!K217-Operations!K225-K273</f>
        <v>2502426.270594942</v>
      </c>
      <c r="L274" s="42">
        <f>Operations!L217-Operations!L225-L273</f>
        <v>4338307.176837427</v>
      </c>
      <c r="M274" s="42">
        <f>Operations!M217-Operations!M225-M273</f>
        <v>2756836.8576003914</v>
      </c>
      <c r="N274" s="42">
        <f>Operations!N217-Operations!N225-N273</f>
        <v>2729025.784782538</v>
      </c>
      <c r="O274" s="42">
        <f>Operations!O217-Operations!O225-O273</f>
        <v>2698206.6364277154</v>
      </c>
      <c r="P274" s="42">
        <f>Operations!P217-Operations!P225-P273</f>
        <v>2528807.3220999893</v>
      </c>
      <c r="Q274" s="42">
        <f>Operations!Q217-Operations!Q225-Q273</f>
        <v>2486740.259837407</v>
      </c>
      <c r="R274" s="42">
        <f>Operations!R217-Operations!R225-R273</f>
        <v>2444947.022996936</v>
      </c>
      <c r="S274" s="42">
        <f>Operations!S217-Operations!S225-S273</f>
        <v>2399689.182738581</v>
      </c>
      <c r="T274" s="42">
        <f>Operations!T217-Operations!T225-T273</f>
        <v>2356540.2441139184</v>
      </c>
      <c r="U274" s="42">
        <f>Operations!U217-Operations!U225-U273</f>
        <v>2311761.2314536283</v>
      </c>
      <c r="V274" s="42">
        <f>Operations!V217-Operations!V225-V273</f>
        <v>2267268.9329940462</v>
      </c>
      <c r="W274" s="42">
        <f>Operations!W217-Operations!W225-W273</f>
        <v>2149744.9757873775</v>
      </c>
      <c r="X274" s="42">
        <f>Operations!X217-Operations!X225-X273</f>
        <v>2210266.57311389</v>
      </c>
      <c r="Y274" s="42">
        <f>Operations!Y217-Operations!Y225-Y273</f>
        <v>2248314.5406976775</v>
      </c>
      <c r="Z274" s="42">
        <f>Operations!Z217-Operations!Z225-Z273</f>
        <v>2204383.992413605</v>
      </c>
      <c r="AA274" s="42">
        <f>Operations!AA217-Operations!AA225-AA273</f>
        <v>2239956.984071967</v>
      </c>
      <c r="AB274" s="42">
        <f>Operations!AB217-Operations!AB225-AB273</f>
        <v>2279453.4884312395</v>
      </c>
      <c r="AC274" s="42">
        <f>Operations!AC217-Operations!AC225-AC273</f>
        <v>2318573.6346889487</v>
      </c>
      <c r="AD274" s="42">
        <f>Operations!AD217-Operations!AD225-AD273</f>
        <v>2363417.3461972345</v>
      </c>
      <c r="AE274" s="42">
        <f>Operations!AE217-Operations!AE225-AE273</f>
        <v>1642374.952655662</v>
      </c>
    </row>
    <row r="276">
      <c r="A276" s="5" t="inlineStr">
        <is>
          <t xml:space="preserve">Lender case P50</t>
        </is>
      </c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>
      <c r="A277" s="6" t="inlineStr">
        <is>
          <t xml:space="preserve">Depreciable base: capex and capitalised financing costs</t>
        </is>
      </c>
      <c r="B277" s="10" t="inlineStr">
        <is>
          <t xml:space="preserve">€</t>
        </is>
      </c>
      <c r="C277" s="45">
        <f>Construction!$C$48</f>
        <v>58232270.645103194</v>
      </c>
    </row>
    <row r="278">
      <c r="A278" s="6" t="inlineStr">
        <is>
          <t xml:space="preserve">Book value at the start of the year</t>
        </is>
      </c>
      <c r="B278" s="10" t="inlineStr">
        <is>
          <t xml:space="preserve">€</t>
        </is>
      </c>
      <c r="F278" s="23">
        <f>E285</f>
        <v>58232270.645103194</v>
      </c>
      <c r="G278" s="23">
        <f>F285</f>
        <v>56412512.18744372</v>
      </c>
      <c r="H278" s="23">
        <f>G285</f>
        <v>52772995.27212477</v>
      </c>
      <c r="I278" s="23">
        <f>H285</f>
        <v>49133478.35680582</v>
      </c>
      <c r="J278" s="23">
        <f>I285</f>
        <v>45493961.441486865</v>
      </c>
      <c r="K278" s="23">
        <f>J285</f>
        <v>41854444.526167914</v>
      </c>
      <c r="L278" s="23">
        <f>K285</f>
        <v>38214927.61084896</v>
      </c>
      <c r="M278" s="23">
        <f>L285</f>
        <v>34575410.69553001</v>
      </c>
      <c r="N278" s="23">
        <f>M285</f>
        <v>30935893.780211065</v>
      </c>
      <c r="O278" s="23">
        <f>N285</f>
        <v>27296376.864892118</v>
      </c>
      <c r="P278" s="23">
        <f>O285</f>
        <v>23656859.949573167</v>
      </c>
      <c r="Q278" s="23">
        <f>P285</f>
        <v>20017343.03425422</v>
      </c>
      <c r="R278" s="23">
        <f>Q285</f>
        <v>16377826.11893527</v>
      </c>
      <c r="S278" s="23">
        <f>R285</f>
        <v>12738309.203616321</v>
      </c>
      <c r="T278" s="23">
        <f>S285</f>
        <v>9098792.288297372</v>
      </c>
      <c r="U278" s="23">
        <f>T285</f>
        <v>5459275.372978423</v>
      </c>
      <c r="V278" s="23">
        <f>U285</f>
        <v>1819758.457659474</v>
      </c>
      <c r="W278" s="23">
        <f>V285</f>
        <v>0</v>
      </c>
      <c r="X278" s="23">
        <f>W285</f>
        <v>0</v>
      </c>
      <c r="Y278" s="23">
        <f>X285</f>
        <v>0</v>
      </c>
      <c r="Z278" s="23">
        <f>Y285</f>
        <v>0</v>
      </c>
      <c r="AA278" s="23">
        <f>Z285</f>
        <v>0</v>
      </c>
      <c r="AB278" s="23">
        <f>AA285</f>
        <v>0</v>
      </c>
      <c r="AC278" s="23">
        <f>AB285</f>
        <v>0</v>
      </c>
      <c r="AD278" s="23">
        <f>AC285</f>
        <v>0</v>
      </c>
      <c r="AE278" s="23">
        <f>AD285</f>
        <v>0</v>
      </c>
    </row>
    <row r="279">
      <c r="A279" s="6" t="inlineStr">
        <is>
          <t xml:space="preserve">Months depreciated before the year</t>
        </is>
      </c>
      <c r="E279" s="9">
        <v>0</v>
      </c>
      <c r="F279" s="23">
        <f>E286</f>
        <v>0</v>
      </c>
      <c r="G279" s="23">
        <f>F286</f>
        <v>6</v>
      </c>
      <c r="H279" s="23">
        <f>G286</f>
        <v>18</v>
      </c>
      <c r="I279" s="23">
        <f>H286</f>
        <v>30</v>
      </c>
      <c r="J279" s="23">
        <f>I286</f>
        <v>42</v>
      </c>
      <c r="K279" s="23">
        <f>J286</f>
        <v>54</v>
      </c>
      <c r="L279" s="23">
        <f>K286</f>
        <v>66</v>
      </c>
      <c r="M279" s="23">
        <f>L286</f>
        <v>78</v>
      </c>
      <c r="N279" s="23">
        <f>M286</f>
        <v>90</v>
      </c>
      <c r="O279" s="23">
        <f>N286</f>
        <v>102</v>
      </c>
      <c r="P279" s="23">
        <f>O286</f>
        <v>114</v>
      </c>
      <c r="Q279" s="23">
        <f>P286</f>
        <v>126</v>
      </c>
      <c r="R279" s="23">
        <f>Q286</f>
        <v>138</v>
      </c>
      <c r="S279" s="23">
        <f>R286</f>
        <v>150</v>
      </c>
      <c r="T279" s="23">
        <f>S286</f>
        <v>162</v>
      </c>
      <c r="U279" s="23">
        <f>T286</f>
        <v>174</v>
      </c>
      <c r="V279" s="23">
        <f>U286</f>
        <v>186</v>
      </c>
      <c r="W279" s="23">
        <f>V286</f>
        <v>198</v>
      </c>
      <c r="X279" s="23">
        <f>W286</f>
        <v>198</v>
      </c>
      <c r="Y279" s="23">
        <f>X286</f>
        <v>198</v>
      </c>
      <c r="Z279" s="23">
        <f>Y286</f>
        <v>198</v>
      </c>
      <c r="AA279" s="23">
        <f>Z286</f>
        <v>198</v>
      </c>
      <c r="AB279" s="23">
        <f>AA286</f>
        <v>198</v>
      </c>
      <c r="AC279" s="23">
        <f>AB286</f>
        <v>198</v>
      </c>
      <c r="AD279" s="23">
        <f>AC286</f>
        <v>198</v>
      </c>
      <c r="AE279" s="23">
        <f>AD286</f>
        <v>198</v>
      </c>
    </row>
    <row r="280">
      <c r="A280" s="6" t="inlineStr">
        <is>
          <t xml:space="preserve">Remaining useful life</t>
        </is>
      </c>
      <c r="B280" s="10" t="inlineStr">
        <is>
          <t xml:space="preserve">years</t>
        </is>
      </c>
      <c r="F280" s="21">
        <f>Inputs!$C$93-F279/12</f>
        <v>16</v>
      </c>
      <c r="G280" s="21">
        <f>Inputs!$C$93-G279/12</f>
        <v>15.5</v>
      </c>
      <c r="H280" s="21">
        <f>Inputs!$C$93-H279/12</f>
        <v>14.5</v>
      </c>
      <c r="I280" s="21">
        <f>Inputs!$C$93-I279/12</f>
        <v>13.5</v>
      </c>
      <c r="J280" s="21">
        <f>Inputs!$C$93-J279/12</f>
        <v>12.5</v>
      </c>
      <c r="K280" s="21">
        <f>Inputs!$C$93-K279/12</f>
        <v>11.5</v>
      </c>
      <c r="L280" s="21">
        <f>Inputs!$C$93-L279/12</f>
        <v>10.5</v>
      </c>
      <c r="M280" s="21">
        <f>Inputs!$C$93-M279/12</f>
        <v>9.5</v>
      </c>
      <c r="N280" s="21">
        <f>Inputs!$C$93-N279/12</f>
        <v>8.5</v>
      </c>
      <c r="O280" s="21">
        <f>Inputs!$C$93-O279/12</f>
        <v>7.5</v>
      </c>
      <c r="P280" s="21">
        <f>Inputs!$C$93-P279/12</f>
        <v>6.5</v>
      </c>
      <c r="Q280" s="21">
        <f>Inputs!$C$93-Q279/12</f>
        <v>5.5</v>
      </c>
      <c r="R280" s="21">
        <f>Inputs!$C$93-R279/12</f>
        <v>4.5</v>
      </c>
      <c r="S280" s="21">
        <f>Inputs!$C$93-S279/12</f>
        <v>3.5</v>
      </c>
      <c r="T280" s="21">
        <f>Inputs!$C$93-T279/12</f>
        <v>2.5</v>
      </c>
      <c r="U280" s="21">
        <f>Inputs!$C$93-U279/12</f>
        <v>1.5</v>
      </c>
      <c r="V280" s="21">
        <f>Inputs!$C$93-V279/12</f>
        <v>0.5</v>
      </c>
      <c r="W280" s="21">
        <f>Inputs!$C$93-W279/12</f>
        <v>-0.5</v>
      </c>
      <c r="X280" s="21">
        <f>Inputs!$C$93-X279/12</f>
        <v>-0.5</v>
      </c>
      <c r="Y280" s="21">
        <f>Inputs!$C$93-Y279/12</f>
        <v>-0.5</v>
      </c>
      <c r="Z280" s="21">
        <f>Inputs!$C$93-Z279/12</f>
        <v>-0.5</v>
      </c>
      <c r="AA280" s="21">
        <f>Inputs!$C$93-AA279/12</f>
        <v>-0.5</v>
      </c>
      <c r="AB280" s="21">
        <f>Inputs!$C$93-AB279/12</f>
        <v>-0.5</v>
      </c>
      <c r="AC280" s="21">
        <f>Inputs!$C$93-AC279/12</f>
        <v>-0.5</v>
      </c>
      <c r="AD280" s="21">
        <f>Inputs!$C$93-AD279/12</f>
        <v>-0.5</v>
      </c>
      <c r="AE280" s="21">
        <f>Inputs!$C$93-AE279/12</f>
        <v>-0.5</v>
      </c>
    </row>
    <row r="281">
      <c r="A281" s="6" t="inlineStr">
        <is>
          <t xml:space="preserve">Straight-line amount</t>
        </is>
      </c>
      <c r="B281" s="10" t="inlineStr">
        <is>
          <t xml:space="preserve">€</t>
        </is>
      </c>
      <c r="F281" s="23">
        <f>IF(F280&gt;0,F278/F280*Timing!F87/12,F278)</f>
        <v>1819758.4576594748</v>
      </c>
      <c r="G281" s="23">
        <f>IF(G280&gt;0,G278/G280*Timing!G87/12,G278)</f>
        <v>3639516.9153189496</v>
      </c>
      <c r="H281" s="23">
        <f>IF(H280&gt;0,H278/H280*Timing!H87/12,H278)</f>
        <v>3639516.9153189496</v>
      </c>
      <c r="I281" s="23">
        <f>IF(I280&gt;0,I278/I280*Timing!I87/12,I278)</f>
        <v>3639516.915318949</v>
      </c>
      <c r="J281" s="23">
        <f>IF(J280&gt;0,J278/J280*Timing!J87/12,J278)</f>
        <v>3639516.915318949</v>
      </c>
      <c r="K281" s="23">
        <f>IF(K280&gt;0,K278/K280*Timing!K87/12,K278)</f>
        <v>3639516.915318949</v>
      </c>
      <c r="L281" s="23">
        <f>IF(L280&gt;0,L278/L280*Timing!L87/12,L278)</f>
        <v>3639516.9153189487</v>
      </c>
      <c r="M281" s="23">
        <f>IF(M280&gt;0,M278/M280*Timing!M87/12,M278)</f>
        <v>3639516.9153189487</v>
      </c>
      <c r="N281" s="23">
        <f>IF(N280&gt;0,N278/N280*Timing!N87/12,N278)</f>
        <v>3639516.9153189487</v>
      </c>
      <c r="O281" s="23">
        <f>IF(O280&gt;0,O278/O280*Timing!O87/12,O278)</f>
        <v>3639516.915318949</v>
      </c>
      <c r="P281" s="23">
        <f>IF(P280&gt;0,P278/P280*Timing!P87/12,P278)</f>
        <v>3639516.9153189487</v>
      </c>
      <c r="Q281" s="23">
        <f>IF(Q280&gt;0,Q278/Q280*Timing!Q87/12,Q278)</f>
        <v>3639516.915318949</v>
      </c>
      <c r="R281" s="23">
        <f>IF(R280&gt;0,R278/R280*Timing!R87/12,R278)</f>
        <v>3639516.915318949</v>
      </c>
      <c r="S281" s="23">
        <f>IF(S280&gt;0,S278/S280*Timing!S87/12,S278)</f>
        <v>3639516.9153189487</v>
      </c>
      <c r="T281" s="23">
        <f>IF(T280&gt;0,T278/T280*Timing!T87/12,T278)</f>
        <v>3639516.9153189487</v>
      </c>
      <c r="U281" s="23">
        <f>IF(U280&gt;0,U278/U280*Timing!U87/12,U278)</f>
        <v>3639516.9153189487</v>
      </c>
      <c r="V281" s="23">
        <f>IF(V280&gt;0,V278/V280*Timing!V87/12,V278)</f>
        <v>3639516.915318948</v>
      </c>
      <c r="W281" s="23">
        <f>IF(W280&gt;0,W278/W280*Timing!W87/12,W278)</f>
        <v>0</v>
      </c>
      <c r="X281" s="23">
        <f>IF(X280&gt;0,X278/X280*Timing!X87/12,X278)</f>
        <v>0</v>
      </c>
      <c r="Y281" s="23">
        <f>IF(Y280&gt;0,Y278/Y280*Timing!Y87/12,Y278)</f>
        <v>0</v>
      </c>
      <c r="Z281" s="23">
        <f>IF(Z280&gt;0,Z278/Z280*Timing!Z87/12,Z278)</f>
        <v>0</v>
      </c>
      <c r="AA281" s="23">
        <f>IF(AA280&gt;0,AA278/AA280*Timing!AA87/12,AA278)</f>
        <v>0</v>
      </c>
      <c r="AB281" s="23">
        <f>IF(AB280&gt;0,AB278/AB280*Timing!AB87/12,AB278)</f>
        <v>0</v>
      </c>
      <c r="AC281" s="23">
        <f>IF(AC280&gt;0,AC278/AC280*Timing!AC87/12,AC278)</f>
        <v>0</v>
      </c>
      <c r="AD281" s="23">
        <f>IF(AD280&gt;0,AD278/AD280*Timing!AD87/12,AD278)</f>
        <v>0</v>
      </c>
      <c r="AE281" s="23">
        <f>IF(AE280&gt;0,AE278/AE280*Timing!AE87/12,AE278)</f>
        <v>0</v>
      </c>
    </row>
    <row r="282">
      <c r="A282" s="6" t="inlineStr">
        <is>
          <t xml:space="preserve">Declining-balance amount</t>
        </is>
      </c>
      <c r="B282" s="10" t="inlineStr">
        <is>
          <t xml:space="preserve">€</t>
        </is>
      </c>
      <c r="F282" s="23">
        <f>F278*Timing!$C$36*Timing!F87/12</f>
        <v>5459275.372978425</v>
      </c>
      <c r="G282" s="23">
        <f>G278*Timing!$C$36*Timing!G87/12</f>
        <v>10577346.035145696</v>
      </c>
      <c r="H282" s="23">
        <f>H278*Timing!$C$36*Timing!H87/12</f>
        <v>9894936.613523394</v>
      </c>
      <c r="I282" s="23">
        <f>I278*Timing!$C$36*Timing!I87/12</f>
        <v>9212527.191901091</v>
      </c>
      <c r="J282" s="23">
        <f>J278*Timing!$C$36*Timing!J87/12</f>
        <v>8530117.770278787</v>
      </c>
      <c r="K282" s="23">
        <f>K278*Timing!$C$36*Timing!K87/12</f>
        <v>7847708.348656484</v>
      </c>
      <c r="L282" s="23">
        <f>L278*Timing!$C$36*Timing!L87/12</f>
        <v>7165298.927034181</v>
      </c>
      <c r="M282" s="23">
        <f>M278*Timing!$C$36*Timing!M87/12</f>
        <v>6482889.505411877</v>
      </c>
      <c r="N282" s="23">
        <f>N278*Timing!$C$36*Timing!N87/12</f>
        <v>5800480.083789575</v>
      </c>
      <c r="O282" s="23">
        <f>O278*Timing!$C$36*Timing!O87/12</f>
        <v>5118070.662167272</v>
      </c>
      <c r="P282" s="23">
        <f>P278*Timing!$C$36*Timing!P87/12</f>
        <v>4435661.240544969</v>
      </c>
      <c r="Q282" s="23">
        <f>Q278*Timing!$C$36*Timing!Q87/12</f>
        <v>3753251.818922666</v>
      </c>
      <c r="R282" s="23">
        <f>R278*Timing!$C$36*Timing!R87/12</f>
        <v>3070842.397300363</v>
      </c>
      <c r="S282" s="23">
        <f>S278*Timing!$C$36*Timing!S87/12</f>
        <v>2388432.97567806</v>
      </c>
      <c r="T282" s="23">
        <f>T278*Timing!$C$36*Timing!T87/12</f>
        <v>1706023.5540557574</v>
      </c>
      <c r="U282" s="23">
        <f>U278*Timing!$C$36*Timing!U87/12</f>
        <v>1023614.1324334543</v>
      </c>
      <c r="V282" s="23">
        <f>V278*Timing!$C$36*Timing!V87/12</f>
        <v>341204.7108111514</v>
      </c>
      <c r="W282" s="23">
        <f>W278*Timing!$C$36*Timing!W87/12</f>
        <v>0</v>
      </c>
      <c r="X282" s="23">
        <f>X278*Timing!$C$36*Timing!X87/12</f>
        <v>0</v>
      </c>
      <c r="Y282" s="23">
        <f>Y278*Timing!$C$36*Timing!Y87/12</f>
        <v>0</v>
      </c>
      <c r="Z282" s="23">
        <f>Z278*Timing!$C$36*Timing!Z87/12</f>
        <v>0</v>
      </c>
      <c r="AA282" s="23">
        <f>AA278*Timing!$C$36*Timing!AA87/12</f>
        <v>0</v>
      </c>
      <c r="AB282" s="23">
        <f>AB278*Timing!$C$36*Timing!AB87/12</f>
        <v>0</v>
      </c>
      <c r="AC282" s="23">
        <f>AC278*Timing!$C$36*Timing!AC87/12</f>
        <v>0</v>
      </c>
      <c r="AD282" s="23">
        <f>AD278*Timing!$C$36*Timing!AD87/12</f>
        <v>0</v>
      </c>
      <c r="AE282" s="23">
        <f>AE278*Timing!$C$36*Timing!AE87/12</f>
        <v>0</v>
      </c>
    </row>
    <row r="283">
      <c r="A283" s="6" t="inlineStr">
        <is>
          <t xml:space="preserve">Straight-line from this year (1 = yes)</t>
        </is>
      </c>
      <c r="E283" s="9">
        <v>0</v>
      </c>
      <c r="F283" s="23">
        <f>IF(OR(Timing!$C$35=0,E283=1,F281&gt;=F282),1,0)</f>
        <v>1</v>
      </c>
      <c r="G283" s="23">
        <f>IF(OR(Timing!$C$35=0,F283=1,G281&gt;=G282),1,0)</f>
        <v>1</v>
      </c>
      <c r="H283" s="23">
        <f>IF(OR(Timing!$C$35=0,G283=1,H281&gt;=H282),1,0)</f>
        <v>1</v>
      </c>
      <c r="I283" s="23">
        <f>IF(OR(Timing!$C$35=0,H283=1,I281&gt;=I282),1,0)</f>
        <v>1</v>
      </c>
      <c r="J283" s="23">
        <f>IF(OR(Timing!$C$35=0,I283=1,J281&gt;=J282),1,0)</f>
        <v>1</v>
      </c>
      <c r="K283" s="23">
        <f>IF(OR(Timing!$C$35=0,J283=1,K281&gt;=K282),1,0)</f>
        <v>1</v>
      </c>
      <c r="L283" s="23">
        <f>IF(OR(Timing!$C$35=0,K283=1,L281&gt;=L282),1,0)</f>
        <v>1</v>
      </c>
      <c r="M283" s="23">
        <f>IF(OR(Timing!$C$35=0,L283=1,M281&gt;=M282),1,0)</f>
        <v>1</v>
      </c>
      <c r="N283" s="23">
        <f>IF(OR(Timing!$C$35=0,M283=1,N281&gt;=N282),1,0)</f>
        <v>1</v>
      </c>
      <c r="O283" s="23">
        <f>IF(OR(Timing!$C$35=0,N283=1,O281&gt;=O282),1,0)</f>
        <v>1</v>
      </c>
      <c r="P283" s="23">
        <f>IF(OR(Timing!$C$35=0,O283=1,P281&gt;=P282),1,0)</f>
        <v>1</v>
      </c>
      <c r="Q283" s="23">
        <f>IF(OR(Timing!$C$35=0,P283=1,Q281&gt;=Q282),1,0)</f>
        <v>1</v>
      </c>
      <c r="R283" s="23">
        <f>IF(OR(Timing!$C$35=0,Q283=1,R281&gt;=R282),1,0)</f>
        <v>1</v>
      </c>
      <c r="S283" s="23">
        <f>IF(OR(Timing!$C$35=0,R283=1,S281&gt;=S282),1,0)</f>
        <v>1</v>
      </c>
      <c r="T283" s="23">
        <f>IF(OR(Timing!$C$35=0,S283=1,T281&gt;=T282),1,0)</f>
        <v>1</v>
      </c>
      <c r="U283" s="23">
        <f>IF(OR(Timing!$C$35=0,T283=1,U281&gt;=U282),1,0)</f>
        <v>1</v>
      </c>
      <c r="V283" s="23">
        <f>IF(OR(Timing!$C$35=0,U283=1,V281&gt;=V282),1,0)</f>
        <v>1</v>
      </c>
      <c r="W283" s="23">
        <f>IF(OR(Timing!$C$35=0,V283=1,W281&gt;=W282),1,0)</f>
        <v>1</v>
      </c>
      <c r="X283" s="23">
        <f>IF(OR(Timing!$C$35=0,W283=1,X281&gt;=X282),1,0)</f>
        <v>1</v>
      </c>
      <c r="Y283" s="23">
        <f>IF(OR(Timing!$C$35=0,X283=1,Y281&gt;=Y282),1,0)</f>
        <v>1</v>
      </c>
      <c r="Z283" s="23">
        <f>IF(OR(Timing!$C$35=0,Y283=1,Z281&gt;=Z282),1,0)</f>
        <v>1</v>
      </c>
      <c r="AA283" s="23">
        <f>IF(OR(Timing!$C$35=0,Z283=1,AA281&gt;=AA282),1,0)</f>
        <v>1</v>
      </c>
      <c r="AB283" s="23">
        <f>IF(OR(Timing!$C$35=0,AA283=1,AB281&gt;=AB282),1,0)</f>
        <v>1</v>
      </c>
      <c r="AC283" s="23">
        <f>IF(OR(Timing!$C$35=0,AB283=1,AC281&gt;=AC282),1,0)</f>
        <v>1</v>
      </c>
      <c r="AD283" s="23">
        <f>IF(OR(Timing!$C$35=0,AC283=1,AD281&gt;=AD282),1,0)</f>
        <v>1</v>
      </c>
      <c r="AE283" s="23">
        <f>IF(OR(Timing!$C$35=0,AD283=1,AE281&gt;=AE282),1,0)</f>
        <v>1</v>
      </c>
    </row>
    <row r="284">
      <c r="A284" s="6" t="inlineStr">
        <is>
          <t xml:space="preserve">Depreciation by schedule</t>
        </is>
      </c>
      <c r="B284" s="10" t="inlineStr">
        <is>
          <t xml:space="preserve">€</t>
        </is>
      </c>
      <c r="F284" s="23">
        <f>IF(F278&lt;=Inputs!$C$157,0,MIN(F278,IF(F283=1,F281,F282)))</f>
        <v>1819758.4576594748</v>
      </c>
      <c r="G284" s="23">
        <f>IF(G278&lt;=Inputs!$C$157,0,MIN(G278,IF(G283=1,G281,G282)))</f>
        <v>3639516.9153189496</v>
      </c>
      <c r="H284" s="23">
        <f>IF(H278&lt;=Inputs!$C$157,0,MIN(H278,IF(H283=1,H281,H282)))</f>
        <v>3639516.9153189496</v>
      </c>
      <c r="I284" s="23">
        <f>IF(I278&lt;=Inputs!$C$157,0,MIN(I278,IF(I283=1,I281,I282)))</f>
        <v>3639516.915318949</v>
      </c>
      <c r="J284" s="23">
        <f>IF(J278&lt;=Inputs!$C$157,0,MIN(J278,IF(J283=1,J281,J282)))</f>
        <v>3639516.915318949</v>
      </c>
      <c r="K284" s="23">
        <f>IF(K278&lt;=Inputs!$C$157,0,MIN(K278,IF(K283=1,K281,K282)))</f>
        <v>3639516.915318949</v>
      </c>
      <c r="L284" s="23">
        <f>IF(L278&lt;=Inputs!$C$157,0,MIN(L278,IF(L283=1,L281,L282)))</f>
        <v>3639516.9153189487</v>
      </c>
      <c r="M284" s="23">
        <f>IF(M278&lt;=Inputs!$C$157,0,MIN(M278,IF(M283=1,M281,M282)))</f>
        <v>3639516.9153189487</v>
      </c>
      <c r="N284" s="23">
        <f>IF(N278&lt;=Inputs!$C$157,0,MIN(N278,IF(N283=1,N281,N282)))</f>
        <v>3639516.9153189487</v>
      </c>
      <c r="O284" s="23">
        <f>IF(O278&lt;=Inputs!$C$157,0,MIN(O278,IF(O283=1,O281,O282)))</f>
        <v>3639516.915318949</v>
      </c>
      <c r="P284" s="23">
        <f>IF(P278&lt;=Inputs!$C$157,0,MIN(P278,IF(P283=1,P281,P282)))</f>
        <v>3639516.9153189487</v>
      </c>
      <c r="Q284" s="23">
        <f>IF(Q278&lt;=Inputs!$C$157,0,MIN(Q278,IF(Q283=1,Q281,Q282)))</f>
        <v>3639516.915318949</v>
      </c>
      <c r="R284" s="23">
        <f>IF(R278&lt;=Inputs!$C$157,0,MIN(R278,IF(R283=1,R281,R282)))</f>
        <v>3639516.915318949</v>
      </c>
      <c r="S284" s="23">
        <f>IF(S278&lt;=Inputs!$C$157,0,MIN(S278,IF(S283=1,S281,S282)))</f>
        <v>3639516.9153189487</v>
      </c>
      <c r="T284" s="23">
        <f>IF(T278&lt;=Inputs!$C$157,0,MIN(T278,IF(T283=1,T281,T282)))</f>
        <v>3639516.9153189487</v>
      </c>
      <c r="U284" s="23">
        <f>IF(U278&lt;=Inputs!$C$157,0,MIN(U278,IF(U283=1,U281,U282)))</f>
        <v>3639516.9153189487</v>
      </c>
      <c r="V284" s="23">
        <f>IF(V278&lt;=Inputs!$C$157,0,MIN(V278,IF(V283=1,V281,V282)))</f>
        <v>1819758.457659474</v>
      </c>
      <c r="W284" s="23">
        <f>IF(W278&lt;=Inputs!$C$157,0,MIN(W278,IF(W283=1,W281,W282)))</f>
        <v>0</v>
      </c>
      <c r="X284" s="23">
        <f>IF(X278&lt;=Inputs!$C$157,0,MIN(X278,IF(X283=1,X281,X282)))</f>
        <v>0</v>
      </c>
      <c r="Y284" s="23">
        <f>IF(Y278&lt;=Inputs!$C$157,0,MIN(Y278,IF(Y283=1,Y281,Y282)))</f>
        <v>0</v>
      </c>
      <c r="Z284" s="23">
        <f>IF(Z278&lt;=Inputs!$C$157,0,MIN(Z278,IF(Z283=1,Z281,Z282)))</f>
        <v>0</v>
      </c>
      <c r="AA284" s="23">
        <f>IF(AA278&lt;=Inputs!$C$157,0,MIN(AA278,IF(AA283=1,AA281,AA282)))</f>
        <v>0</v>
      </c>
      <c r="AB284" s="23">
        <f>IF(AB278&lt;=Inputs!$C$157,0,MIN(AB278,IF(AB283=1,AB281,AB282)))</f>
        <v>0</v>
      </c>
      <c r="AC284" s="23">
        <f>IF(AC278&lt;=Inputs!$C$157,0,MIN(AC278,IF(AC283=1,AC281,AC282)))</f>
        <v>0</v>
      </c>
      <c r="AD284" s="23">
        <f>IF(AD278&lt;=Inputs!$C$157,0,MIN(AD278,IF(AD283=1,AD281,AD282)))</f>
        <v>0</v>
      </c>
      <c r="AE284" s="23">
        <f>IF(AE278&lt;=Inputs!$C$157,0,MIN(AE278,IF(AE283=1,AE281,AE282)))</f>
        <v>0</v>
      </c>
    </row>
    <row r="285">
      <c r="A285" s="6" t="inlineStr">
        <is>
          <t xml:space="preserve">Book value at the year end</t>
        </is>
      </c>
      <c r="B285" s="10" t="inlineStr">
        <is>
          <t xml:space="preserve">€</t>
        </is>
      </c>
      <c r="E285" s="23">
        <f>$C$277</f>
        <v>58232270.645103194</v>
      </c>
      <c r="F285" s="23">
        <f>F278-F284</f>
        <v>56412512.18744372</v>
      </c>
      <c r="G285" s="23">
        <f>G278-G284</f>
        <v>52772995.27212477</v>
      </c>
      <c r="H285" s="23">
        <f>H278-H284</f>
        <v>49133478.35680582</v>
      </c>
      <c r="I285" s="23">
        <f>I278-I284</f>
        <v>45493961.441486865</v>
      </c>
      <c r="J285" s="23">
        <f>J278-J284</f>
        <v>41854444.526167914</v>
      </c>
      <c r="K285" s="23">
        <f>K278-K284</f>
        <v>38214927.61084896</v>
      </c>
      <c r="L285" s="23">
        <f>L278-L284</f>
        <v>34575410.69553001</v>
      </c>
      <c r="M285" s="23">
        <f>M278-M284</f>
        <v>30935893.780211065</v>
      </c>
      <c r="N285" s="23">
        <f>N278-N284</f>
        <v>27296376.864892118</v>
      </c>
      <c r="O285" s="23">
        <f>O278-O284</f>
        <v>23656859.949573167</v>
      </c>
      <c r="P285" s="23">
        <f>P278-P284</f>
        <v>20017343.03425422</v>
      </c>
      <c r="Q285" s="23">
        <f>Q278-Q284</f>
        <v>16377826.11893527</v>
      </c>
      <c r="R285" s="23">
        <f>R278-R284</f>
        <v>12738309.203616321</v>
      </c>
      <c r="S285" s="23">
        <f>S278-S284</f>
        <v>9098792.288297372</v>
      </c>
      <c r="T285" s="23">
        <f>T278-T284</f>
        <v>5459275.372978423</v>
      </c>
      <c r="U285" s="23">
        <f>U278-U284</f>
        <v>1819758.457659474</v>
      </c>
      <c r="V285" s="23">
        <f>V278-V284</f>
        <v>0</v>
      </c>
      <c r="W285" s="23">
        <f>W278-W284</f>
        <v>0</v>
      </c>
      <c r="X285" s="23">
        <f>X278-X284</f>
        <v>0</v>
      </c>
      <c r="Y285" s="23">
        <f>Y278-Y284</f>
        <v>0</v>
      </c>
      <c r="Z285" s="23">
        <f>Z278-Z284</f>
        <v>0</v>
      </c>
      <c r="AA285" s="23">
        <f>AA278-AA284</f>
        <v>0</v>
      </c>
      <c r="AB285" s="23">
        <f>AB278-AB284</f>
        <v>0</v>
      </c>
      <c r="AC285" s="23">
        <f>AC278-AC284</f>
        <v>0</v>
      </c>
      <c r="AD285" s="23">
        <f>AD278-AD284</f>
        <v>0</v>
      </c>
      <c r="AE285" s="23">
        <f>AE278-AE284</f>
        <v>0</v>
      </c>
    </row>
    <row r="286">
      <c r="A286" s="6" t="inlineStr">
        <is>
          <t xml:space="preserve">Months depreciated</t>
        </is>
      </c>
      <c r="F286" s="23">
        <f>F279+IF(F278&gt;Inputs!$C$157,Timing!F87,0)</f>
        <v>6</v>
      </c>
      <c r="G286" s="23">
        <f>G279+IF(G278&gt;Inputs!$C$157,Timing!G87,0)</f>
        <v>18</v>
      </c>
      <c r="H286" s="23">
        <f>H279+IF(H278&gt;Inputs!$C$157,Timing!H87,0)</f>
        <v>30</v>
      </c>
      <c r="I286" s="23">
        <f>I279+IF(I278&gt;Inputs!$C$157,Timing!I87,0)</f>
        <v>42</v>
      </c>
      <c r="J286" s="23">
        <f>J279+IF(J278&gt;Inputs!$C$157,Timing!J87,0)</f>
        <v>54</v>
      </c>
      <c r="K286" s="23">
        <f>K279+IF(K278&gt;Inputs!$C$157,Timing!K87,0)</f>
        <v>66</v>
      </c>
      <c r="L286" s="23">
        <f>L279+IF(L278&gt;Inputs!$C$157,Timing!L87,0)</f>
        <v>78</v>
      </c>
      <c r="M286" s="23">
        <f>M279+IF(M278&gt;Inputs!$C$157,Timing!M87,0)</f>
        <v>90</v>
      </c>
      <c r="N286" s="23">
        <f>N279+IF(N278&gt;Inputs!$C$157,Timing!N87,0)</f>
        <v>102</v>
      </c>
      <c r="O286" s="23">
        <f>O279+IF(O278&gt;Inputs!$C$157,Timing!O87,0)</f>
        <v>114</v>
      </c>
      <c r="P286" s="23">
        <f>P279+IF(P278&gt;Inputs!$C$157,Timing!P87,0)</f>
        <v>126</v>
      </c>
      <c r="Q286" s="23">
        <f>Q279+IF(Q278&gt;Inputs!$C$157,Timing!Q87,0)</f>
        <v>138</v>
      </c>
      <c r="R286" s="23">
        <f>R279+IF(R278&gt;Inputs!$C$157,Timing!R87,0)</f>
        <v>150</v>
      </c>
      <c r="S286" s="23">
        <f>S279+IF(S278&gt;Inputs!$C$157,Timing!S87,0)</f>
        <v>162</v>
      </c>
      <c r="T286" s="23">
        <f>T279+IF(T278&gt;Inputs!$C$157,Timing!T87,0)</f>
        <v>174</v>
      </c>
      <c r="U286" s="23">
        <f>U279+IF(U278&gt;Inputs!$C$157,Timing!U87,0)</f>
        <v>186</v>
      </c>
      <c r="V286" s="23">
        <f>V279+IF(V278&gt;Inputs!$C$157,Timing!V87,0)</f>
        <v>198</v>
      </c>
      <c r="W286" s="23">
        <f>W279+IF(W278&gt;Inputs!$C$157,Timing!W87,0)</f>
        <v>198</v>
      </c>
      <c r="X286" s="23">
        <f>X279+IF(X278&gt;Inputs!$C$157,Timing!X87,0)</f>
        <v>198</v>
      </c>
      <c r="Y286" s="23">
        <f>Y279+IF(Y278&gt;Inputs!$C$157,Timing!Y87,0)</f>
        <v>198</v>
      </c>
      <c r="Z286" s="23">
        <f>Z279+IF(Z278&gt;Inputs!$C$157,Timing!Z87,0)</f>
        <v>198</v>
      </c>
      <c r="AA286" s="23">
        <f>AA279+IF(AA278&gt;Inputs!$C$157,Timing!AA87,0)</f>
        <v>198</v>
      </c>
      <c r="AB286" s="23">
        <f>AB279+IF(AB278&gt;Inputs!$C$157,Timing!AB87,0)</f>
        <v>198</v>
      </c>
      <c r="AC286" s="23">
        <f>AC279+IF(AC278&gt;Inputs!$C$157,Timing!AC87,0)</f>
        <v>198</v>
      </c>
      <c r="AD286" s="23">
        <f>AD279+IF(AD278&gt;Inputs!$C$157,Timing!AD87,0)</f>
        <v>198</v>
      </c>
      <c r="AE286" s="23">
        <f>AE279+IF(AE278&gt;Inputs!$C$157,Timing!AE87,0)</f>
        <v>198</v>
      </c>
    </row>
    <row r="287">
      <c r="A287" s="6" t="inlineStr">
        <is>
          <t xml:space="preserve">Book value written off when the farm is dismantled</t>
        </is>
      </c>
      <c r="B287" s="10" t="inlineStr">
        <is>
          <t xml:space="preserve">€</t>
        </is>
      </c>
      <c r="F287" s="23">
        <f>IF(AND(Timing!F72=1,F285&gt;Inputs!$C$157),F285,0)</f>
        <v>0</v>
      </c>
      <c r="G287" s="23">
        <f>IF(AND(Timing!G72=1,G285&gt;Inputs!$C$157),G285,0)</f>
        <v>0</v>
      </c>
      <c r="H287" s="23">
        <f>IF(AND(Timing!H72=1,H285&gt;Inputs!$C$157),H285,0)</f>
        <v>0</v>
      </c>
      <c r="I287" s="23">
        <f>IF(AND(Timing!I72=1,I285&gt;Inputs!$C$157),I285,0)</f>
        <v>0</v>
      </c>
      <c r="J287" s="23">
        <f>IF(AND(Timing!J72=1,J285&gt;Inputs!$C$157),J285,0)</f>
        <v>0</v>
      </c>
      <c r="K287" s="23">
        <f>IF(AND(Timing!K72=1,K285&gt;Inputs!$C$157),K285,0)</f>
        <v>0</v>
      </c>
      <c r="L287" s="23">
        <f>IF(AND(Timing!L72=1,L285&gt;Inputs!$C$157),L285,0)</f>
        <v>0</v>
      </c>
      <c r="M287" s="23">
        <f>IF(AND(Timing!M72=1,M285&gt;Inputs!$C$157),M285,0)</f>
        <v>0</v>
      </c>
      <c r="N287" s="23">
        <f>IF(AND(Timing!N72=1,N285&gt;Inputs!$C$157),N285,0)</f>
        <v>0</v>
      </c>
      <c r="O287" s="23">
        <f>IF(AND(Timing!O72=1,O285&gt;Inputs!$C$157),O285,0)</f>
        <v>0</v>
      </c>
      <c r="P287" s="23">
        <f>IF(AND(Timing!P72=1,P285&gt;Inputs!$C$157),P285,0)</f>
        <v>0</v>
      </c>
      <c r="Q287" s="23">
        <f>IF(AND(Timing!Q72=1,Q285&gt;Inputs!$C$157),Q285,0)</f>
        <v>0</v>
      </c>
      <c r="R287" s="23">
        <f>IF(AND(Timing!R72=1,R285&gt;Inputs!$C$157),R285,0)</f>
        <v>0</v>
      </c>
      <c r="S287" s="23">
        <f>IF(AND(Timing!S72=1,S285&gt;Inputs!$C$157),S285,0)</f>
        <v>0</v>
      </c>
      <c r="T287" s="23">
        <f>IF(AND(Timing!T72=1,T285&gt;Inputs!$C$157),T285,0)</f>
        <v>0</v>
      </c>
      <c r="U287" s="23">
        <f>IF(AND(Timing!U72=1,U285&gt;Inputs!$C$157),U285,0)</f>
        <v>0</v>
      </c>
      <c r="V287" s="23">
        <f>IF(AND(Timing!V72=1,V285&gt;Inputs!$C$157),V285,0)</f>
        <v>0</v>
      </c>
      <c r="W287" s="23">
        <f>IF(AND(Timing!W72=1,W285&gt;Inputs!$C$157),W285,0)</f>
        <v>0</v>
      </c>
      <c r="X287" s="23">
        <f>IF(AND(Timing!X72=1,X285&gt;Inputs!$C$157),X285,0)</f>
        <v>0</v>
      </c>
      <c r="Y287" s="23">
        <f>IF(AND(Timing!Y72=1,Y285&gt;Inputs!$C$157),Y285,0)</f>
        <v>0</v>
      </c>
      <c r="Z287" s="23">
        <f>IF(AND(Timing!Z72=1,Z285&gt;Inputs!$C$157),Z285,0)</f>
        <v>0</v>
      </c>
      <c r="AA287" s="23">
        <f>IF(AND(Timing!AA72=1,AA285&gt;Inputs!$C$157),AA285,0)</f>
        <v>0</v>
      </c>
      <c r="AB287" s="23">
        <f>IF(AND(Timing!AB72=1,AB285&gt;Inputs!$C$157),AB285,0)</f>
        <v>0</v>
      </c>
      <c r="AC287" s="23">
        <f>IF(AND(Timing!AC72=1,AC285&gt;Inputs!$C$157),AC285,0)</f>
        <v>0</v>
      </c>
      <c r="AD287" s="23">
        <f>IF(AND(Timing!AD72=1,AD285&gt;Inputs!$C$157),AD285,0)</f>
        <v>0</v>
      </c>
      <c r="AE287" s="23">
        <f>IF(AND(Timing!AE72=1,AE285&gt;Inputs!$C$157),AE285,0)</f>
        <v>0</v>
      </c>
    </row>
    <row r="288">
      <c r="A288" s="41" t="inlineStr">
        <is>
          <t xml:space="preserve">Depreciation</t>
        </is>
      </c>
      <c r="B288" s="10" t="inlineStr">
        <is>
          <t xml:space="preserve">€</t>
        </is>
      </c>
      <c r="F288" s="42">
        <f>F284+F287</f>
        <v>1819758.4576594748</v>
      </c>
      <c r="G288" s="42">
        <f>G284+G287</f>
        <v>3639516.9153189496</v>
      </c>
      <c r="H288" s="42">
        <f>H284+H287</f>
        <v>3639516.9153189496</v>
      </c>
      <c r="I288" s="42">
        <f>I284+I287</f>
        <v>3639516.915318949</v>
      </c>
      <c r="J288" s="42">
        <f>J284+J287</f>
        <v>3639516.915318949</v>
      </c>
      <c r="K288" s="42">
        <f>K284+K287</f>
        <v>3639516.915318949</v>
      </c>
      <c r="L288" s="42">
        <f>L284+L287</f>
        <v>3639516.9153189487</v>
      </c>
      <c r="M288" s="42">
        <f>M284+M287</f>
        <v>3639516.9153189487</v>
      </c>
      <c r="N288" s="42">
        <f>N284+N287</f>
        <v>3639516.9153189487</v>
      </c>
      <c r="O288" s="42">
        <f>O284+O287</f>
        <v>3639516.915318949</v>
      </c>
      <c r="P288" s="42">
        <f>P284+P287</f>
        <v>3639516.9153189487</v>
      </c>
      <c r="Q288" s="42">
        <f>Q284+Q287</f>
        <v>3639516.915318949</v>
      </c>
      <c r="R288" s="42">
        <f>R284+R287</f>
        <v>3639516.915318949</v>
      </c>
      <c r="S288" s="42">
        <f>S284+S287</f>
        <v>3639516.9153189487</v>
      </c>
      <c r="T288" s="42">
        <f>T284+T287</f>
        <v>3639516.9153189487</v>
      </c>
      <c r="U288" s="42">
        <f>U284+U287</f>
        <v>3639516.9153189487</v>
      </c>
      <c r="V288" s="42">
        <f>V284+V287</f>
        <v>1819758.457659474</v>
      </c>
      <c r="W288" s="42">
        <f>W284+W287</f>
        <v>0</v>
      </c>
      <c r="X288" s="42">
        <f>X284+X287</f>
        <v>0</v>
      </c>
      <c r="Y288" s="42">
        <f>Y284+Y287</f>
        <v>0</v>
      </c>
      <c r="Z288" s="42">
        <f>Z284+Z287</f>
        <v>0</v>
      </c>
      <c r="AA288" s="42">
        <f>AA284+AA287</f>
        <v>0</v>
      </c>
      <c r="AB288" s="42">
        <f>AB284+AB287</f>
        <v>0</v>
      </c>
      <c r="AC288" s="42">
        <f>AC284+AC287</f>
        <v>0</v>
      </c>
      <c r="AD288" s="42">
        <f>AD284+AD287</f>
        <v>0</v>
      </c>
      <c r="AE288" s="42">
        <f>AE284+AE287</f>
        <v>0</v>
      </c>
    </row>
    <row r="289">
      <c r="A289" s="6" t="inlineStr">
        <is>
          <t xml:space="preserve">Interest</t>
        </is>
      </c>
      <c r="B289" s="10" t="inlineStr">
        <is>
          <t xml:space="preserve">€</t>
        </is>
      </c>
      <c r="F289" s="45">
        <f>Debt!F10</f>
        <v>551915.1400212483</v>
      </c>
      <c r="G289" s="45">
        <f>Debt!G10</f>
        <v>1103830.2800424965</v>
      </c>
      <c r="H289" s="45">
        <f>Debt!H10</f>
        <v>1079481.0826886182</v>
      </c>
      <c r="I289" s="45">
        <f>Debt!I10</f>
        <v>1014549.8897449417</v>
      </c>
      <c r="J289" s="45">
        <f>Debt!J10</f>
        <v>949618.6968012657</v>
      </c>
      <c r="K289" s="45">
        <f>Debt!K10</f>
        <v>884687.5038575892</v>
      </c>
      <c r="L289" s="45">
        <f>Debt!L10</f>
        <v>819756.3109139131</v>
      </c>
      <c r="M289" s="45">
        <f>Debt!M10</f>
        <v>754825.117970237</v>
      </c>
      <c r="N289" s="45">
        <f>Debt!N10</f>
        <v>689893.9250265607</v>
      </c>
      <c r="O289" s="45">
        <f>Debt!O10</f>
        <v>624962.7320828846</v>
      </c>
      <c r="P289" s="45">
        <f>Debt!P10</f>
        <v>560031.5391392084</v>
      </c>
      <c r="Q289" s="45">
        <f>Debt!Q10</f>
        <v>495100.34619553224</v>
      </c>
      <c r="R289" s="45">
        <f>Debt!R10</f>
        <v>430169.1532518559</v>
      </c>
      <c r="S289" s="45">
        <f>Debt!S10</f>
        <v>365237.9603081797</v>
      </c>
      <c r="T289" s="45">
        <f>Debt!T10</f>
        <v>300306.7673645036</v>
      </c>
      <c r="U289" s="45">
        <f>Debt!U10</f>
        <v>235375.57442082735</v>
      </c>
      <c r="V289" s="45">
        <f>Debt!V10</f>
        <v>170444.38147715112</v>
      </c>
      <c r="W289" s="45">
        <f>Debt!W10</f>
        <v>105513.18853347484</v>
      </c>
      <c r="X289" s="45">
        <f>Debt!X10</f>
        <v>40581.99558979853</v>
      </c>
      <c r="Y289" s="45">
        <f>Debt!Y10</f>
        <v>0</v>
      </c>
      <c r="Z289" s="45">
        <f>Debt!Z10</f>
        <v>0</v>
      </c>
      <c r="AA289" s="45">
        <f>Debt!AA10</f>
        <v>0</v>
      </c>
      <c r="AB289" s="45">
        <f>Debt!AB10</f>
        <v>0</v>
      </c>
      <c r="AC289" s="45">
        <f>Debt!AC10</f>
        <v>0</v>
      </c>
      <c r="AD289" s="45">
        <f>Debt!AD10</f>
        <v>0</v>
      </c>
      <c r="AE289" s="45">
        <f>Debt!AE10</f>
        <v>0</v>
      </c>
    </row>
    <row r="290">
      <c r="A290" s="41" t="inlineStr">
        <is>
          <t xml:space="preserve">Profit before tax</t>
        </is>
      </c>
      <c r="B290" s="10" t="inlineStr">
        <is>
          <t xml:space="preserve">€</t>
        </is>
      </c>
      <c r="F290" s="42">
        <f>Operations!F272-F288-F289-F10</f>
        <v>-885892.5228135742</v>
      </c>
      <c r="G290" s="42">
        <f>Operations!G272-G288-G289-G10</f>
        <v>-1817587.672883239</v>
      </c>
      <c r="H290" s="42">
        <f>Operations!H272-H288-H289-H10</f>
        <v>-1824238.8916013488</v>
      </c>
      <c r="I290" s="42">
        <f>Operations!I272-I288-I289-I10</f>
        <v>-1791023.864064819</v>
      </c>
      <c r="J290" s="42">
        <f>Operations!J272-J288-J289-J10</f>
        <v>-1758647.258736336</v>
      </c>
      <c r="K290" s="42">
        <f>Operations!K272-K288-K289-K10</f>
        <v>-1726921.524531136</v>
      </c>
      <c r="L290" s="42">
        <f>Operations!L272-L288-L289-L10</f>
        <v>-1696119.3637092055</v>
      </c>
      <c r="M290" s="42">
        <f>Operations!M272-M288-M289-M10</f>
        <v>-1666221.7140668193</v>
      </c>
      <c r="N290" s="42">
        <f>Operations!N272-N288-N289-N10</f>
        <v>-1637412.9760877206</v>
      </c>
      <c r="O290" s="42">
        <f>Operations!O272-O288-O289-O10</f>
        <v>-1609388.2121191225</v>
      </c>
      <c r="P290" s="42">
        <f>Operations!P272-P288-P289-P10</f>
        <v>-1706617.2452988285</v>
      </c>
      <c r="Q290" s="42">
        <f>Operations!Q272-Q288-Q289-Q10</f>
        <v>-1689153.2766176672</v>
      </c>
      <c r="R290" s="42">
        <f>Operations!R272-R288-R289-R10</f>
        <v>-1677473.345827823</v>
      </c>
      <c r="S290" s="42">
        <f>Operations!S272-S288-S289-S10</f>
        <v>-1666982.418055518</v>
      </c>
      <c r="T290" s="42">
        <f>Operations!T272-T288-T289-T10</f>
        <v>-1658323.772921642</v>
      </c>
      <c r="U290" s="42">
        <f>Operations!U272-U288-U289-U10</f>
        <v>-1651426.6252674316</v>
      </c>
      <c r="V290" s="42">
        <f>Operations!V272-V288-V289-V10</f>
        <v>173057.4514860254</v>
      </c>
      <c r="W290" s="42">
        <f>Operations!W272-W288-W289-W10</f>
        <v>1996103.6108202098</v>
      </c>
      <c r="X290" s="42">
        <f>Operations!X272-X288-X289-X10</f>
        <v>1996991.5785366134</v>
      </c>
      <c r="Y290" s="42">
        <f>Operations!Y272-Y288-Y289-Y10</f>
        <v>1971253.4528698947</v>
      </c>
      <c r="Z290" s="42">
        <f>Operations!Z272-Z288-Z289-Z10</f>
        <v>1821409.4118325373</v>
      </c>
      <c r="AA290" s="42">
        <f>Operations!AA272-AA288-AA289-AA10</f>
        <v>2361750.20574407</v>
      </c>
      <c r="AB290" s="42">
        <f>Operations!AB272-AB288-AB289-AB10</f>
        <v>4261809.186935576</v>
      </c>
      <c r="AC290" s="42">
        <f>Operations!AC272-AC288-AC289-AC10</f>
        <v>4318452.541695523</v>
      </c>
      <c r="AD290" s="42">
        <f>Operations!AD272-AD288-AD289-AD10</f>
        <v>4305400.676139118</v>
      </c>
      <c r="AE290" s="42">
        <f>Operations!AE272-AE288-AE289-AE10</f>
        <v>2241094.265065904</v>
      </c>
    </row>
    <row r="291">
      <c r="A291" s="6" t="inlineStr">
        <is>
          <t xml:space="preserve">Trade tax: add-back of interest and land lease</t>
        </is>
      </c>
      <c r="B291" s="10" t="inlineStr">
        <is>
          <t xml:space="preserve">€</t>
        </is>
      </c>
      <c r="F291" s="23">
        <f>Inputs!$C$116*MAX(0,F289+Inputs!$C$118*Operations!F265-Inputs!$C$117)</f>
        <v>116868.57364178749</v>
      </c>
      <c r="G291" s="23">
        <f>Inputs!$C$116*MAX(0,G289+Inputs!$C$118*Operations!G265-Inputs!$C$117)</f>
        <v>283308.19672621164</v>
      </c>
      <c r="H291" s="23">
        <f>Inputs!$C$116*MAX(0,H289+Inputs!$C$118*Operations!H265-Inputs!$C$117)</f>
        <v>277106.1961343109</v>
      </c>
      <c r="I291" s="23">
        <f>Inputs!$C$116*MAX(0,I289+Inputs!$C$118*Operations!I265-Inputs!$C$117)</f>
        <v>260758.92604746745</v>
      </c>
      <c r="J291" s="23">
        <f>Inputs!$C$116*MAX(0,J289+Inputs!$C$118*Operations!J265-Inputs!$C$117)</f>
        <v>244411.884904326</v>
      </c>
      <c r="K291" s="23">
        <f>Inputs!$C$116*MAX(0,K289+Inputs!$C$118*Operations!K265-Inputs!$C$117)</f>
        <v>228065.07224699884</v>
      </c>
      <c r="L291" s="23">
        <f>Inputs!$C$116*MAX(0,L289+Inputs!$C$118*Operations!L265-Inputs!$C$117)</f>
        <v>211718.4876185146</v>
      </c>
      <c r="M291" s="23">
        <f>Inputs!$C$116*MAX(0,M289+Inputs!$C$118*Operations!M265-Inputs!$C$117)</f>
        <v>195372.13056281552</v>
      </c>
      <c r="N291" s="23">
        <f>Inputs!$C$116*MAX(0,N289+Inputs!$C$118*Operations!N265-Inputs!$C$117)</f>
        <v>179026.00062475592</v>
      </c>
      <c r="O291" s="23">
        <f>Inputs!$C$116*MAX(0,O289+Inputs!$C$118*Operations!O265-Inputs!$C$117)</f>
        <v>162680.0973501007</v>
      </c>
      <c r="P291" s="23">
        <f>Inputs!$C$116*MAX(0,P289+Inputs!$C$118*Operations!P265-Inputs!$C$117)</f>
        <v>146334.42028552285</v>
      </c>
      <c r="Q291" s="23">
        <f>Inputs!$C$116*MAX(0,Q289+Inputs!$C$118*Operations!Q265-Inputs!$C$117)</f>
        <v>130702.90931892736</v>
      </c>
      <c r="R291" s="23">
        <f>Inputs!$C$116*MAX(0,R289+Inputs!$C$118*Operations!R265-Inputs!$C$117)</f>
        <v>115608.66753840918</v>
      </c>
      <c r="S291" s="23">
        <f>Inputs!$C$116*MAX(0,S289+Inputs!$C$118*Operations!S265-Inputs!$C$117)</f>
        <v>100537.19688699901</v>
      </c>
      <c r="T291" s="23">
        <f>Inputs!$C$116*MAX(0,T289+Inputs!$C$118*Operations!T265-Inputs!$C$117)</f>
        <v>85488.95278727906</v>
      </c>
      <c r="U291" s="23">
        <f>Inputs!$C$116*MAX(0,U289+Inputs!$C$118*Operations!U265-Inputs!$C$117)</f>
        <v>70464.39977028307</v>
      </c>
      <c r="V291" s="23">
        <f>Inputs!$C$116*MAX(0,V289+Inputs!$C$118*Operations!V265-Inputs!$C$117)</f>
        <v>55464.01165766554</v>
      </c>
      <c r="W291" s="23">
        <f>Inputs!$C$116*MAX(0,W289+Inputs!$C$118*Operations!W265-Inputs!$C$117)</f>
        <v>40488.27174751402</v>
      </c>
      <c r="X291" s="23">
        <f>Inputs!$C$116*MAX(0,X289+Inputs!$C$118*Operations!X265-Inputs!$C$117)</f>
        <v>25537.673003877848</v>
      </c>
      <c r="Y291" s="23">
        <f>Inputs!$C$116*MAX(0,Y289+Inputs!$C$118*Operations!Y265-Inputs!$C$117)</f>
        <v>16700.017588556788</v>
      </c>
      <c r="Z291" s="23">
        <f>Inputs!$C$116*MAX(0,Z289+Inputs!$C$118*Operations!Z265-Inputs!$C$117)</f>
        <v>18034.017940327918</v>
      </c>
      <c r="AA291" s="23">
        <f>Inputs!$C$116*MAX(0,AA289+Inputs!$C$118*Operations!AA265-Inputs!$C$117)</f>
        <v>19394.698299134485</v>
      </c>
      <c r="AB291" s="23">
        <f>Inputs!$C$116*MAX(0,AB289+Inputs!$C$118*Operations!AB265-Inputs!$C$117)</f>
        <v>39189.76860430252</v>
      </c>
      <c r="AC291" s="23">
        <f>Inputs!$C$116*MAX(0,AC289+Inputs!$C$118*Operations!AC265-Inputs!$C$117)</f>
        <v>40791.616848435806</v>
      </c>
      <c r="AD291" s="23">
        <f>Inputs!$C$116*MAX(0,AD289+Inputs!$C$118*Operations!AD265-Inputs!$C$117)</f>
        <v>42422.234287033716</v>
      </c>
      <c r="AE291" s="23">
        <f>Inputs!$C$116*MAX(0,AE289+Inputs!$C$118*Operations!AE265-Inputs!$C$117)</f>
        <v>0</v>
      </c>
    </row>
    <row r="292">
      <c r="A292" s="6" t="inlineStr">
        <is>
          <t xml:space="preserve">Trade income before losses</t>
        </is>
      </c>
      <c r="B292" s="10" t="inlineStr">
        <is>
          <t xml:space="preserve">€</t>
        </is>
      </c>
      <c r="F292" s="23">
        <f>F290+F291</f>
        <v>-769023.9491717867</v>
      </c>
      <c r="G292" s="23">
        <f>G290+G291</f>
        <v>-1534279.4761570275</v>
      </c>
      <c r="H292" s="23">
        <f>H290+H291</f>
        <v>-1547132.6954670378</v>
      </c>
      <c r="I292" s="23">
        <f>I290+I291</f>
        <v>-1530264.9380173516</v>
      </c>
      <c r="J292" s="23">
        <f>J290+J291</f>
        <v>-1514235.37383201</v>
      </c>
      <c r="K292" s="23">
        <f>K290+K291</f>
        <v>-1498856.4522841373</v>
      </c>
      <c r="L292" s="23">
        <f>L290+L291</f>
        <v>-1484400.876090691</v>
      </c>
      <c r="M292" s="23">
        <f>M290+M291</f>
        <v>-1470849.5835040037</v>
      </c>
      <c r="N292" s="23">
        <f>N290+N291</f>
        <v>-1458386.9754629647</v>
      </c>
      <c r="O292" s="23">
        <f>O290+O291</f>
        <v>-1446708.1147690217</v>
      </c>
      <c r="P292" s="23">
        <f>P290+P291</f>
        <v>-1560282.8250133055</v>
      </c>
      <c r="Q292" s="23">
        <f>Q290+Q291</f>
        <v>-1558450.3672987397</v>
      </c>
      <c r="R292" s="23">
        <f>R290+R291</f>
        <v>-1561864.678289414</v>
      </c>
      <c r="S292" s="23">
        <f>S290+S291</f>
        <v>-1566445.221168519</v>
      </c>
      <c r="T292" s="23">
        <f>T290+T291</f>
        <v>-1572834.820134363</v>
      </c>
      <c r="U292" s="23">
        <f>U290+U291</f>
        <v>-1580962.2254971485</v>
      </c>
      <c r="V292" s="23">
        <f>V290+V291</f>
        <v>228521.46314369095</v>
      </c>
      <c r="W292" s="23">
        <f>W290+W291</f>
        <v>2036591.8825677237</v>
      </c>
      <c r="X292" s="23">
        <f>X290+X291</f>
        <v>2022529.2515404911</v>
      </c>
      <c r="Y292" s="23">
        <f>Y290+Y291</f>
        <v>1987953.4704584514</v>
      </c>
      <c r="Z292" s="23">
        <f>Z290+Z291</f>
        <v>1839443.4297728653</v>
      </c>
      <c r="AA292" s="23">
        <f>AA290+AA291</f>
        <v>2381144.9040432046</v>
      </c>
      <c r="AB292" s="23">
        <f>AB290+AB291</f>
        <v>4300998.955539878</v>
      </c>
      <c r="AC292" s="23">
        <f>AC290+AC291</f>
        <v>4359244.158543959</v>
      </c>
      <c r="AD292" s="23">
        <f>AD290+AD291</f>
        <v>4347822.910426152</v>
      </c>
      <c r="AE292" s="23">
        <f>AE290+AE291</f>
        <v>2241094.265065904</v>
      </c>
    </row>
    <row r="293">
      <c r="A293" s="6" t="inlineStr">
        <is>
          <t xml:space="preserve">Trade loss carry-forward at the start</t>
        </is>
      </c>
      <c r="B293" s="10" t="inlineStr">
        <is>
          <t xml:space="preserve">€</t>
        </is>
      </c>
      <c r="E293" s="9">
        <v>0</v>
      </c>
      <c r="F293" s="23">
        <f>E295</f>
        <v>0</v>
      </c>
      <c r="G293" s="23">
        <f>F295</f>
        <v>769023.9491717867</v>
      </c>
      <c r="H293" s="23">
        <f>G295</f>
        <v>2303303.4253288144</v>
      </c>
      <c r="I293" s="23">
        <f>H295</f>
        <v>3850436.1207958525</v>
      </c>
      <c r="J293" s="23">
        <f>I295</f>
        <v>5380701.058813204</v>
      </c>
      <c r="K293" s="23">
        <f>J295</f>
        <v>6894936.432645214</v>
      </c>
      <c r="L293" s="23">
        <f>K295</f>
        <v>8393792.884929352</v>
      </c>
      <c r="M293" s="23">
        <f>L295</f>
        <v>9878193.761020042</v>
      </c>
      <c r="N293" s="23">
        <f>M295</f>
        <v>11349043.344524046</v>
      </c>
      <c r="O293" s="23">
        <f>N295</f>
        <v>12807430.31998701</v>
      </c>
      <c r="P293" s="23">
        <f>O295</f>
        <v>14254138.434756031</v>
      </c>
      <c r="Q293" s="23">
        <f>P295</f>
        <v>15814421.259769337</v>
      </c>
      <c r="R293" s="23">
        <f>Q295</f>
        <v>17372871.627068076</v>
      </c>
      <c r="S293" s="23">
        <f>R295</f>
        <v>18934736.30535749</v>
      </c>
      <c r="T293" s="23">
        <f>S295</f>
        <v>20501181.526526008</v>
      </c>
      <c r="U293" s="23">
        <f>T295</f>
        <v>22074016.346660372</v>
      </c>
      <c r="V293" s="23">
        <f>U295</f>
        <v>23654978.57215752</v>
      </c>
      <c r="W293" s="23">
        <f>V295</f>
        <v>23426457.10901383</v>
      </c>
      <c r="X293" s="23">
        <f>W295</f>
        <v>21804501.979473196</v>
      </c>
      <c r="Y293" s="23">
        <f>X295</f>
        <v>20190984.428548902</v>
      </c>
      <c r="Z293" s="23">
        <f>Y295</f>
        <v>18598212.346273832</v>
      </c>
      <c r="AA293" s="23">
        <f>Z295</f>
        <v>17094546.288410112</v>
      </c>
      <c r="AB293" s="23">
        <f>AA295</f>
        <v>15265859.345984189</v>
      </c>
      <c r="AC293" s="23">
        <f>AB295</f>
        <v>12285259.972660262</v>
      </c>
      <c r="AD293" s="23">
        <f>AC295</f>
        <v>9269713.477533886</v>
      </c>
      <c r="AE293" s="23">
        <f>AD295</f>
        <v>6261019.731278195</v>
      </c>
    </row>
    <row r="294">
      <c r="A294" s="6" t="inlineStr">
        <is>
          <t xml:space="preserve">Trade losses used (€1m in full, 60 % above)</t>
        </is>
      </c>
      <c r="B294" s="10" t="inlineStr">
        <is>
          <t xml:space="preserve">€</t>
        </is>
      </c>
      <c r="F294" s="23">
        <f>IF(F292&gt;0,MIN(F293,MIN(F292,Inputs!$C$119)+Inputs!$C$120*MAX(0,F292-Inputs!$C$119)),0)</f>
        <v>0</v>
      </c>
      <c r="G294" s="23">
        <f>IF(G292&gt;0,MIN(G293,MIN(G292,Inputs!$C$119)+Inputs!$C$120*MAX(0,G292-Inputs!$C$119)),0)</f>
        <v>0</v>
      </c>
      <c r="H294" s="23">
        <f>IF(H292&gt;0,MIN(H293,MIN(H292,Inputs!$C$119)+Inputs!$C$120*MAX(0,H292-Inputs!$C$119)),0)</f>
        <v>0</v>
      </c>
      <c r="I294" s="23">
        <f>IF(I292&gt;0,MIN(I293,MIN(I292,Inputs!$C$119)+Inputs!$C$120*MAX(0,I292-Inputs!$C$119)),0)</f>
        <v>0</v>
      </c>
      <c r="J294" s="23">
        <f>IF(J292&gt;0,MIN(J293,MIN(J292,Inputs!$C$119)+Inputs!$C$120*MAX(0,J292-Inputs!$C$119)),0)</f>
        <v>0</v>
      </c>
      <c r="K294" s="23">
        <f>IF(K292&gt;0,MIN(K293,MIN(K292,Inputs!$C$119)+Inputs!$C$120*MAX(0,K292-Inputs!$C$119)),0)</f>
        <v>0</v>
      </c>
      <c r="L294" s="23">
        <f>IF(L292&gt;0,MIN(L293,MIN(L292,Inputs!$C$119)+Inputs!$C$120*MAX(0,L292-Inputs!$C$119)),0)</f>
        <v>0</v>
      </c>
      <c r="M294" s="23">
        <f>IF(M292&gt;0,MIN(M293,MIN(M292,Inputs!$C$119)+Inputs!$C$120*MAX(0,M292-Inputs!$C$119)),0)</f>
        <v>0</v>
      </c>
      <c r="N294" s="23">
        <f>IF(N292&gt;0,MIN(N293,MIN(N292,Inputs!$C$119)+Inputs!$C$120*MAX(0,N292-Inputs!$C$119)),0)</f>
        <v>0</v>
      </c>
      <c r="O294" s="23">
        <f>IF(O292&gt;0,MIN(O293,MIN(O292,Inputs!$C$119)+Inputs!$C$120*MAX(0,O292-Inputs!$C$119)),0)</f>
        <v>0</v>
      </c>
      <c r="P294" s="23">
        <f>IF(P292&gt;0,MIN(P293,MIN(P292,Inputs!$C$119)+Inputs!$C$120*MAX(0,P292-Inputs!$C$119)),0)</f>
        <v>0</v>
      </c>
      <c r="Q294" s="23">
        <f>IF(Q292&gt;0,MIN(Q293,MIN(Q292,Inputs!$C$119)+Inputs!$C$120*MAX(0,Q292-Inputs!$C$119)),0)</f>
        <v>0</v>
      </c>
      <c r="R294" s="23">
        <f>IF(R292&gt;0,MIN(R293,MIN(R292,Inputs!$C$119)+Inputs!$C$120*MAX(0,R292-Inputs!$C$119)),0)</f>
        <v>0</v>
      </c>
      <c r="S294" s="23">
        <f>IF(S292&gt;0,MIN(S293,MIN(S292,Inputs!$C$119)+Inputs!$C$120*MAX(0,S292-Inputs!$C$119)),0)</f>
        <v>0</v>
      </c>
      <c r="T294" s="23">
        <f>IF(T292&gt;0,MIN(T293,MIN(T292,Inputs!$C$119)+Inputs!$C$120*MAX(0,T292-Inputs!$C$119)),0)</f>
        <v>0</v>
      </c>
      <c r="U294" s="23">
        <f>IF(U292&gt;0,MIN(U293,MIN(U292,Inputs!$C$119)+Inputs!$C$120*MAX(0,U292-Inputs!$C$119)),0)</f>
        <v>0</v>
      </c>
      <c r="V294" s="23">
        <f>IF(V292&gt;0,MIN(V293,MIN(V292,Inputs!$C$119)+Inputs!$C$120*MAX(0,V292-Inputs!$C$119)),0)</f>
        <v>228521.46314369142</v>
      </c>
      <c r="W294" s="23">
        <f>IF(W292&gt;0,MIN(W293,MIN(W292,Inputs!$C$119)+Inputs!$C$120*MAX(0,W292-Inputs!$C$119)),0)</f>
        <v>1621955.1295406334</v>
      </c>
      <c r="X294" s="23">
        <f>IF(X292&gt;0,MIN(X293,MIN(X292,Inputs!$C$119)+Inputs!$C$120*MAX(0,X292-Inputs!$C$119)),0)</f>
        <v>1613517.5509242937</v>
      </c>
      <c r="Y294" s="23">
        <f>IF(Y292&gt;0,MIN(Y293,MIN(Y292,Inputs!$C$119)+Inputs!$C$120*MAX(0,Y292-Inputs!$C$119)),0)</f>
        <v>1592772.0822750703</v>
      </c>
      <c r="Z294" s="23">
        <f>IF(Z292&gt;0,MIN(Z293,MIN(Z292,Inputs!$C$119)+Inputs!$C$120*MAX(0,Z292-Inputs!$C$119)),0)</f>
        <v>1503666.0578637198</v>
      </c>
      <c r="AA294" s="23">
        <f>IF(AA292&gt;0,MIN(AA293,MIN(AA292,Inputs!$C$119)+Inputs!$C$120*MAX(0,AA292-Inputs!$C$119)),0)</f>
        <v>1828686.9424259234</v>
      </c>
      <c r="AB294" s="23">
        <f>IF(AB292&gt;0,MIN(AB293,MIN(AB292,Inputs!$C$119)+Inputs!$C$120*MAX(0,AB292-Inputs!$C$119)),0)</f>
        <v>2980599.3733239267</v>
      </c>
      <c r="AC294" s="23">
        <f>IF(AC292&gt;0,MIN(AC293,MIN(AC292,Inputs!$C$119)+Inputs!$C$120*MAX(0,AC292-Inputs!$C$119)),0)</f>
        <v>3015546.495126376</v>
      </c>
      <c r="AD294" s="23">
        <f>IF(AD292&gt;0,MIN(AD293,MIN(AD292,Inputs!$C$119)+Inputs!$C$120*MAX(0,AD292-Inputs!$C$119)),0)</f>
        <v>3008693.746255691</v>
      </c>
      <c r="AE294" s="23">
        <f>IF(AE292&gt;0,MIN(AE293,MIN(AE292,Inputs!$C$119)+Inputs!$C$120*MAX(0,AE292-Inputs!$C$119)),0)</f>
        <v>1744656.5590395425</v>
      </c>
    </row>
    <row r="295">
      <c r="A295" s="6" t="inlineStr">
        <is>
          <t xml:space="preserve">Trade loss carry-forward at the year end</t>
        </is>
      </c>
      <c r="B295" s="10" t="inlineStr">
        <is>
          <t xml:space="preserve">€</t>
        </is>
      </c>
      <c r="F295" s="23">
        <f>F293-F294+MAX(0,-F292)</f>
        <v>769023.9491717867</v>
      </c>
      <c r="G295" s="23">
        <f>G293-G294+MAX(0,-G292)</f>
        <v>2303303.4253288144</v>
      </c>
      <c r="H295" s="23">
        <f>H293-H294+MAX(0,-H292)</f>
        <v>3850436.1207958525</v>
      </c>
      <c r="I295" s="23">
        <f>I293-I294+MAX(0,-I292)</f>
        <v>5380701.058813204</v>
      </c>
      <c r="J295" s="23">
        <f>J293-J294+MAX(0,-J292)</f>
        <v>6894936.432645214</v>
      </c>
      <c r="K295" s="23">
        <f>K293-K294+MAX(0,-K292)</f>
        <v>8393792.884929352</v>
      </c>
      <c r="L295" s="23">
        <f>L293-L294+MAX(0,-L292)</f>
        <v>9878193.761020042</v>
      </c>
      <c r="M295" s="23">
        <f>M293-M294+MAX(0,-M292)</f>
        <v>11349043.344524046</v>
      </c>
      <c r="N295" s="23">
        <f>N293-N294+MAX(0,-N292)</f>
        <v>12807430.31998701</v>
      </c>
      <c r="O295" s="23">
        <f>O293-O294+MAX(0,-O292)</f>
        <v>14254138.434756031</v>
      </c>
      <c r="P295" s="23">
        <f>P293-P294+MAX(0,-P292)</f>
        <v>15814421.259769337</v>
      </c>
      <c r="Q295" s="23">
        <f>Q293-Q294+MAX(0,-Q292)</f>
        <v>17372871.627068076</v>
      </c>
      <c r="R295" s="23">
        <f>R293-R294+MAX(0,-R292)</f>
        <v>18934736.30535749</v>
      </c>
      <c r="S295" s="23">
        <f>S293-S294+MAX(0,-S292)</f>
        <v>20501181.526526008</v>
      </c>
      <c r="T295" s="23">
        <f>T293-T294+MAX(0,-T292)</f>
        <v>22074016.346660372</v>
      </c>
      <c r="U295" s="23">
        <f>U293-U294+MAX(0,-U292)</f>
        <v>23654978.57215752</v>
      </c>
      <c r="V295" s="23">
        <f>V293-V294+MAX(0,-V292)</f>
        <v>23426457.10901383</v>
      </c>
      <c r="W295" s="23">
        <f>W293-W294+MAX(0,-W292)</f>
        <v>21804501.979473196</v>
      </c>
      <c r="X295" s="23">
        <f>X293-X294+MAX(0,-X292)</f>
        <v>20190984.428548902</v>
      </c>
      <c r="Y295" s="23">
        <f>Y293-Y294+MAX(0,-Y292)</f>
        <v>18598212.346273832</v>
      </c>
      <c r="Z295" s="23">
        <f>Z293-Z294+MAX(0,-Z292)</f>
        <v>17094546.288410112</v>
      </c>
      <c r="AA295" s="23">
        <f>AA293-AA294+MAX(0,-AA292)</f>
        <v>15265859.345984189</v>
      </c>
      <c r="AB295" s="23">
        <f>AB293-AB294+MAX(0,-AB292)</f>
        <v>12285259.972660262</v>
      </c>
      <c r="AC295" s="23">
        <f>AC293-AC294+MAX(0,-AC292)</f>
        <v>9269713.477533886</v>
      </c>
      <c r="AD295" s="23">
        <f>AD293-AD294+MAX(0,-AD292)</f>
        <v>6261019.731278195</v>
      </c>
      <c r="AE295" s="23">
        <f>AE293-AE294+MAX(0,-AE292)</f>
        <v>4516363.172238653</v>
      </c>
    </row>
    <row r="296">
      <c r="A296" s="6" t="inlineStr">
        <is>
          <t xml:space="preserve">Trade tax base (rounded down to €100; KG allowance)</t>
        </is>
      </c>
      <c r="B296" s="10" t="inlineStr">
        <is>
          <t xml:space="preserve">€</t>
        </is>
      </c>
      <c r="F296" s="23">
        <f>IF(Inputs!$C$91="KG",MAX(0,ROUNDDOWN(MAX(0,F292-F294)/100,0)*100-Inputs!$C$115),ROUNDDOWN(MAX(0,F292-F294)/100,0)*100)</f>
        <v>0</v>
      </c>
      <c r="G296" s="23">
        <f>IF(Inputs!$C$91="KG",MAX(0,ROUNDDOWN(MAX(0,G292-G294)/100,0)*100-Inputs!$C$115),ROUNDDOWN(MAX(0,G292-G294)/100,0)*100)</f>
        <v>0</v>
      </c>
      <c r="H296" s="23">
        <f>IF(Inputs!$C$91="KG",MAX(0,ROUNDDOWN(MAX(0,H292-H294)/100,0)*100-Inputs!$C$115),ROUNDDOWN(MAX(0,H292-H294)/100,0)*100)</f>
        <v>0</v>
      </c>
      <c r="I296" s="23">
        <f>IF(Inputs!$C$91="KG",MAX(0,ROUNDDOWN(MAX(0,I292-I294)/100,0)*100-Inputs!$C$115),ROUNDDOWN(MAX(0,I292-I294)/100,0)*100)</f>
        <v>0</v>
      </c>
      <c r="J296" s="23">
        <f>IF(Inputs!$C$91="KG",MAX(0,ROUNDDOWN(MAX(0,J292-J294)/100,0)*100-Inputs!$C$115),ROUNDDOWN(MAX(0,J292-J294)/100,0)*100)</f>
        <v>0</v>
      </c>
      <c r="K296" s="23">
        <f>IF(Inputs!$C$91="KG",MAX(0,ROUNDDOWN(MAX(0,K292-K294)/100,0)*100-Inputs!$C$115),ROUNDDOWN(MAX(0,K292-K294)/100,0)*100)</f>
        <v>0</v>
      </c>
      <c r="L296" s="23">
        <f>IF(Inputs!$C$91="KG",MAX(0,ROUNDDOWN(MAX(0,L292-L294)/100,0)*100-Inputs!$C$115),ROUNDDOWN(MAX(0,L292-L294)/100,0)*100)</f>
        <v>0</v>
      </c>
      <c r="M296" s="23">
        <f>IF(Inputs!$C$91="KG",MAX(0,ROUNDDOWN(MAX(0,M292-M294)/100,0)*100-Inputs!$C$115),ROUNDDOWN(MAX(0,M292-M294)/100,0)*100)</f>
        <v>0</v>
      </c>
      <c r="N296" s="23">
        <f>IF(Inputs!$C$91="KG",MAX(0,ROUNDDOWN(MAX(0,N292-N294)/100,0)*100-Inputs!$C$115),ROUNDDOWN(MAX(0,N292-N294)/100,0)*100)</f>
        <v>0</v>
      </c>
      <c r="O296" s="23">
        <f>IF(Inputs!$C$91="KG",MAX(0,ROUNDDOWN(MAX(0,O292-O294)/100,0)*100-Inputs!$C$115),ROUNDDOWN(MAX(0,O292-O294)/100,0)*100)</f>
        <v>0</v>
      </c>
      <c r="P296" s="23">
        <f>IF(Inputs!$C$91="KG",MAX(0,ROUNDDOWN(MAX(0,P292-P294)/100,0)*100-Inputs!$C$115),ROUNDDOWN(MAX(0,P292-P294)/100,0)*100)</f>
        <v>0</v>
      </c>
      <c r="Q296" s="23">
        <f>IF(Inputs!$C$91="KG",MAX(0,ROUNDDOWN(MAX(0,Q292-Q294)/100,0)*100-Inputs!$C$115),ROUNDDOWN(MAX(0,Q292-Q294)/100,0)*100)</f>
        <v>0</v>
      </c>
      <c r="R296" s="23">
        <f>IF(Inputs!$C$91="KG",MAX(0,ROUNDDOWN(MAX(0,R292-R294)/100,0)*100-Inputs!$C$115),ROUNDDOWN(MAX(0,R292-R294)/100,0)*100)</f>
        <v>0</v>
      </c>
      <c r="S296" s="23">
        <f>IF(Inputs!$C$91="KG",MAX(0,ROUNDDOWN(MAX(0,S292-S294)/100,0)*100-Inputs!$C$115),ROUNDDOWN(MAX(0,S292-S294)/100,0)*100)</f>
        <v>0</v>
      </c>
      <c r="T296" s="23">
        <f>IF(Inputs!$C$91="KG",MAX(0,ROUNDDOWN(MAX(0,T292-T294)/100,0)*100-Inputs!$C$115),ROUNDDOWN(MAX(0,T292-T294)/100,0)*100)</f>
        <v>0</v>
      </c>
      <c r="U296" s="23">
        <f>IF(Inputs!$C$91="KG",MAX(0,ROUNDDOWN(MAX(0,U292-U294)/100,0)*100-Inputs!$C$115),ROUNDDOWN(MAX(0,U292-U294)/100,0)*100)</f>
        <v>0</v>
      </c>
      <c r="V296" s="23">
        <f>IF(Inputs!$C$91="KG",MAX(0,ROUNDDOWN(MAX(0,V292-V294)/100,0)*100-Inputs!$C$115),ROUNDDOWN(MAX(0,V292-V294)/100,0)*100)</f>
        <v>0</v>
      </c>
      <c r="W296" s="23">
        <f>IF(Inputs!$C$91="KG",MAX(0,ROUNDDOWN(MAX(0,W292-W294)/100,0)*100-Inputs!$C$115),ROUNDDOWN(MAX(0,W292-W294)/100,0)*100)</f>
        <v>390100</v>
      </c>
      <c r="X296" s="23">
        <f>IF(Inputs!$C$91="KG",MAX(0,ROUNDDOWN(MAX(0,X292-X294)/100,0)*100-Inputs!$C$115),ROUNDDOWN(MAX(0,X292-X294)/100,0)*100)</f>
        <v>384500</v>
      </c>
      <c r="Y296" s="23">
        <f>IF(Inputs!$C$91="KG",MAX(0,ROUNDDOWN(MAX(0,Y292-Y294)/100,0)*100-Inputs!$C$115),ROUNDDOWN(MAX(0,Y292-Y294)/100,0)*100)</f>
        <v>370600</v>
      </c>
      <c r="Z296" s="23">
        <f>IF(Inputs!$C$91="KG",MAX(0,ROUNDDOWN(MAX(0,Z292-Z294)/100,0)*100-Inputs!$C$115),ROUNDDOWN(MAX(0,Z292-Z294)/100,0)*100)</f>
        <v>311200</v>
      </c>
      <c r="AA296" s="23">
        <f>IF(Inputs!$C$91="KG",MAX(0,ROUNDDOWN(MAX(0,AA292-AA294)/100,0)*100-Inputs!$C$115),ROUNDDOWN(MAX(0,AA292-AA294)/100,0)*100)</f>
        <v>527900</v>
      </c>
      <c r="AB296" s="23">
        <f>IF(Inputs!$C$91="KG",MAX(0,ROUNDDOWN(MAX(0,AB292-AB294)/100,0)*100-Inputs!$C$115),ROUNDDOWN(MAX(0,AB292-AB294)/100,0)*100)</f>
        <v>1295800</v>
      </c>
      <c r="AC296" s="23">
        <f>IF(Inputs!$C$91="KG",MAX(0,ROUNDDOWN(MAX(0,AC292-AC294)/100,0)*100-Inputs!$C$115),ROUNDDOWN(MAX(0,AC292-AC294)/100,0)*100)</f>
        <v>1319100</v>
      </c>
      <c r="AD296" s="23">
        <f>IF(Inputs!$C$91="KG",MAX(0,ROUNDDOWN(MAX(0,AD292-AD294)/100,0)*100-Inputs!$C$115),ROUNDDOWN(MAX(0,AD292-AD294)/100,0)*100)</f>
        <v>1314600</v>
      </c>
      <c r="AE296" s="23">
        <f>IF(Inputs!$C$91="KG",MAX(0,ROUNDDOWN(MAX(0,AE292-AE294)/100,0)*100-Inputs!$C$115),ROUNDDOWN(MAX(0,AE292-AE294)/100,0)*100)</f>
        <v>471900</v>
      </c>
    </row>
    <row r="297">
      <c r="A297" s="6" t="inlineStr">
        <is>
          <t xml:space="preserve">Trade tax</t>
        </is>
      </c>
      <c r="B297" s="10" t="inlineStr">
        <is>
          <t xml:space="preserve">€</t>
        </is>
      </c>
      <c r="F297" s="23">
        <f>F296*Inputs!$C$114*Inputs!$C$92</f>
        <v>0</v>
      </c>
      <c r="G297" s="23">
        <f>G296*Inputs!$C$114*Inputs!$C$92</f>
        <v>0</v>
      </c>
      <c r="H297" s="23">
        <f>H296*Inputs!$C$114*Inputs!$C$92</f>
        <v>0</v>
      </c>
      <c r="I297" s="23">
        <f>I296*Inputs!$C$114*Inputs!$C$92</f>
        <v>0</v>
      </c>
      <c r="J297" s="23">
        <f>J296*Inputs!$C$114*Inputs!$C$92</f>
        <v>0</v>
      </c>
      <c r="K297" s="23">
        <f>K296*Inputs!$C$114*Inputs!$C$92</f>
        <v>0</v>
      </c>
      <c r="L297" s="23">
        <f>L296*Inputs!$C$114*Inputs!$C$92</f>
        <v>0</v>
      </c>
      <c r="M297" s="23">
        <f>M296*Inputs!$C$114*Inputs!$C$92</f>
        <v>0</v>
      </c>
      <c r="N297" s="23">
        <f>N296*Inputs!$C$114*Inputs!$C$92</f>
        <v>0</v>
      </c>
      <c r="O297" s="23">
        <f>O296*Inputs!$C$114*Inputs!$C$92</f>
        <v>0</v>
      </c>
      <c r="P297" s="23">
        <f>P296*Inputs!$C$114*Inputs!$C$92</f>
        <v>0</v>
      </c>
      <c r="Q297" s="23">
        <f>Q296*Inputs!$C$114*Inputs!$C$92</f>
        <v>0</v>
      </c>
      <c r="R297" s="23">
        <f>R296*Inputs!$C$114*Inputs!$C$92</f>
        <v>0</v>
      </c>
      <c r="S297" s="23">
        <f>S296*Inputs!$C$114*Inputs!$C$92</f>
        <v>0</v>
      </c>
      <c r="T297" s="23">
        <f>T296*Inputs!$C$114*Inputs!$C$92</f>
        <v>0</v>
      </c>
      <c r="U297" s="23">
        <f>U296*Inputs!$C$114*Inputs!$C$92</f>
        <v>0</v>
      </c>
      <c r="V297" s="23">
        <f>V296*Inputs!$C$114*Inputs!$C$92</f>
        <v>0</v>
      </c>
      <c r="W297" s="23">
        <f>W296*Inputs!$C$114*Inputs!$C$92</f>
        <v>54614.00000000001</v>
      </c>
      <c r="X297" s="23">
        <f>X296*Inputs!$C$114*Inputs!$C$92</f>
        <v>53830.00000000001</v>
      </c>
      <c r="Y297" s="23">
        <f>Y296*Inputs!$C$114*Inputs!$C$92</f>
        <v>51884.00000000001</v>
      </c>
      <c r="Z297" s="23">
        <f>Z296*Inputs!$C$114*Inputs!$C$92</f>
        <v>43568.00000000001</v>
      </c>
      <c r="AA297" s="23">
        <f>AA296*Inputs!$C$114*Inputs!$C$92</f>
        <v>73906</v>
      </c>
      <c r="AB297" s="23">
        <f>AB296*Inputs!$C$114*Inputs!$C$92</f>
        <v>181412.00000000003</v>
      </c>
      <c r="AC297" s="23">
        <f>AC296*Inputs!$C$114*Inputs!$C$92</f>
        <v>184674.00000000003</v>
      </c>
      <c r="AD297" s="23">
        <f>AD296*Inputs!$C$114*Inputs!$C$92</f>
        <v>184044.00000000003</v>
      </c>
      <c r="AE297" s="23">
        <f>AE296*Inputs!$C$114*Inputs!$C$92</f>
        <v>66066</v>
      </c>
    </row>
    <row r="298">
      <c r="A298" s="6" t="inlineStr">
        <is>
          <t xml:space="preserve">Corporate loss carry-forward at the start (GmbH)</t>
        </is>
      </c>
      <c r="B298" s="10" t="inlineStr">
        <is>
          <t xml:space="preserve">€</t>
        </is>
      </c>
      <c r="E298" s="9">
        <v>0</v>
      </c>
      <c r="F298" s="23">
        <f>E301</f>
        <v>0</v>
      </c>
      <c r="G298" s="23">
        <f>F301</f>
        <v>0</v>
      </c>
      <c r="H298" s="23">
        <f>G301</f>
        <v>0</v>
      </c>
      <c r="I298" s="23">
        <f>H301</f>
        <v>0</v>
      </c>
      <c r="J298" s="23">
        <f>I301</f>
        <v>0</v>
      </c>
      <c r="K298" s="23">
        <f>J301</f>
        <v>0</v>
      </c>
      <c r="L298" s="23">
        <f>K301</f>
        <v>0</v>
      </c>
      <c r="M298" s="23">
        <f>L301</f>
        <v>0</v>
      </c>
      <c r="N298" s="23">
        <f>M301</f>
        <v>0</v>
      </c>
      <c r="O298" s="23">
        <f>N301</f>
        <v>0</v>
      </c>
      <c r="P298" s="23">
        <f>O301</f>
        <v>0</v>
      </c>
      <c r="Q298" s="23">
        <f>P301</f>
        <v>0</v>
      </c>
      <c r="R298" s="23">
        <f>Q301</f>
        <v>0</v>
      </c>
      <c r="S298" s="23">
        <f>R301</f>
        <v>0</v>
      </c>
      <c r="T298" s="23">
        <f>S301</f>
        <v>0</v>
      </c>
      <c r="U298" s="23">
        <f>T301</f>
        <v>0</v>
      </c>
      <c r="V298" s="23">
        <f>U301</f>
        <v>0</v>
      </c>
      <c r="W298" s="23">
        <f>V301</f>
        <v>0</v>
      </c>
      <c r="X298" s="23">
        <f>W301</f>
        <v>0</v>
      </c>
      <c r="Y298" s="23">
        <f>X301</f>
        <v>0</v>
      </c>
      <c r="Z298" s="23">
        <f>Y301</f>
        <v>0</v>
      </c>
      <c r="AA298" s="23">
        <f>Z301</f>
        <v>0</v>
      </c>
      <c r="AB298" s="23">
        <f>AA301</f>
        <v>0</v>
      </c>
      <c r="AC298" s="23">
        <f>AB301</f>
        <v>0</v>
      </c>
      <c r="AD298" s="23">
        <f>AC301</f>
        <v>0</v>
      </c>
      <c r="AE298" s="23">
        <f>AD301</f>
        <v>0</v>
      </c>
    </row>
    <row r="299">
      <c r="A299" s="6" t="inlineStr">
        <is>
          <t xml:space="preserve">Corporate tax: share of profit above €1m that losses may offset</t>
        </is>
      </c>
      <c r="F299" s="24">
        <f>IF(Timing!F59&lt;=Inputs!$C$123,Inputs!$C$121,Inputs!$C$122)</f>
        <v>0.6</v>
      </c>
      <c r="G299" s="24">
        <f>IF(Timing!G59&lt;=Inputs!$C$123,Inputs!$C$121,Inputs!$C$122)</f>
        <v>0.6</v>
      </c>
      <c r="H299" s="24">
        <f>IF(Timing!H59&lt;=Inputs!$C$123,Inputs!$C$121,Inputs!$C$122)</f>
        <v>0.6</v>
      </c>
      <c r="I299" s="24">
        <f>IF(Timing!I59&lt;=Inputs!$C$123,Inputs!$C$121,Inputs!$C$122)</f>
        <v>0.6</v>
      </c>
      <c r="J299" s="24">
        <f>IF(Timing!J59&lt;=Inputs!$C$123,Inputs!$C$121,Inputs!$C$122)</f>
        <v>0.6</v>
      </c>
      <c r="K299" s="24">
        <f>IF(Timing!K59&lt;=Inputs!$C$123,Inputs!$C$121,Inputs!$C$122)</f>
        <v>0.6</v>
      </c>
      <c r="L299" s="24">
        <f>IF(Timing!L59&lt;=Inputs!$C$123,Inputs!$C$121,Inputs!$C$122)</f>
        <v>0.6</v>
      </c>
      <c r="M299" s="24">
        <f>IF(Timing!M59&lt;=Inputs!$C$123,Inputs!$C$121,Inputs!$C$122)</f>
        <v>0.6</v>
      </c>
      <c r="N299" s="24">
        <f>IF(Timing!N59&lt;=Inputs!$C$123,Inputs!$C$121,Inputs!$C$122)</f>
        <v>0.6</v>
      </c>
      <c r="O299" s="24">
        <f>IF(Timing!O59&lt;=Inputs!$C$123,Inputs!$C$121,Inputs!$C$122)</f>
        <v>0.6</v>
      </c>
      <c r="P299" s="24">
        <f>IF(Timing!P59&lt;=Inputs!$C$123,Inputs!$C$121,Inputs!$C$122)</f>
        <v>0.6</v>
      </c>
      <c r="Q299" s="24">
        <f>IF(Timing!Q59&lt;=Inputs!$C$123,Inputs!$C$121,Inputs!$C$122)</f>
        <v>0.6</v>
      </c>
      <c r="R299" s="24">
        <f>IF(Timing!R59&lt;=Inputs!$C$123,Inputs!$C$121,Inputs!$C$122)</f>
        <v>0.6</v>
      </c>
      <c r="S299" s="24">
        <f>IF(Timing!S59&lt;=Inputs!$C$123,Inputs!$C$121,Inputs!$C$122)</f>
        <v>0.6</v>
      </c>
      <c r="T299" s="24">
        <f>IF(Timing!T59&lt;=Inputs!$C$123,Inputs!$C$121,Inputs!$C$122)</f>
        <v>0.6</v>
      </c>
      <c r="U299" s="24">
        <f>IF(Timing!U59&lt;=Inputs!$C$123,Inputs!$C$121,Inputs!$C$122)</f>
        <v>0.6</v>
      </c>
      <c r="V299" s="24">
        <f>IF(Timing!V59&lt;=Inputs!$C$123,Inputs!$C$121,Inputs!$C$122)</f>
        <v>0.6</v>
      </c>
      <c r="W299" s="24">
        <f>IF(Timing!W59&lt;=Inputs!$C$123,Inputs!$C$121,Inputs!$C$122)</f>
        <v>0.6</v>
      </c>
      <c r="X299" s="24">
        <f>IF(Timing!X59&lt;=Inputs!$C$123,Inputs!$C$121,Inputs!$C$122)</f>
        <v>0.6</v>
      </c>
      <c r="Y299" s="24">
        <f>IF(Timing!Y59&lt;=Inputs!$C$123,Inputs!$C$121,Inputs!$C$122)</f>
        <v>0.6</v>
      </c>
      <c r="Z299" s="24">
        <f>IF(Timing!Z59&lt;=Inputs!$C$123,Inputs!$C$121,Inputs!$C$122)</f>
        <v>0.6</v>
      </c>
      <c r="AA299" s="24">
        <f>IF(Timing!AA59&lt;=Inputs!$C$123,Inputs!$C$121,Inputs!$C$122)</f>
        <v>0.6</v>
      </c>
      <c r="AB299" s="24">
        <f>IF(Timing!AB59&lt;=Inputs!$C$123,Inputs!$C$121,Inputs!$C$122)</f>
        <v>0.6</v>
      </c>
      <c r="AC299" s="24">
        <f>IF(Timing!AC59&lt;=Inputs!$C$123,Inputs!$C$121,Inputs!$C$122)</f>
        <v>0.6</v>
      </c>
      <c r="AD299" s="24">
        <f>IF(Timing!AD59&lt;=Inputs!$C$123,Inputs!$C$121,Inputs!$C$122)</f>
        <v>0.6</v>
      </c>
      <c r="AE299" s="24">
        <f>IF(Timing!AE59&lt;=Inputs!$C$123,Inputs!$C$121,Inputs!$C$122)</f>
        <v>0.6</v>
      </c>
    </row>
    <row r="300">
      <c r="A300" s="6" t="inlineStr">
        <is>
          <t xml:space="preserve">Corporate losses used</t>
        </is>
      </c>
      <c r="B300" s="10" t="inlineStr">
        <is>
          <t xml:space="preserve">€</t>
        </is>
      </c>
      <c r="F300" s="23">
        <f>IF(AND(Inputs!$C$91="GmbH",F290&gt;0),MIN(F298,MIN(F290,Inputs!$C$119)+F299*MAX(0,F290-Inputs!$C$119)),0)</f>
        <v>0</v>
      </c>
      <c r="G300" s="23">
        <f>IF(AND(Inputs!$C$91="GmbH",G290&gt;0),MIN(G298,MIN(G290,Inputs!$C$119)+G299*MAX(0,G290-Inputs!$C$119)),0)</f>
        <v>0</v>
      </c>
      <c r="H300" s="23">
        <f>IF(AND(Inputs!$C$91="GmbH",H290&gt;0),MIN(H298,MIN(H290,Inputs!$C$119)+H299*MAX(0,H290-Inputs!$C$119)),0)</f>
        <v>0</v>
      </c>
      <c r="I300" s="23">
        <f>IF(AND(Inputs!$C$91="GmbH",I290&gt;0),MIN(I298,MIN(I290,Inputs!$C$119)+I299*MAX(0,I290-Inputs!$C$119)),0)</f>
        <v>0</v>
      </c>
      <c r="J300" s="23">
        <f>IF(AND(Inputs!$C$91="GmbH",J290&gt;0),MIN(J298,MIN(J290,Inputs!$C$119)+J299*MAX(0,J290-Inputs!$C$119)),0)</f>
        <v>0</v>
      </c>
      <c r="K300" s="23">
        <f>IF(AND(Inputs!$C$91="GmbH",K290&gt;0),MIN(K298,MIN(K290,Inputs!$C$119)+K299*MAX(0,K290-Inputs!$C$119)),0)</f>
        <v>0</v>
      </c>
      <c r="L300" s="23">
        <f>IF(AND(Inputs!$C$91="GmbH",L290&gt;0),MIN(L298,MIN(L290,Inputs!$C$119)+L299*MAX(0,L290-Inputs!$C$119)),0)</f>
        <v>0</v>
      </c>
      <c r="M300" s="23">
        <f>IF(AND(Inputs!$C$91="GmbH",M290&gt;0),MIN(M298,MIN(M290,Inputs!$C$119)+M299*MAX(0,M290-Inputs!$C$119)),0)</f>
        <v>0</v>
      </c>
      <c r="N300" s="23">
        <f>IF(AND(Inputs!$C$91="GmbH",N290&gt;0),MIN(N298,MIN(N290,Inputs!$C$119)+N299*MAX(0,N290-Inputs!$C$119)),0)</f>
        <v>0</v>
      </c>
      <c r="O300" s="23">
        <f>IF(AND(Inputs!$C$91="GmbH",O290&gt;0),MIN(O298,MIN(O290,Inputs!$C$119)+O299*MAX(0,O290-Inputs!$C$119)),0)</f>
        <v>0</v>
      </c>
      <c r="P300" s="23">
        <f>IF(AND(Inputs!$C$91="GmbH",P290&gt;0),MIN(P298,MIN(P290,Inputs!$C$119)+P299*MAX(0,P290-Inputs!$C$119)),0)</f>
        <v>0</v>
      </c>
      <c r="Q300" s="23">
        <f>IF(AND(Inputs!$C$91="GmbH",Q290&gt;0),MIN(Q298,MIN(Q290,Inputs!$C$119)+Q299*MAX(0,Q290-Inputs!$C$119)),0)</f>
        <v>0</v>
      </c>
      <c r="R300" s="23">
        <f>IF(AND(Inputs!$C$91="GmbH",R290&gt;0),MIN(R298,MIN(R290,Inputs!$C$119)+R299*MAX(0,R290-Inputs!$C$119)),0)</f>
        <v>0</v>
      </c>
      <c r="S300" s="23">
        <f>IF(AND(Inputs!$C$91="GmbH",S290&gt;0),MIN(S298,MIN(S290,Inputs!$C$119)+S299*MAX(0,S290-Inputs!$C$119)),0)</f>
        <v>0</v>
      </c>
      <c r="T300" s="23">
        <f>IF(AND(Inputs!$C$91="GmbH",T290&gt;0),MIN(T298,MIN(T290,Inputs!$C$119)+T299*MAX(0,T290-Inputs!$C$119)),0)</f>
        <v>0</v>
      </c>
      <c r="U300" s="23">
        <f>IF(AND(Inputs!$C$91="GmbH",U290&gt;0),MIN(U298,MIN(U290,Inputs!$C$119)+U299*MAX(0,U290-Inputs!$C$119)),0)</f>
        <v>0</v>
      </c>
      <c r="V300" s="23">
        <f>IF(AND(Inputs!$C$91="GmbH",V290&gt;0),MIN(V298,MIN(V290,Inputs!$C$119)+V299*MAX(0,V290-Inputs!$C$119)),0)</f>
        <v>0</v>
      </c>
      <c r="W300" s="23">
        <f>IF(AND(Inputs!$C$91="GmbH",W290&gt;0),MIN(W298,MIN(W290,Inputs!$C$119)+W299*MAX(0,W290-Inputs!$C$119)),0)</f>
        <v>0</v>
      </c>
      <c r="X300" s="23">
        <f>IF(AND(Inputs!$C$91="GmbH",X290&gt;0),MIN(X298,MIN(X290,Inputs!$C$119)+X299*MAX(0,X290-Inputs!$C$119)),0)</f>
        <v>0</v>
      </c>
      <c r="Y300" s="23">
        <f>IF(AND(Inputs!$C$91="GmbH",Y290&gt;0),MIN(Y298,MIN(Y290,Inputs!$C$119)+Y299*MAX(0,Y290-Inputs!$C$119)),0)</f>
        <v>0</v>
      </c>
      <c r="Z300" s="23">
        <f>IF(AND(Inputs!$C$91="GmbH",Z290&gt;0),MIN(Z298,MIN(Z290,Inputs!$C$119)+Z299*MAX(0,Z290-Inputs!$C$119)),0)</f>
        <v>0</v>
      </c>
      <c r="AA300" s="23">
        <f>IF(AND(Inputs!$C$91="GmbH",AA290&gt;0),MIN(AA298,MIN(AA290,Inputs!$C$119)+AA299*MAX(0,AA290-Inputs!$C$119)),0)</f>
        <v>0</v>
      </c>
      <c r="AB300" s="23">
        <f>IF(AND(Inputs!$C$91="GmbH",AB290&gt;0),MIN(AB298,MIN(AB290,Inputs!$C$119)+AB299*MAX(0,AB290-Inputs!$C$119)),0)</f>
        <v>0</v>
      </c>
      <c r="AC300" s="23">
        <f>IF(AND(Inputs!$C$91="GmbH",AC290&gt;0),MIN(AC298,MIN(AC290,Inputs!$C$119)+AC299*MAX(0,AC290-Inputs!$C$119)),0)</f>
        <v>0</v>
      </c>
      <c r="AD300" s="23">
        <f>IF(AND(Inputs!$C$91="GmbH",AD290&gt;0),MIN(AD298,MIN(AD290,Inputs!$C$119)+AD299*MAX(0,AD290-Inputs!$C$119)),0)</f>
        <v>0</v>
      </c>
      <c r="AE300" s="23">
        <f>IF(AND(Inputs!$C$91="GmbH",AE290&gt;0),MIN(AE298,MIN(AE290,Inputs!$C$119)+AE299*MAX(0,AE290-Inputs!$C$119)),0)</f>
        <v>0</v>
      </c>
    </row>
    <row r="301">
      <c r="A301" s="6" t="inlineStr">
        <is>
          <t xml:space="preserve">Corporate loss carry-forward at the year end</t>
        </is>
      </c>
      <c r="B301" s="10" t="inlineStr">
        <is>
          <t xml:space="preserve">€</t>
        </is>
      </c>
      <c r="F301" s="23">
        <f>IF(Inputs!$C$91="GmbH",F298-F300+MAX(0,-F290),0)</f>
        <v>0</v>
      </c>
      <c r="G301" s="23">
        <f>IF(Inputs!$C$91="GmbH",G298-G300+MAX(0,-G290),0)</f>
        <v>0</v>
      </c>
      <c r="H301" s="23">
        <f>IF(Inputs!$C$91="GmbH",H298-H300+MAX(0,-H290),0)</f>
        <v>0</v>
      </c>
      <c r="I301" s="23">
        <f>IF(Inputs!$C$91="GmbH",I298-I300+MAX(0,-I290),0)</f>
        <v>0</v>
      </c>
      <c r="J301" s="23">
        <f>IF(Inputs!$C$91="GmbH",J298-J300+MAX(0,-J290),0)</f>
        <v>0</v>
      </c>
      <c r="K301" s="23">
        <f>IF(Inputs!$C$91="GmbH",K298-K300+MAX(0,-K290),0)</f>
        <v>0</v>
      </c>
      <c r="L301" s="23">
        <f>IF(Inputs!$C$91="GmbH",L298-L300+MAX(0,-L290),0)</f>
        <v>0</v>
      </c>
      <c r="M301" s="23">
        <f>IF(Inputs!$C$91="GmbH",M298-M300+MAX(0,-M290),0)</f>
        <v>0</v>
      </c>
      <c r="N301" s="23">
        <f>IF(Inputs!$C$91="GmbH",N298-N300+MAX(0,-N290),0)</f>
        <v>0</v>
      </c>
      <c r="O301" s="23">
        <f>IF(Inputs!$C$91="GmbH",O298-O300+MAX(0,-O290),0)</f>
        <v>0</v>
      </c>
      <c r="P301" s="23">
        <f>IF(Inputs!$C$91="GmbH",P298-P300+MAX(0,-P290),0)</f>
        <v>0</v>
      </c>
      <c r="Q301" s="23">
        <f>IF(Inputs!$C$91="GmbH",Q298-Q300+MAX(0,-Q290),0)</f>
        <v>0</v>
      </c>
      <c r="R301" s="23">
        <f>IF(Inputs!$C$91="GmbH",R298-R300+MAX(0,-R290),0)</f>
        <v>0</v>
      </c>
      <c r="S301" s="23">
        <f>IF(Inputs!$C$91="GmbH",S298-S300+MAX(0,-S290),0)</f>
        <v>0</v>
      </c>
      <c r="T301" s="23">
        <f>IF(Inputs!$C$91="GmbH",T298-T300+MAX(0,-T290),0)</f>
        <v>0</v>
      </c>
      <c r="U301" s="23">
        <f>IF(Inputs!$C$91="GmbH",U298-U300+MAX(0,-U290),0)</f>
        <v>0</v>
      </c>
      <c r="V301" s="23">
        <f>IF(Inputs!$C$91="GmbH",V298-V300+MAX(0,-V290),0)</f>
        <v>0</v>
      </c>
      <c r="W301" s="23">
        <f>IF(Inputs!$C$91="GmbH",W298-W300+MAX(0,-W290),0)</f>
        <v>0</v>
      </c>
      <c r="X301" s="23">
        <f>IF(Inputs!$C$91="GmbH",X298-X300+MAX(0,-X290),0)</f>
        <v>0</v>
      </c>
      <c r="Y301" s="23">
        <f>IF(Inputs!$C$91="GmbH",Y298-Y300+MAX(0,-Y290),0)</f>
        <v>0</v>
      </c>
      <c r="Z301" s="23">
        <f>IF(Inputs!$C$91="GmbH",Z298-Z300+MAX(0,-Z290),0)</f>
        <v>0</v>
      </c>
      <c r="AA301" s="23">
        <f>IF(Inputs!$C$91="GmbH",AA298-AA300+MAX(0,-AA290),0)</f>
        <v>0</v>
      </c>
      <c r="AB301" s="23">
        <f>IF(Inputs!$C$91="GmbH",AB298-AB300+MAX(0,-AB290),0)</f>
        <v>0</v>
      </c>
      <c r="AC301" s="23">
        <f>IF(Inputs!$C$91="GmbH",AC298-AC300+MAX(0,-AC290),0)</f>
        <v>0</v>
      </c>
      <c r="AD301" s="23">
        <f>IF(Inputs!$C$91="GmbH",AD298-AD300+MAX(0,-AD290),0)</f>
        <v>0</v>
      </c>
      <c r="AE301" s="23">
        <f>IF(Inputs!$C$91="GmbH",AE298-AE300+MAX(0,-AE290),0)</f>
        <v>0</v>
      </c>
    </row>
    <row r="302">
      <c r="A302" s="6" t="inlineStr">
        <is>
          <t xml:space="preserve">Corporate taxable income</t>
        </is>
      </c>
      <c r="B302" s="10" t="inlineStr">
        <is>
          <t xml:space="preserve">€</t>
        </is>
      </c>
      <c r="F302" s="23">
        <f>IF(Inputs!$C$91="GmbH",MAX(0,F290-F300),0)</f>
        <v>0</v>
      </c>
      <c r="G302" s="23">
        <f>IF(Inputs!$C$91="GmbH",MAX(0,G290-G300),0)</f>
        <v>0</v>
      </c>
      <c r="H302" s="23">
        <f>IF(Inputs!$C$91="GmbH",MAX(0,H290-H300),0)</f>
        <v>0</v>
      </c>
      <c r="I302" s="23">
        <f>IF(Inputs!$C$91="GmbH",MAX(0,I290-I300),0)</f>
        <v>0</v>
      </c>
      <c r="J302" s="23">
        <f>IF(Inputs!$C$91="GmbH",MAX(0,J290-J300),0)</f>
        <v>0</v>
      </c>
      <c r="K302" s="23">
        <f>IF(Inputs!$C$91="GmbH",MAX(0,K290-K300),0)</f>
        <v>0</v>
      </c>
      <c r="L302" s="23">
        <f>IF(Inputs!$C$91="GmbH",MAX(0,L290-L300),0)</f>
        <v>0</v>
      </c>
      <c r="M302" s="23">
        <f>IF(Inputs!$C$91="GmbH",MAX(0,M290-M300),0)</f>
        <v>0</v>
      </c>
      <c r="N302" s="23">
        <f>IF(Inputs!$C$91="GmbH",MAX(0,N290-N300),0)</f>
        <v>0</v>
      </c>
      <c r="O302" s="23">
        <f>IF(Inputs!$C$91="GmbH",MAX(0,O290-O300),0)</f>
        <v>0</v>
      </c>
      <c r="P302" s="23">
        <f>IF(Inputs!$C$91="GmbH",MAX(0,P290-P300),0)</f>
        <v>0</v>
      </c>
      <c r="Q302" s="23">
        <f>IF(Inputs!$C$91="GmbH",MAX(0,Q290-Q300),0)</f>
        <v>0</v>
      </c>
      <c r="R302" s="23">
        <f>IF(Inputs!$C$91="GmbH",MAX(0,R290-R300),0)</f>
        <v>0</v>
      </c>
      <c r="S302" s="23">
        <f>IF(Inputs!$C$91="GmbH",MAX(0,S290-S300),0)</f>
        <v>0</v>
      </c>
      <c r="T302" s="23">
        <f>IF(Inputs!$C$91="GmbH",MAX(0,T290-T300),0)</f>
        <v>0</v>
      </c>
      <c r="U302" s="23">
        <f>IF(Inputs!$C$91="GmbH",MAX(0,U290-U300),0)</f>
        <v>0</v>
      </c>
      <c r="V302" s="23">
        <f>IF(Inputs!$C$91="GmbH",MAX(0,V290-V300),0)</f>
        <v>0</v>
      </c>
      <c r="W302" s="23">
        <f>IF(Inputs!$C$91="GmbH",MAX(0,W290-W300),0)</f>
        <v>0</v>
      </c>
      <c r="X302" s="23">
        <f>IF(Inputs!$C$91="GmbH",MAX(0,X290-X300),0)</f>
        <v>0</v>
      </c>
      <c r="Y302" s="23">
        <f>IF(Inputs!$C$91="GmbH",MAX(0,Y290-Y300),0)</f>
        <v>0</v>
      </c>
      <c r="Z302" s="23">
        <f>IF(Inputs!$C$91="GmbH",MAX(0,Z290-Z300),0)</f>
        <v>0</v>
      </c>
      <c r="AA302" s="23">
        <f>IF(Inputs!$C$91="GmbH",MAX(0,AA290-AA300),0)</f>
        <v>0</v>
      </c>
      <c r="AB302" s="23">
        <f>IF(Inputs!$C$91="GmbH",MAX(0,AB290-AB300),0)</f>
        <v>0</v>
      </c>
      <c r="AC302" s="23">
        <f>IF(Inputs!$C$91="GmbH",MAX(0,AC290-AC300),0)</f>
        <v>0</v>
      </c>
      <c r="AD302" s="23">
        <f>IF(Inputs!$C$91="GmbH",MAX(0,AD290-AD300),0)</f>
        <v>0</v>
      </c>
      <c r="AE302" s="23">
        <f>IF(Inputs!$C$91="GmbH",MAX(0,AE290-AE300),0)</f>
        <v>0</v>
      </c>
    </row>
    <row r="303">
      <c r="A303" s="6" t="inlineStr">
        <is>
          <t xml:space="preserve">Corporate tax rate (§ 23 KStG)</t>
        </is>
      </c>
      <c r="F303" s="24">
        <f>IF(Inputs!$C$91="GmbH",MAX(Inputs!$C$125,Inputs!$C$124-Inputs!$C$126*MAX(0,Timing!F59-Inputs!$C$127)),0)</f>
        <v>0</v>
      </c>
      <c r="G303" s="24">
        <f>IF(Inputs!$C$91="GmbH",MAX(Inputs!$C$125,Inputs!$C$124-Inputs!$C$126*MAX(0,Timing!G59-Inputs!$C$127)),0)</f>
        <v>0</v>
      </c>
      <c r="H303" s="24">
        <f>IF(Inputs!$C$91="GmbH",MAX(Inputs!$C$125,Inputs!$C$124-Inputs!$C$126*MAX(0,Timing!H59-Inputs!$C$127)),0)</f>
        <v>0</v>
      </c>
      <c r="I303" s="24">
        <f>IF(Inputs!$C$91="GmbH",MAX(Inputs!$C$125,Inputs!$C$124-Inputs!$C$126*MAX(0,Timing!I59-Inputs!$C$127)),0)</f>
        <v>0</v>
      </c>
      <c r="J303" s="24">
        <f>IF(Inputs!$C$91="GmbH",MAX(Inputs!$C$125,Inputs!$C$124-Inputs!$C$126*MAX(0,Timing!J59-Inputs!$C$127)),0)</f>
        <v>0</v>
      </c>
      <c r="K303" s="24">
        <f>IF(Inputs!$C$91="GmbH",MAX(Inputs!$C$125,Inputs!$C$124-Inputs!$C$126*MAX(0,Timing!K59-Inputs!$C$127)),0)</f>
        <v>0</v>
      </c>
      <c r="L303" s="24">
        <f>IF(Inputs!$C$91="GmbH",MAX(Inputs!$C$125,Inputs!$C$124-Inputs!$C$126*MAX(0,Timing!L59-Inputs!$C$127)),0)</f>
        <v>0</v>
      </c>
      <c r="M303" s="24">
        <f>IF(Inputs!$C$91="GmbH",MAX(Inputs!$C$125,Inputs!$C$124-Inputs!$C$126*MAX(0,Timing!M59-Inputs!$C$127)),0)</f>
        <v>0</v>
      </c>
      <c r="N303" s="24">
        <f>IF(Inputs!$C$91="GmbH",MAX(Inputs!$C$125,Inputs!$C$124-Inputs!$C$126*MAX(0,Timing!N59-Inputs!$C$127)),0)</f>
        <v>0</v>
      </c>
      <c r="O303" s="24">
        <f>IF(Inputs!$C$91="GmbH",MAX(Inputs!$C$125,Inputs!$C$124-Inputs!$C$126*MAX(0,Timing!O59-Inputs!$C$127)),0)</f>
        <v>0</v>
      </c>
      <c r="P303" s="24">
        <f>IF(Inputs!$C$91="GmbH",MAX(Inputs!$C$125,Inputs!$C$124-Inputs!$C$126*MAX(0,Timing!P59-Inputs!$C$127)),0)</f>
        <v>0</v>
      </c>
      <c r="Q303" s="24">
        <f>IF(Inputs!$C$91="GmbH",MAX(Inputs!$C$125,Inputs!$C$124-Inputs!$C$126*MAX(0,Timing!Q59-Inputs!$C$127)),0)</f>
        <v>0</v>
      </c>
      <c r="R303" s="24">
        <f>IF(Inputs!$C$91="GmbH",MAX(Inputs!$C$125,Inputs!$C$124-Inputs!$C$126*MAX(0,Timing!R59-Inputs!$C$127)),0)</f>
        <v>0</v>
      </c>
      <c r="S303" s="24">
        <f>IF(Inputs!$C$91="GmbH",MAX(Inputs!$C$125,Inputs!$C$124-Inputs!$C$126*MAX(0,Timing!S59-Inputs!$C$127)),0)</f>
        <v>0</v>
      </c>
      <c r="T303" s="24">
        <f>IF(Inputs!$C$91="GmbH",MAX(Inputs!$C$125,Inputs!$C$124-Inputs!$C$126*MAX(0,Timing!T59-Inputs!$C$127)),0)</f>
        <v>0</v>
      </c>
      <c r="U303" s="24">
        <f>IF(Inputs!$C$91="GmbH",MAX(Inputs!$C$125,Inputs!$C$124-Inputs!$C$126*MAX(0,Timing!U59-Inputs!$C$127)),0)</f>
        <v>0</v>
      </c>
      <c r="V303" s="24">
        <f>IF(Inputs!$C$91="GmbH",MAX(Inputs!$C$125,Inputs!$C$124-Inputs!$C$126*MAX(0,Timing!V59-Inputs!$C$127)),0)</f>
        <v>0</v>
      </c>
      <c r="W303" s="24">
        <f>IF(Inputs!$C$91="GmbH",MAX(Inputs!$C$125,Inputs!$C$124-Inputs!$C$126*MAX(0,Timing!W59-Inputs!$C$127)),0)</f>
        <v>0</v>
      </c>
      <c r="X303" s="24">
        <f>IF(Inputs!$C$91="GmbH",MAX(Inputs!$C$125,Inputs!$C$124-Inputs!$C$126*MAX(0,Timing!X59-Inputs!$C$127)),0)</f>
        <v>0</v>
      </c>
      <c r="Y303" s="24">
        <f>IF(Inputs!$C$91="GmbH",MAX(Inputs!$C$125,Inputs!$C$124-Inputs!$C$126*MAX(0,Timing!Y59-Inputs!$C$127)),0)</f>
        <v>0</v>
      </c>
      <c r="Z303" s="24">
        <f>IF(Inputs!$C$91="GmbH",MAX(Inputs!$C$125,Inputs!$C$124-Inputs!$C$126*MAX(0,Timing!Z59-Inputs!$C$127)),0)</f>
        <v>0</v>
      </c>
      <c r="AA303" s="24">
        <f>IF(Inputs!$C$91="GmbH",MAX(Inputs!$C$125,Inputs!$C$124-Inputs!$C$126*MAX(0,Timing!AA59-Inputs!$C$127)),0)</f>
        <v>0</v>
      </c>
      <c r="AB303" s="24">
        <f>IF(Inputs!$C$91="GmbH",MAX(Inputs!$C$125,Inputs!$C$124-Inputs!$C$126*MAX(0,Timing!AB59-Inputs!$C$127)),0)</f>
        <v>0</v>
      </c>
      <c r="AC303" s="24">
        <f>IF(Inputs!$C$91="GmbH",MAX(Inputs!$C$125,Inputs!$C$124-Inputs!$C$126*MAX(0,Timing!AC59-Inputs!$C$127)),0)</f>
        <v>0</v>
      </c>
      <c r="AD303" s="24">
        <f>IF(Inputs!$C$91="GmbH",MAX(Inputs!$C$125,Inputs!$C$124-Inputs!$C$126*MAX(0,Timing!AD59-Inputs!$C$127)),0)</f>
        <v>0</v>
      </c>
      <c r="AE303" s="24">
        <f>IF(Inputs!$C$91="GmbH",MAX(Inputs!$C$125,Inputs!$C$124-Inputs!$C$126*MAX(0,Timing!AE59-Inputs!$C$127)),0)</f>
        <v>0</v>
      </c>
    </row>
    <row r="304">
      <c r="A304" s="6" t="inlineStr">
        <is>
          <t xml:space="preserve">Corporate tax</t>
        </is>
      </c>
      <c r="B304" s="10" t="inlineStr">
        <is>
          <t xml:space="preserve">€</t>
        </is>
      </c>
      <c r="F304" s="23">
        <f>F302*F303</f>
        <v>0</v>
      </c>
      <c r="G304" s="23">
        <f>G302*G303</f>
        <v>0</v>
      </c>
      <c r="H304" s="23">
        <f>H302*H303</f>
        <v>0</v>
      </c>
      <c r="I304" s="23">
        <f>I302*I303</f>
        <v>0</v>
      </c>
      <c r="J304" s="23">
        <f>J302*J303</f>
        <v>0</v>
      </c>
      <c r="K304" s="23">
        <f>K302*K303</f>
        <v>0</v>
      </c>
      <c r="L304" s="23">
        <f>L302*L303</f>
        <v>0</v>
      </c>
      <c r="M304" s="23">
        <f>M302*M303</f>
        <v>0</v>
      </c>
      <c r="N304" s="23">
        <f>N302*N303</f>
        <v>0</v>
      </c>
      <c r="O304" s="23">
        <f>O302*O303</f>
        <v>0</v>
      </c>
      <c r="P304" s="23">
        <f>P302*P303</f>
        <v>0</v>
      </c>
      <c r="Q304" s="23">
        <f>Q302*Q303</f>
        <v>0</v>
      </c>
      <c r="R304" s="23">
        <f>R302*R303</f>
        <v>0</v>
      </c>
      <c r="S304" s="23">
        <f>S302*S303</f>
        <v>0</v>
      </c>
      <c r="T304" s="23">
        <f>T302*T303</f>
        <v>0</v>
      </c>
      <c r="U304" s="23">
        <f>U302*U303</f>
        <v>0</v>
      </c>
      <c r="V304" s="23">
        <f>V302*V303</f>
        <v>0</v>
      </c>
      <c r="W304" s="23">
        <f>W302*W303</f>
        <v>0</v>
      </c>
      <c r="X304" s="23">
        <f>X302*X303</f>
        <v>0</v>
      </c>
      <c r="Y304" s="23">
        <f>Y302*Y303</f>
        <v>0</v>
      </c>
      <c r="Z304" s="23">
        <f>Z302*Z303</f>
        <v>0</v>
      </c>
      <c r="AA304" s="23">
        <f>AA302*AA303</f>
        <v>0</v>
      </c>
      <c r="AB304" s="23">
        <f>AB302*AB303</f>
        <v>0</v>
      </c>
      <c r="AC304" s="23">
        <f>AC302*AC303</f>
        <v>0</v>
      </c>
      <c r="AD304" s="23">
        <f>AD302*AD303</f>
        <v>0</v>
      </c>
      <c r="AE304" s="23">
        <f>AE302*AE303</f>
        <v>0</v>
      </c>
    </row>
    <row r="305">
      <c r="A305" s="6" t="inlineStr">
        <is>
          <t xml:space="preserve">Solidarity surcharge</t>
        </is>
      </c>
      <c r="B305" s="10" t="inlineStr">
        <is>
          <t xml:space="preserve">€</t>
        </is>
      </c>
      <c r="F305" s="23">
        <f>F304*Inputs!$C$128</f>
        <v>0</v>
      </c>
      <c r="G305" s="23">
        <f>G304*Inputs!$C$128</f>
        <v>0</v>
      </c>
      <c r="H305" s="23">
        <f>H304*Inputs!$C$128</f>
        <v>0</v>
      </c>
      <c r="I305" s="23">
        <f>I304*Inputs!$C$128</f>
        <v>0</v>
      </c>
      <c r="J305" s="23">
        <f>J304*Inputs!$C$128</f>
        <v>0</v>
      </c>
      <c r="K305" s="23">
        <f>K304*Inputs!$C$128</f>
        <v>0</v>
      </c>
      <c r="L305" s="23">
        <f>L304*Inputs!$C$128</f>
        <v>0</v>
      </c>
      <c r="M305" s="23">
        <f>M304*Inputs!$C$128</f>
        <v>0</v>
      </c>
      <c r="N305" s="23">
        <f>N304*Inputs!$C$128</f>
        <v>0</v>
      </c>
      <c r="O305" s="23">
        <f>O304*Inputs!$C$128</f>
        <v>0</v>
      </c>
      <c r="P305" s="23">
        <f>P304*Inputs!$C$128</f>
        <v>0</v>
      </c>
      <c r="Q305" s="23">
        <f>Q304*Inputs!$C$128</f>
        <v>0</v>
      </c>
      <c r="R305" s="23">
        <f>R304*Inputs!$C$128</f>
        <v>0</v>
      </c>
      <c r="S305" s="23">
        <f>S304*Inputs!$C$128</f>
        <v>0</v>
      </c>
      <c r="T305" s="23">
        <f>T304*Inputs!$C$128</f>
        <v>0</v>
      </c>
      <c r="U305" s="23">
        <f>U304*Inputs!$C$128</f>
        <v>0</v>
      </c>
      <c r="V305" s="23">
        <f>V304*Inputs!$C$128</f>
        <v>0</v>
      </c>
      <c r="W305" s="23">
        <f>W304*Inputs!$C$128</f>
        <v>0</v>
      </c>
      <c r="X305" s="23">
        <f>X304*Inputs!$C$128</f>
        <v>0</v>
      </c>
      <c r="Y305" s="23">
        <f>Y304*Inputs!$C$128</f>
        <v>0</v>
      </c>
      <c r="Z305" s="23">
        <f>Z304*Inputs!$C$128</f>
        <v>0</v>
      </c>
      <c r="AA305" s="23">
        <f>AA304*Inputs!$C$128</f>
        <v>0</v>
      </c>
      <c r="AB305" s="23">
        <f>AB304*Inputs!$C$128</f>
        <v>0</v>
      </c>
      <c r="AC305" s="23">
        <f>AC304*Inputs!$C$128</f>
        <v>0</v>
      </c>
      <c r="AD305" s="23">
        <f>AD304*Inputs!$C$128</f>
        <v>0</v>
      </c>
      <c r="AE305" s="23">
        <f>AE304*Inputs!$C$128</f>
        <v>0</v>
      </c>
    </row>
    <row r="306">
      <c r="A306" s="41" t="inlineStr">
        <is>
          <t xml:space="preserve">Taxes</t>
        </is>
      </c>
      <c r="B306" s="10" t="inlineStr">
        <is>
          <t xml:space="preserve">€</t>
        </is>
      </c>
      <c r="F306" s="42">
        <f>F297+F304+F305</f>
        <v>0</v>
      </c>
      <c r="G306" s="42">
        <f>G297+G304+G305</f>
        <v>0</v>
      </c>
      <c r="H306" s="42">
        <f>H297+H304+H305</f>
        <v>0</v>
      </c>
      <c r="I306" s="42">
        <f>I297+I304+I305</f>
        <v>0</v>
      </c>
      <c r="J306" s="42">
        <f>J297+J304+J305</f>
        <v>0</v>
      </c>
      <c r="K306" s="42">
        <f>K297+K304+K305</f>
        <v>0</v>
      </c>
      <c r="L306" s="42">
        <f>L297+L304+L305</f>
        <v>0</v>
      </c>
      <c r="M306" s="42">
        <f>M297+M304+M305</f>
        <v>0</v>
      </c>
      <c r="N306" s="42">
        <f>N297+N304+N305</f>
        <v>0</v>
      </c>
      <c r="O306" s="42">
        <f>O297+O304+O305</f>
        <v>0</v>
      </c>
      <c r="P306" s="42">
        <f>P297+P304+P305</f>
        <v>0</v>
      </c>
      <c r="Q306" s="42">
        <f>Q297+Q304+Q305</f>
        <v>0</v>
      </c>
      <c r="R306" s="42">
        <f>R297+R304+R305</f>
        <v>0</v>
      </c>
      <c r="S306" s="42">
        <f>S297+S304+S305</f>
        <v>0</v>
      </c>
      <c r="T306" s="42">
        <f>T297+T304+T305</f>
        <v>0</v>
      </c>
      <c r="U306" s="42">
        <f>U297+U304+U305</f>
        <v>0</v>
      </c>
      <c r="V306" s="42">
        <f>V297+V304+V305</f>
        <v>0</v>
      </c>
      <c r="W306" s="42">
        <f>W297+W304+W305</f>
        <v>54614.00000000001</v>
      </c>
      <c r="X306" s="42">
        <f>X297+X304+X305</f>
        <v>53830.00000000001</v>
      </c>
      <c r="Y306" s="42">
        <f>Y297+Y304+Y305</f>
        <v>51884.00000000001</v>
      </c>
      <c r="Z306" s="42">
        <f>Z297+Z304+Z305</f>
        <v>43568.00000000001</v>
      </c>
      <c r="AA306" s="42">
        <f>AA297+AA304+AA305</f>
        <v>73906</v>
      </c>
      <c r="AB306" s="42">
        <f>AB297+AB304+AB305</f>
        <v>181412.00000000003</v>
      </c>
      <c r="AC306" s="42">
        <f>AC297+AC304+AC305</f>
        <v>184674.00000000003</v>
      </c>
      <c r="AD306" s="42">
        <f>AD297+AD304+AD305</f>
        <v>184044.00000000003</v>
      </c>
      <c r="AE306" s="42">
        <f>AE297+AE304+AE305</f>
        <v>66066</v>
      </c>
    </row>
    <row r="307">
      <c r="A307" s="41" t="inlineStr">
        <is>
          <t xml:space="preserve">CFADS: EBITDA − change in working capital − taxes</t>
        </is>
      </c>
      <c r="B307" s="10" t="inlineStr">
        <is>
          <t xml:space="preserve">€</t>
        </is>
      </c>
      <c r="F307" s="42">
        <f>Operations!F272-Operations!F280-F306</f>
        <v>1615947.0587999718</v>
      </c>
      <c r="G307" s="42">
        <f>Operations!G272-Operations!G280-G306</f>
        <v>2945247.682255272</v>
      </c>
      <c r="H307" s="42">
        <f>Operations!H272-Operations!H280-H306</f>
        <v>2918234.58101728</v>
      </c>
      <c r="I307" s="42">
        <f>Operations!I272-Operations!I280-I306</f>
        <v>2889808.84762662</v>
      </c>
      <c r="J307" s="42">
        <f>Operations!J272-Operations!J280-J306</f>
        <v>2862019.1806258596</v>
      </c>
      <c r="K307" s="42">
        <f>Operations!K272-Operations!K280-K306</f>
        <v>2830760.9399214042</v>
      </c>
      <c r="L307" s="42">
        <f>Operations!L272-Operations!L280-L306</f>
        <v>2802170.9107294343</v>
      </c>
      <c r="M307" s="42">
        <f>Operations!M272-Operations!M280-M306</f>
        <v>2772144.1346973456</v>
      </c>
      <c r="N307" s="42">
        <f>Operations!N272-Operations!N280-N306</f>
        <v>2742712.27061099</v>
      </c>
      <c r="O307" s="42">
        <f>Operations!O272-Operations!O280-O306</f>
        <v>2709802.7040106542</v>
      </c>
      <c r="P307" s="42">
        <f>Operations!P272-Operations!P280-P306</f>
        <v>2555453.4711899958</v>
      </c>
      <c r="Q307" s="42">
        <f>Operations!Q272-Operations!Q280-Q306</f>
        <v>2515497.258280874</v>
      </c>
      <c r="R307" s="42">
        <f>Operations!R272-Operations!R280-R306</f>
        <v>2471746.222247659</v>
      </c>
      <c r="S307" s="42">
        <f>Operations!S272-Operations!S280-S306</f>
        <v>2424274.4491496794</v>
      </c>
      <c r="T307" s="42">
        <f>Operations!T272-Operations!T280-T306</f>
        <v>2379115.0530797015</v>
      </c>
      <c r="U307" s="42">
        <f>Operations!U272-Operations!U280-U306</f>
        <v>2332222.0070184306</v>
      </c>
      <c r="V307" s="42">
        <f>Operations!V272-Operations!V280-V306</f>
        <v>2285588.274374421</v>
      </c>
      <c r="W307" s="42">
        <f>Operations!W272-Operations!W280-W306</f>
        <v>2180585.4048345233</v>
      </c>
      <c r="X307" s="42">
        <f>Operations!X272-Operations!X280-X306</f>
        <v>2133209.120645673</v>
      </c>
      <c r="Y307" s="42">
        <f>Operations!Y272-Operations!Y280-Y306</f>
        <v>2085208.3692434542</v>
      </c>
      <c r="Z307" s="42">
        <f>Operations!Z272-Operations!Z280-Z306</f>
        <v>1963118.8264189288</v>
      </c>
      <c r="AA307" s="42">
        <f>Operations!AA272-Operations!AA280-AA306</f>
        <v>2440153.3856569533</v>
      </c>
      <c r="AB307" s="42">
        <f>Operations!AB272-Operations!AB280-AB306</f>
        <v>4131317.093339634</v>
      </c>
      <c r="AC307" s="42">
        <f>Operations!AC272-Operations!AC280-AC306</f>
        <v>4371823.733942119</v>
      </c>
      <c r="AD307" s="42">
        <f>Operations!AD272-Operations!AD280-AD306</f>
        <v>4455825.733646735</v>
      </c>
      <c r="AE307" s="42">
        <f>Operations!AE272-Operations!AE280-AE306</f>
        <v>2886650.1287304964</v>
      </c>
    </row>
    <row r="309">
      <c r="A309" s="5" t="inlineStr">
        <is>
          <t xml:space="preserve">Lender case P90 1-yr</t>
        </is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>
      <c r="A310" s="6" t="inlineStr">
        <is>
          <t xml:space="preserve">Depreciable base: capex and capitalised financing costs</t>
        </is>
      </c>
      <c r="B310" s="10" t="inlineStr">
        <is>
          <t xml:space="preserve">€</t>
        </is>
      </c>
      <c r="C310" s="45">
        <f>Construction!$C$48</f>
        <v>58232270.645103194</v>
      </c>
    </row>
    <row r="311">
      <c r="A311" s="6" t="inlineStr">
        <is>
          <t xml:space="preserve">Book value at the start of the year</t>
        </is>
      </c>
      <c r="B311" s="10" t="inlineStr">
        <is>
          <t xml:space="preserve">€</t>
        </is>
      </c>
      <c r="F311" s="23">
        <f>E318</f>
        <v>58232270.645103194</v>
      </c>
      <c r="G311" s="23">
        <f>F318</f>
        <v>56412512.18744372</v>
      </c>
      <c r="H311" s="23">
        <f>G318</f>
        <v>52772995.27212477</v>
      </c>
      <c r="I311" s="23">
        <f>H318</f>
        <v>49133478.35680582</v>
      </c>
      <c r="J311" s="23">
        <f>I318</f>
        <v>45493961.441486865</v>
      </c>
      <c r="K311" s="23">
        <f>J318</f>
        <v>41854444.526167914</v>
      </c>
      <c r="L311" s="23">
        <f>K318</f>
        <v>38214927.61084896</v>
      </c>
      <c r="M311" s="23">
        <f>L318</f>
        <v>34575410.69553001</v>
      </c>
      <c r="N311" s="23">
        <f>M318</f>
        <v>30935893.780211065</v>
      </c>
      <c r="O311" s="23">
        <f>N318</f>
        <v>27296376.864892118</v>
      </c>
      <c r="P311" s="23">
        <f>O318</f>
        <v>23656859.949573167</v>
      </c>
      <c r="Q311" s="23">
        <f>P318</f>
        <v>20017343.03425422</v>
      </c>
      <c r="R311" s="23">
        <f>Q318</f>
        <v>16377826.11893527</v>
      </c>
      <c r="S311" s="23">
        <f>R318</f>
        <v>12738309.203616321</v>
      </c>
      <c r="T311" s="23">
        <f>S318</f>
        <v>9098792.288297372</v>
      </c>
      <c r="U311" s="23">
        <f>T318</f>
        <v>5459275.372978423</v>
      </c>
      <c r="V311" s="23">
        <f>U318</f>
        <v>1819758.457659474</v>
      </c>
      <c r="W311" s="23">
        <f>V318</f>
        <v>0</v>
      </c>
      <c r="X311" s="23">
        <f>W318</f>
        <v>0</v>
      </c>
      <c r="Y311" s="23">
        <f>X318</f>
        <v>0</v>
      </c>
      <c r="Z311" s="23">
        <f>Y318</f>
        <v>0</v>
      </c>
      <c r="AA311" s="23">
        <f>Z318</f>
        <v>0</v>
      </c>
      <c r="AB311" s="23">
        <f>AA318</f>
        <v>0</v>
      </c>
      <c r="AC311" s="23">
        <f>AB318</f>
        <v>0</v>
      </c>
      <c r="AD311" s="23">
        <f>AC318</f>
        <v>0</v>
      </c>
      <c r="AE311" s="23">
        <f>AD318</f>
        <v>0</v>
      </c>
    </row>
    <row r="312">
      <c r="A312" s="6" t="inlineStr">
        <is>
          <t xml:space="preserve">Months depreciated before the year</t>
        </is>
      </c>
      <c r="E312" s="9">
        <v>0</v>
      </c>
      <c r="F312" s="23">
        <f>E319</f>
        <v>0</v>
      </c>
      <c r="G312" s="23">
        <f>F319</f>
        <v>6</v>
      </c>
      <c r="H312" s="23">
        <f>G319</f>
        <v>18</v>
      </c>
      <c r="I312" s="23">
        <f>H319</f>
        <v>30</v>
      </c>
      <c r="J312" s="23">
        <f>I319</f>
        <v>42</v>
      </c>
      <c r="K312" s="23">
        <f>J319</f>
        <v>54</v>
      </c>
      <c r="L312" s="23">
        <f>K319</f>
        <v>66</v>
      </c>
      <c r="M312" s="23">
        <f>L319</f>
        <v>78</v>
      </c>
      <c r="N312" s="23">
        <f>M319</f>
        <v>90</v>
      </c>
      <c r="O312" s="23">
        <f>N319</f>
        <v>102</v>
      </c>
      <c r="P312" s="23">
        <f>O319</f>
        <v>114</v>
      </c>
      <c r="Q312" s="23">
        <f>P319</f>
        <v>126</v>
      </c>
      <c r="R312" s="23">
        <f>Q319</f>
        <v>138</v>
      </c>
      <c r="S312" s="23">
        <f>R319</f>
        <v>150</v>
      </c>
      <c r="T312" s="23">
        <f>S319</f>
        <v>162</v>
      </c>
      <c r="U312" s="23">
        <f>T319</f>
        <v>174</v>
      </c>
      <c r="V312" s="23">
        <f>U319</f>
        <v>186</v>
      </c>
      <c r="W312" s="23">
        <f>V319</f>
        <v>198</v>
      </c>
      <c r="X312" s="23">
        <f>W319</f>
        <v>198</v>
      </c>
      <c r="Y312" s="23">
        <f>X319</f>
        <v>198</v>
      </c>
      <c r="Z312" s="23">
        <f>Y319</f>
        <v>198</v>
      </c>
      <c r="AA312" s="23">
        <f>Z319</f>
        <v>198</v>
      </c>
      <c r="AB312" s="23">
        <f>AA319</f>
        <v>198</v>
      </c>
      <c r="AC312" s="23">
        <f>AB319</f>
        <v>198</v>
      </c>
      <c r="AD312" s="23">
        <f>AC319</f>
        <v>198</v>
      </c>
      <c r="AE312" s="23">
        <f>AD319</f>
        <v>198</v>
      </c>
    </row>
    <row r="313">
      <c r="A313" s="6" t="inlineStr">
        <is>
          <t xml:space="preserve">Remaining useful life</t>
        </is>
      </c>
      <c r="B313" s="10" t="inlineStr">
        <is>
          <t xml:space="preserve">years</t>
        </is>
      </c>
      <c r="F313" s="21">
        <f>Inputs!$C$93-F312/12</f>
        <v>16</v>
      </c>
      <c r="G313" s="21">
        <f>Inputs!$C$93-G312/12</f>
        <v>15.5</v>
      </c>
      <c r="H313" s="21">
        <f>Inputs!$C$93-H312/12</f>
        <v>14.5</v>
      </c>
      <c r="I313" s="21">
        <f>Inputs!$C$93-I312/12</f>
        <v>13.5</v>
      </c>
      <c r="J313" s="21">
        <f>Inputs!$C$93-J312/12</f>
        <v>12.5</v>
      </c>
      <c r="K313" s="21">
        <f>Inputs!$C$93-K312/12</f>
        <v>11.5</v>
      </c>
      <c r="L313" s="21">
        <f>Inputs!$C$93-L312/12</f>
        <v>10.5</v>
      </c>
      <c r="M313" s="21">
        <f>Inputs!$C$93-M312/12</f>
        <v>9.5</v>
      </c>
      <c r="N313" s="21">
        <f>Inputs!$C$93-N312/12</f>
        <v>8.5</v>
      </c>
      <c r="O313" s="21">
        <f>Inputs!$C$93-O312/12</f>
        <v>7.5</v>
      </c>
      <c r="P313" s="21">
        <f>Inputs!$C$93-P312/12</f>
        <v>6.5</v>
      </c>
      <c r="Q313" s="21">
        <f>Inputs!$C$93-Q312/12</f>
        <v>5.5</v>
      </c>
      <c r="R313" s="21">
        <f>Inputs!$C$93-R312/12</f>
        <v>4.5</v>
      </c>
      <c r="S313" s="21">
        <f>Inputs!$C$93-S312/12</f>
        <v>3.5</v>
      </c>
      <c r="T313" s="21">
        <f>Inputs!$C$93-T312/12</f>
        <v>2.5</v>
      </c>
      <c r="U313" s="21">
        <f>Inputs!$C$93-U312/12</f>
        <v>1.5</v>
      </c>
      <c r="V313" s="21">
        <f>Inputs!$C$93-V312/12</f>
        <v>0.5</v>
      </c>
      <c r="W313" s="21">
        <f>Inputs!$C$93-W312/12</f>
        <v>-0.5</v>
      </c>
      <c r="X313" s="21">
        <f>Inputs!$C$93-X312/12</f>
        <v>-0.5</v>
      </c>
      <c r="Y313" s="21">
        <f>Inputs!$C$93-Y312/12</f>
        <v>-0.5</v>
      </c>
      <c r="Z313" s="21">
        <f>Inputs!$C$93-Z312/12</f>
        <v>-0.5</v>
      </c>
      <c r="AA313" s="21">
        <f>Inputs!$C$93-AA312/12</f>
        <v>-0.5</v>
      </c>
      <c r="AB313" s="21">
        <f>Inputs!$C$93-AB312/12</f>
        <v>-0.5</v>
      </c>
      <c r="AC313" s="21">
        <f>Inputs!$C$93-AC312/12</f>
        <v>-0.5</v>
      </c>
      <c r="AD313" s="21">
        <f>Inputs!$C$93-AD312/12</f>
        <v>-0.5</v>
      </c>
      <c r="AE313" s="21">
        <f>Inputs!$C$93-AE312/12</f>
        <v>-0.5</v>
      </c>
    </row>
    <row r="314">
      <c r="A314" s="6" t="inlineStr">
        <is>
          <t xml:space="preserve">Straight-line amount</t>
        </is>
      </c>
      <c r="B314" s="10" t="inlineStr">
        <is>
          <t xml:space="preserve">€</t>
        </is>
      </c>
      <c r="F314" s="23">
        <f>IF(F313&gt;0,F311/F313*Timing!F87/12,F311)</f>
        <v>1819758.4576594748</v>
      </c>
      <c r="G314" s="23">
        <f>IF(G313&gt;0,G311/G313*Timing!G87/12,G311)</f>
        <v>3639516.9153189496</v>
      </c>
      <c r="H314" s="23">
        <f>IF(H313&gt;0,H311/H313*Timing!H87/12,H311)</f>
        <v>3639516.9153189496</v>
      </c>
      <c r="I314" s="23">
        <f>IF(I313&gt;0,I311/I313*Timing!I87/12,I311)</f>
        <v>3639516.915318949</v>
      </c>
      <c r="J314" s="23">
        <f>IF(J313&gt;0,J311/J313*Timing!J87/12,J311)</f>
        <v>3639516.915318949</v>
      </c>
      <c r="K314" s="23">
        <f>IF(K313&gt;0,K311/K313*Timing!K87/12,K311)</f>
        <v>3639516.915318949</v>
      </c>
      <c r="L314" s="23">
        <f>IF(L313&gt;0,L311/L313*Timing!L87/12,L311)</f>
        <v>3639516.9153189487</v>
      </c>
      <c r="M314" s="23">
        <f>IF(M313&gt;0,M311/M313*Timing!M87/12,M311)</f>
        <v>3639516.9153189487</v>
      </c>
      <c r="N314" s="23">
        <f>IF(N313&gt;0,N311/N313*Timing!N87/12,N311)</f>
        <v>3639516.9153189487</v>
      </c>
      <c r="O314" s="23">
        <f>IF(O313&gt;0,O311/O313*Timing!O87/12,O311)</f>
        <v>3639516.915318949</v>
      </c>
      <c r="P314" s="23">
        <f>IF(P313&gt;0,P311/P313*Timing!P87/12,P311)</f>
        <v>3639516.9153189487</v>
      </c>
      <c r="Q314" s="23">
        <f>IF(Q313&gt;0,Q311/Q313*Timing!Q87/12,Q311)</f>
        <v>3639516.915318949</v>
      </c>
      <c r="R314" s="23">
        <f>IF(R313&gt;0,R311/R313*Timing!R87/12,R311)</f>
        <v>3639516.915318949</v>
      </c>
      <c r="S314" s="23">
        <f>IF(S313&gt;0,S311/S313*Timing!S87/12,S311)</f>
        <v>3639516.9153189487</v>
      </c>
      <c r="T314" s="23">
        <f>IF(T313&gt;0,T311/T313*Timing!T87/12,T311)</f>
        <v>3639516.9153189487</v>
      </c>
      <c r="U314" s="23">
        <f>IF(U313&gt;0,U311/U313*Timing!U87/12,U311)</f>
        <v>3639516.9153189487</v>
      </c>
      <c r="V314" s="23">
        <f>IF(V313&gt;0,V311/V313*Timing!V87/12,V311)</f>
        <v>3639516.915318948</v>
      </c>
      <c r="W314" s="23">
        <f>IF(W313&gt;0,W311/W313*Timing!W87/12,W311)</f>
        <v>0</v>
      </c>
      <c r="X314" s="23">
        <f>IF(X313&gt;0,X311/X313*Timing!X87/12,X311)</f>
        <v>0</v>
      </c>
      <c r="Y314" s="23">
        <f>IF(Y313&gt;0,Y311/Y313*Timing!Y87/12,Y311)</f>
        <v>0</v>
      </c>
      <c r="Z314" s="23">
        <f>IF(Z313&gt;0,Z311/Z313*Timing!Z87/12,Z311)</f>
        <v>0</v>
      </c>
      <c r="AA314" s="23">
        <f>IF(AA313&gt;0,AA311/AA313*Timing!AA87/12,AA311)</f>
        <v>0</v>
      </c>
      <c r="AB314" s="23">
        <f>IF(AB313&gt;0,AB311/AB313*Timing!AB87/12,AB311)</f>
        <v>0</v>
      </c>
      <c r="AC314" s="23">
        <f>IF(AC313&gt;0,AC311/AC313*Timing!AC87/12,AC311)</f>
        <v>0</v>
      </c>
      <c r="AD314" s="23">
        <f>IF(AD313&gt;0,AD311/AD313*Timing!AD87/12,AD311)</f>
        <v>0</v>
      </c>
      <c r="AE314" s="23">
        <f>IF(AE313&gt;0,AE311/AE313*Timing!AE87/12,AE311)</f>
        <v>0</v>
      </c>
    </row>
    <row r="315">
      <c r="A315" s="6" t="inlineStr">
        <is>
          <t xml:space="preserve">Declining-balance amount</t>
        </is>
      </c>
      <c r="B315" s="10" t="inlineStr">
        <is>
          <t xml:space="preserve">€</t>
        </is>
      </c>
      <c r="F315" s="23">
        <f>F311*Timing!$C$36*Timing!F87/12</f>
        <v>5459275.372978425</v>
      </c>
      <c r="G315" s="23">
        <f>G311*Timing!$C$36*Timing!G87/12</f>
        <v>10577346.035145696</v>
      </c>
      <c r="H315" s="23">
        <f>H311*Timing!$C$36*Timing!H87/12</f>
        <v>9894936.613523394</v>
      </c>
      <c r="I315" s="23">
        <f>I311*Timing!$C$36*Timing!I87/12</f>
        <v>9212527.191901091</v>
      </c>
      <c r="J315" s="23">
        <f>J311*Timing!$C$36*Timing!J87/12</f>
        <v>8530117.770278787</v>
      </c>
      <c r="K315" s="23">
        <f>K311*Timing!$C$36*Timing!K87/12</f>
        <v>7847708.348656484</v>
      </c>
      <c r="L315" s="23">
        <f>L311*Timing!$C$36*Timing!L87/12</f>
        <v>7165298.927034181</v>
      </c>
      <c r="M315" s="23">
        <f>M311*Timing!$C$36*Timing!M87/12</f>
        <v>6482889.505411877</v>
      </c>
      <c r="N315" s="23">
        <f>N311*Timing!$C$36*Timing!N87/12</f>
        <v>5800480.083789575</v>
      </c>
      <c r="O315" s="23">
        <f>O311*Timing!$C$36*Timing!O87/12</f>
        <v>5118070.662167272</v>
      </c>
      <c r="P315" s="23">
        <f>P311*Timing!$C$36*Timing!P87/12</f>
        <v>4435661.240544969</v>
      </c>
      <c r="Q315" s="23">
        <f>Q311*Timing!$C$36*Timing!Q87/12</f>
        <v>3753251.818922666</v>
      </c>
      <c r="R315" s="23">
        <f>R311*Timing!$C$36*Timing!R87/12</f>
        <v>3070842.397300363</v>
      </c>
      <c r="S315" s="23">
        <f>S311*Timing!$C$36*Timing!S87/12</f>
        <v>2388432.97567806</v>
      </c>
      <c r="T315" s="23">
        <f>T311*Timing!$C$36*Timing!T87/12</f>
        <v>1706023.5540557574</v>
      </c>
      <c r="U315" s="23">
        <f>U311*Timing!$C$36*Timing!U87/12</f>
        <v>1023614.1324334543</v>
      </c>
      <c r="V315" s="23">
        <f>V311*Timing!$C$36*Timing!V87/12</f>
        <v>341204.7108111514</v>
      </c>
      <c r="W315" s="23">
        <f>W311*Timing!$C$36*Timing!W87/12</f>
        <v>0</v>
      </c>
      <c r="X315" s="23">
        <f>X311*Timing!$C$36*Timing!X87/12</f>
        <v>0</v>
      </c>
      <c r="Y315" s="23">
        <f>Y311*Timing!$C$36*Timing!Y87/12</f>
        <v>0</v>
      </c>
      <c r="Z315" s="23">
        <f>Z311*Timing!$C$36*Timing!Z87/12</f>
        <v>0</v>
      </c>
      <c r="AA315" s="23">
        <f>AA311*Timing!$C$36*Timing!AA87/12</f>
        <v>0</v>
      </c>
      <c r="AB315" s="23">
        <f>AB311*Timing!$C$36*Timing!AB87/12</f>
        <v>0</v>
      </c>
      <c r="AC315" s="23">
        <f>AC311*Timing!$C$36*Timing!AC87/12</f>
        <v>0</v>
      </c>
      <c r="AD315" s="23">
        <f>AD311*Timing!$C$36*Timing!AD87/12</f>
        <v>0</v>
      </c>
      <c r="AE315" s="23">
        <f>AE311*Timing!$C$36*Timing!AE87/12</f>
        <v>0</v>
      </c>
    </row>
    <row r="316">
      <c r="A316" s="6" t="inlineStr">
        <is>
          <t xml:space="preserve">Straight-line from this year (1 = yes)</t>
        </is>
      </c>
      <c r="E316" s="9">
        <v>0</v>
      </c>
      <c r="F316" s="23">
        <f>IF(OR(Timing!$C$35=0,E316=1,F314&gt;=F315),1,0)</f>
        <v>1</v>
      </c>
      <c r="G316" s="23">
        <f>IF(OR(Timing!$C$35=0,F316=1,G314&gt;=G315),1,0)</f>
        <v>1</v>
      </c>
      <c r="H316" s="23">
        <f>IF(OR(Timing!$C$35=0,G316=1,H314&gt;=H315),1,0)</f>
        <v>1</v>
      </c>
      <c r="I316" s="23">
        <f>IF(OR(Timing!$C$35=0,H316=1,I314&gt;=I315),1,0)</f>
        <v>1</v>
      </c>
      <c r="J316" s="23">
        <f>IF(OR(Timing!$C$35=0,I316=1,J314&gt;=J315),1,0)</f>
        <v>1</v>
      </c>
      <c r="K316" s="23">
        <f>IF(OR(Timing!$C$35=0,J316=1,K314&gt;=K315),1,0)</f>
        <v>1</v>
      </c>
      <c r="L316" s="23">
        <f>IF(OR(Timing!$C$35=0,K316=1,L314&gt;=L315),1,0)</f>
        <v>1</v>
      </c>
      <c r="M316" s="23">
        <f>IF(OR(Timing!$C$35=0,L316=1,M314&gt;=M315),1,0)</f>
        <v>1</v>
      </c>
      <c r="N316" s="23">
        <f>IF(OR(Timing!$C$35=0,M316=1,N314&gt;=N315),1,0)</f>
        <v>1</v>
      </c>
      <c r="O316" s="23">
        <f>IF(OR(Timing!$C$35=0,N316=1,O314&gt;=O315),1,0)</f>
        <v>1</v>
      </c>
      <c r="P316" s="23">
        <f>IF(OR(Timing!$C$35=0,O316=1,P314&gt;=P315),1,0)</f>
        <v>1</v>
      </c>
      <c r="Q316" s="23">
        <f>IF(OR(Timing!$C$35=0,P316=1,Q314&gt;=Q315),1,0)</f>
        <v>1</v>
      </c>
      <c r="R316" s="23">
        <f>IF(OR(Timing!$C$35=0,Q316=1,R314&gt;=R315),1,0)</f>
        <v>1</v>
      </c>
      <c r="S316" s="23">
        <f>IF(OR(Timing!$C$35=0,R316=1,S314&gt;=S315),1,0)</f>
        <v>1</v>
      </c>
      <c r="T316" s="23">
        <f>IF(OR(Timing!$C$35=0,S316=1,T314&gt;=T315),1,0)</f>
        <v>1</v>
      </c>
      <c r="U316" s="23">
        <f>IF(OR(Timing!$C$35=0,T316=1,U314&gt;=U315),1,0)</f>
        <v>1</v>
      </c>
      <c r="V316" s="23">
        <f>IF(OR(Timing!$C$35=0,U316=1,V314&gt;=V315),1,0)</f>
        <v>1</v>
      </c>
      <c r="W316" s="23">
        <f>IF(OR(Timing!$C$35=0,V316=1,W314&gt;=W315),1,0)</f>
        <v>1</v>
      </c>
      <c r="X316" s="23">
        <f>IF(OR(Timing!$C$35=0,W316=1,X314&gt;=X315),1,0)</f>
        <v>1</v>
      </c>
      <c r="Y316" s="23">
        <f>IF(OR(Timing!$C$35=0,X316=1,Y314&gt;=Y315),1,0)</f>
        <v>1</v>
      </c>
      <c r="Z316" s="23">
        <f>IF(OR(Timing!$C$35=0,Y316=1,Z314&gt;=Z315),1,0)</f>
        <v>1</v>
      </c>
      <c r="AA316" s="23">
        <f>IF(OR(Timing!$C$35=0,Z316=1,AA314&gt;=AA315),1,0)</f>
        <v>1</v>
      </c>
      <c r="AB316" s="23">
        <f>IF(OR(Timing!$C$35=0,AA316=1,AB314&gt;=AB315),1,0)</f>
        <v>1</v>
      </c>
      <c r="AC316" s="23">
        <f>IF(OR(Timing!$C$35=0,AB316=1,AC314&gt;=AC315),1,0)</f>
        <v>1</v>
      </c>
      <c r="AD316" s="23">
        <f>IF(OR(Timing!$C$35=0,AC316=1,AD314&gt;=AD315),1,0)</f>
        <v>1</v>
      </c>
      <c r="AE316" s="23">
        <f>IF(OR(Timing!$C$35=0,AD316=1,AE314&gt;=AE315),1,0)</f>
        <v>1</v>
      </c>
    </row>
    <row r="317">
      <c r="A317" s="6" t="inlineStr">
        <is>
          <t xml:space="preserve">Depreciation by schedule</t>
        </is>
      </c>
      <c r="B317" s="10" t="inlineStr">
        <is>
          <t xml:space="preserve">€</t>
        </is>
      </c>
      <c r="F317" s="23">
        <f>IF(F311&lt;=Inputs!$C$157,0,MIN(F311,IF(F316=1,F314,F315)))</f>
        <v>1819758.4576594748</v>
      </c>
      <c r="G317" s="23">
        <f>IF(G311&lt;=Inputs!$C$157,0,MIN(G311,IF(G316=1,G314,G315)))</f>
        <v>3639516.9153189496</v>
      </c>
      <c r="H317" s="23">
        <f>IF(H311&lt;=Inputs!$C$157,0,MIN(H311,IF(H316=1,H314,H315)))</f>
        <v>3639516.9153189496</v>
      </c>
      <c r="I317" s="23">
        <f>IF(I311&lt;=Inputs!$C$157,0,MIN(I311,IF(I316=1,I314,I315)))</f>
        <v>3639516.915318949</v>
      </c>
      <c r="J317" s="23">
        <f>IF(J311&lt;=Inputs!$C$157,0,MIN(J311,IF(J316=1,J314,J315)))</f>
        <v>3639516.915318949</v>
      </c>
      <c r="K317" s="23">
        <f>IF(K311&lt;=Inputs!$C$157,0,MIN(K311,IF(K316=1,K314,K315)))</f>
        <v>3639516.915318949</v>
      </c>
      <c r="L317" s="23">
        <f>IF(L311&lt;=Inputs!$C$157,0,MIN(L311,IF(L316=1,L314,L315)))</f>
        <v>3639516.9153189487</v>
      </c>
      <c r="M317" s="23">
        <f>IF(M311&lt;=Inputs!$C$157,0,MIN(M311,IF(M316=1,M314,M315)))</f>
        <v>3639516.9153189487</v>
      </c>
      <c r="N317" s="23">
        <f>IF(N311&lt;=Inputs!$C$157,0,MIN(N311,IF(N316=1,N314,N315)))</f>
        <v>3639516.9153189487</v>
      </c>
      <c r="O317" s="23">
        <f>IF(O311&lt;=Inputs!$C$157,0,MIN(O311,IF(O316=1,O314,O315)))</f>
        <v>3639516.915318949</v>
      </c>
      <c r="P317" s="23">
        <f>IF(P311&lt;=Inputs!$C$157,0,MIN(P311,IF(P316=1,P314,P315)))</f>
        <v>3639516.9153189487</v>
      </c>
      <c r="Q317" s="23">
        <f>IF(Q311&lt;=Inputs!$C$157,0,MIN(Q311,IF(Q316=1,Q314,Q315)))</f>
        <v>3639516.915318949</v>
      </c>
      <c r="R317" s="23">
        <f>IF(R311&lt;=Inputs!$C$157,0,MIN(R311,IF(R316=1,R314,R315)))</f>
        <v>3639516.915318949</v>
      </c>
      <c r="S317" s="23">
        <f>IF(S311&lt;=Inputs!$C$157,0,MIN(S311,IF(S316=1,S314,S315)))</f>
        <v>3639516.9153189487</v>
      </c>
      <c r="T317" s="23">
        <f>IF(T311&lt;=Inputs!$C$157,0,MIN(T311,IF(T316=1,T314,T315)))</f>
        <v>3639516.9153189487</v>
      </c>
      <c r="U317" s="23">
        <f>IF(U311&lt;=Inputs!$C$157,0,MIN(U311,IF(U316=1,U314,U315)))</f>
        <v>3639516.9153189487</v>
      </c>
      <c r="V317" s="23">
        <f>IF(V311&lt;=Inputs!$C$157,0,MIN(V311,IF(V316=1,V314,V315)))</f>
        <v>1819758.457659474</v>
      </c>
      <c r="W317" s="23">
        <f>IF(W311&lt;=Inputs!$C$157,0,MIN(W311,IF(W316=1,W314,W315)))</f>
        <v>0</v>
      </c>
      <c r="X317" s="23">
        <f>IF(X311&lt;=Inputs!$C$157,0,MIN(X311,IF(X316=1,X314,X315)))</f>
        <v>0</v>
      </c>
      <c r="Y317" s="23">
        <f>IF(Y311&lt;=Inputs!$C$157,0,MIN(Y311,IF(Y316=1,Y314,Y315)))</f>
        <v>0</v>
      </c>
      <c r="Z317" s="23">
        <f>IF(Z311&lt;=Inputs!$C$157,0,MIN(Z311,IF(Z316=1,Z314,Z315)))</f>
        <v>0</v>
      </c>
      <c r="AA317" s="23">
        <f>IF(AA311&lt;=Inputs!$C$157,0,MIN(AA311,IF(AA316=1,AA314,AA315)))</f>
        <v>0</v>
      </c>
      <c r="AB317" s="23">
        <f>IF(AB311&lt;=Inputs!$C$157,0,MIN(AB311,IF(AB316=1,AB314,AB315)))</f>
        <v>0</v>
      </c>
      <c r="AC317" s="23">
        <f>IF(AC311&lt;=Inputs!$C$157,0,MIN(AC311,IF(AC316=1,AC314,AC315)))</f>
        <v>0</v>
      </c>
      <c r="AD317" s="23">
        <f>IF(AD311&lt;=Inputs!$C$157,0,MIN(AD311,IF(AD316=1,AD314,AD315)))</f>
        <v>0</v>
      </c>
      <c r="AE317" s="23">
        <f>IF(AE311&lt;=Inputs!$C$157,0,MIN(AE311,IF(AE316=1,AE314,AE315)))</f>
        <v>0</v>
      </c>
    </row>
    <row r="318">
      <c r="A318" s="6" t="inlineStr">
        <is>
          <t xml:space="preserve">Book value at the year end</t>
        </is>
      </c>
      <c r="B318" s="10" t="inlineStr">
        <is>
          <t xml:space="preserve">€</t>
        </is>
      </c>
      <c r="E318" s="23">
        <f>$C$310</f>
        <v>58232270.645103194</v>
      </c>
      <c r="F318" s="23">
        <f>F311-F317</f>
        <v>56412512.18744372</v>
      </c>
      <c r="G318" s="23">
        <f>G311-G317</f>
        <v>52772995.27212477</v>
      </c>
      <c r="H318" s="23">
        <f>H311-H317</f>
        <v>49133478.35680582</v>
      </c>
      <c r="I318" s="23">
        <f>I311-I317</f>
        <v>45493961.441486865</v>
      </c>
      <c r="J318" s="23">
        <f>J311-J317</f>
        <v>41854444.526167914</v>
      </c>
      <c r="K318" s="23">
        <f>K311-K317</f>
        <v>38214927.61084896</v>
      </c>
      <c r="L318" s="23">
        <f>L311-L317</f>
        <v>34575410.69553001</v>
      </c>
      <c r="M318" s="23">
        <f>M311-M317</f>
        <v>30935893.780211065</v>
      </c>
      <c r="N318" s="23">
        <f>N311-N317</f>
        <v>27296376.864892118</v>
      </c>
      <c r="O318" s="23">
        <f>O311-O317</f>
        <v>23656859.949573167</v>
      </c>
      <c r="P318" s="23">
        <f>P311-P317</f>
        <v>20017343.03425422</v>
      </c>
      <c r="Q318" s="23">
        <f>Q311-Q317</f>
        <v>16377826.11893527</v>
      </c>
      <c r="R318" s="23">
        <f>R311-R317</f>
        <v>12738309.203616321</v>
      </c>
      <c r="S318" s="23">
        <f>S311-S317</f>
        <v>9098792.288297372</v>
      </c>
      <c r="T318" s="23">
        <f>T311-T317</f>
        <v>5459275.372978423</v>
      </c>
      <c r="U318" s="23">
        <f>U311-U317</f>
        <v>1819758.457659474</v>
      </c>
      <c r="V318" s="23">
        <f>V311-V317</f>
        <v>0</v>
      </c>
      <c r="W318" s="23">
        <f>W311-W317</f>
        <v>0</v>
      </c>
      <c r="X318" s="23">
        <f>X311-X317</f>
        <v>0</v>
      </c>
      <c r="Y318" s="23">
        <f>Y311-Y317</f>
        <v>0</v>
      </c>
      <c r="Z318" s="23">
        <f>Z311-Z317</f>
        <v>0</v>
      </c>
      <c r="AA318" s="23">
        <f>AA311-AA317</f>
        <v>0</v>
      </c>
      <c r="AB318" s="23">
        <f>AB311-AB317</f>
        <v>0</v>
      </c>
      <c r="AC318" s="23">
        <f>AC311-AC317</f>
        <v>0</v>
      </c>
      <c r="AD318" s="23">
        <f>AD311-AD317</f>
        <v>0</v>
      </c>
      <c r="AE318" s="23">
        <f>AE311-AE317</f>
        <v>0</v>
      </c>
    </row>
    <row r="319">
      <c r="A319" s="6" t="inlineStr">
        <is>
          <t xml:space="preserve">Months depreciated</t>
        </is>
      </c>
      <c r="F319" s="23">
        <f>F312+IF(F311&gt;Inputs!$C$157,Timing!F87,0)</f>
        <v>6</v>
      </c>
      <c r="G319" s="23">
        <f>G312+IF(G311&gt;Inputs!$C$157,Timing!G87,0)</f>
        <v>18</v>
      </c>
      <c r="H319" s="23">
        <f>H312+IF(H311&gt;Inputs!$C$157,Timing!H87,0)</f>
        <v>30</v>
      </c>
      <c r="I319" s="23">
        <f>I312+IF(I311&gt;Inputs!$C$157,Timing!I87,0)</f>
        <v>42</v>
      </c>
      <c r="J319" s="23">
        <f>J312+IF(J311&gt;Inputs!$C$157,Timing!J87,0)</f>
        <v>54</v>
      </c>
      <c r="K319" s="23">
        <f>K312+IF(K311&gt;Inputs!$C$157,Timing!K87,0)</f>
        <v>66</v>
      </c>
      <c r="L319" s="23">
        <f>L312+IF(L311&gt;Inputs!$C$157,Timing!L87,0)</f>
        <v>78</v>
      </c>
      <c r="M319" s="23">
        <f>M312+IF(M311&gt;Inputs!$C$157,Timing!M87,0)</f>
        <v>90</v>
      </c>
      <c r="N319" s="23">
        <f>N312+IF(N311&gt;Inputs!$C$157,Timing!N87,0)</f>
        <v>102</v>
      </c>
      <c r="O319" s="23">
        <f>O312+IF(O311&gt;Inputs!$C$157,Timing!O87,0)</f>
        <v>114</v>
      </c>
      <c r="P319" s="23">
        <f>P312+IF(P311&gt;Inputs!$C$157,Timing!P87,0)</f>
        <v>126</v>
      </c>
      <c r="Q319" s="23">
        <f>Q312+IF(Q311&gt;Inputs!$C$157,Timing!Q87,0)</f>
        <v>138</v>
      </c>
      <c r="R319" s="23">
        <f>R312+IF(R311&gt;Inputs!$C$157,Timing!R87,0)</f>
        <v>150</v>
      </c>
      <c r="S319" s="23">
        <f>S312+IF(S311&gt;Inputs!$C$157,Timing!S87,0)</f>
        <v>162</v>
      </c>
      <c r="T319" s="23">
        <f>T312+IF(T311&gt;Inputs!$C$157,Timing!T87,0)</f>
        <v>174</v>
      </c>
      <c r="U319" s="23">
        <f>U312+IF(U311&gt;Inputs!$C$157,Timing!U87,0)</f>
        <v>186</v>
      </c>
      <c r="V319" s="23">
        <f>V312+IF(V311&gt;Inputs!$C$157,Timing!V87,0)</f>
        <v>198</v>
      </c>
      <c r="W319" s="23">
        <f>W312+IF(W311&gt;Inputs!$C$157,Timing!W87,0)</f>
        <v>198</v>
      </c>
      <c r="X319" s="23">
        <f>X312+IF(X311&gt;Inputs!$C$157,Timing!X87,0)</f>
        <v>198</v>
      </c>
      <c r="Y319" s="23">
        <f>Y312+IF(Y311&gt;Inputs!$C$157,Timing!Y87,0)</f>
        <v>198</v>
      </c>
      <c r="Z319" s="23">
        <f>Z312+IF(Z311&gt;Inputs!$C$157,Timing!Z87,0)</f>
        <v>198</v>
      </c>
      <c r="AA319" s="23">
        <f>AA312+IF(AA311&gt;Inputs!$C$157,Timing!AA87,0)</f>
        <v>198</v>
      </c>
      <c r="AB319" s="23">
        <f>AB312+IF(AB311&gt;Inputs!$C$157,Timing!AB87,0)</f>
        <v>198</v>
      </c>
      <c r="AC319" s="23">
        <f>AC312+IF(AC311&gt;Inputs!$C$157,Timing!AC87,0)</f>
        <v>198</v>
      </c>
      <c r="AD319" s="23">
        <f>AD312+IF(AD311&gt;Inputs!$C$157,Timing!AD87,0)</f>
        <v>198</v>
      </c>
      <c r="AE319" s="23">
        <f>AE312+IF(AE311&gt;Inputs!$C$157,Timing!AE87,0)</f>
        <v>198</v>
      </c>
    </row>
    <row r="320">
      <c r="A320" s="6" t="inlineStr">
        <is>
          <t xml:space="preserve">Book value written off when the farm is dismantled</t>
        </is>
      </c>
      <c r="B320" s="10" t="inlineStr">
        <is>
          <t xml:space="preserve">€</t>
        </is>
      </c>
      <c r="F320" s="23">
        <f>IF(AND(Timing!F72=1,F318&gt;Inputs!$C$157),F318,0)</f>
        <v>0</v>
      </c>
      <c r="G320" s="23">
        <f>IF(AND(Timing!G72=1,G318&gt;Inputs!$C$157),G318,0)</f>
        <v>0</v>
      </c>
      <c r="H320" s="23">
        <f>IF(AND(Timing!H72=1,H318&gt;Inputs!$C$157),H318,0)</f>
        <v>0</v>
      </c>
      <c r="I320" s="23">
        <f>IF(AND(Timing!I72=1,I318&gt;Inputs!$C$157),I318,0)</f>
        <v>0</v>
      </c>
      <c r="J320" s="23">
        <f>IF(AND(Timing!J72=1,J318&gt;Inputs!$C$157),J318,0)</f>
        <v>0</v>
      </c>
      <c r="K320" s="23">
        <f>IF(AND(Timing!K72=1,K318&gt;Inputs!$C$157),K318,0)</f>
        <v>0</v>
      </c>
      <c r="L320" s="23">
        <f>IF(AND(Timing!L72=1,L318&gt;Inputs!$C$157),L318,0)</f>
        <v>0</v>
      </c>
      <c r="M320" s="23">
        <f>IF(AND(Timing!M72=1,M318&gt;Inputs!$C$157),M318,0)</f>
        <v>0</v>
      </c>
      <c r="N320" s="23">
        <f>IF(AND(Timing!N72=1,N318&gt;Inputs!$C$157),N318,0)</f>
        <v>0</v>
      </c>
      <c r="O320" s="23">
        <f>IF(AND(Timing!O72=1,O318&gt;Inputs!$C$157),O318,0)</f>
        <v>0</v>
      </c>
      <c r="P320" s="23">
        <f>IF(AND(Timing!P72=1,P318&gt;Inputs!$C$157),P318,0)</f>
        <v>0</v>
      </c>
      <c r="Q320" s="23">
        <f>IF(AND(Timing!Q72=1,Q318&gt;Inputs!$C$157),Q318,0)</f>
        <v>0</v>
      </c>
      <c r="R320" s="23">
        <f>IF(AND(Timing!R72=1,R318&gt;Inputs!$C$157),R318,0)</f>
        <v>0</v>
      </c>
      <c r="S320" s="23">
        <f>IF(AND(Timing!S72=1,S318&gt;Inputs!$C$157),S318,0)</f>
        <v>0</v>
      </c>
      <c r="T320" s="23">
        <f>IF(AND(Timing!T72=1,T318&gt;Inputs!$C$157),T318,0)</f>
        <v>0</v>
      </c>
      <c r="U320" s="23">
        <f>IF(AND(Timing!U72=1,U318&gt;Inputs!$C$157),U318,0)</f>
        <v>0</v>
      </c>
      <c r="V320" s="23">
        <f>IF(AND(Timing!V72=1,V318&gt;Inputs!$C$157),V318,0)</f>
        <v>0</v>
      </c>
      <c r="W320" s="23">
        <f>IF(AND(Timing!W72=1,W318&gt;Inputs!$C$157),W318,0)</f>
        <v>0</v>
      </c>
      <c r="X320" s="23">
        <f>IF(AND(Timing!X72=1,X318&gt;Inputs!$C$157),X318,0)</f>
        <v>0</v>
      </c>
      <c r="Y320" s="23">
        <f>IF(AND(Timing!Y72=1,Y318&gt;Inputs!$C$157),Y318,0)</f>
        <v>0</v>
      </c>
      <c r="Z320" s="23">
        <f>IF(AND(Timing!Z72=1,Z318&gt;Inputs!$C$157),Z318,0)</f>
        <v>0</v>
      </c>
      <c r="AA320" s="23">
        <f>IF(AND(Timing!AA72=1,AA318&gt;Inputs!$C$157),AA318,0)</f>
        <v>0</v>
      </c>
      <c r="AB320" s="23">
        <f>IF(AND(Timing!AB72=1,AB318&gt;Inputs!$C$157),AB318,0)</f>
        <v>0</v>
      </c>
      <c r="AC320" s="23">
        <f>IF(AND(Timing!AC72=1,AC318&gt;Inputs!$C$157),AC318,0)</f>
        <v>0</v>
      </c>
      <c r="AD320" s="23">
        <f>IF(AND(Timing!AD72=1,AD318&gt;Inputs!$C$157),AD318,0)</f>
        <v>0</v>
      </c>
      <c r="AE320" s="23">
        <f>IF(AND(Timing!AE72=1,AE318&gt;Inputs!$C$157),AE318,0)</f>
        <v>0</v>
      </c>
    </row>
    <row r="321">
      <c r="A321" s="41" t="inlineStr">
        <is>
          <t xml:space="preserve">Depreciation</t>
        </is>
      </c>
      <c r="B321" s="10" t="inlineStr">
        <is>
          <t xml:space="preserve">€</t>
        </is>
      </c>
      <c r="F321" s="42">
        <f>F317+F320</f>
        <v>1819758.4576594748</v>
      </c>
      <c r="G321" s="42">
        <f>G317+G320</f>
        <v>3639516.9153189496</v>
      </c>
      <c r="H321" s="42">
        <f>H317+H320</f>
        <v>3639516.9153189496</v>
      </c>
      <c r="I321" s="42">
        <f>I317+I320</f>
        <v>3639516.915318949</v>
      </c>
      <c r="J321" s="42">
        <f>J317+J320</f>
        <v>3639516.915318949</v>
      </c>
      <c r="K321" s="42">
        <f>K317+K320</f>
        <v>3639516.915318949</v>
      </c>
      <c r="L321" s="42">
        <f>L317+L320</f>
        <v>3639516.9153189487</v>
      </c>
      <c r="M321" s="42">
        <f>M317+M320</f>
        <v>3639516.9153189487</v>
      </c>
      <c r="N321" s="42">
        <f>N317+N320</f>
        <v>3639516.9153189487</v>
      </c>
      <c r="O321" s="42">
        <f>O317+O320</f>
        <v>3639516.915318949</v>
      </c>
      <c r="P321" s="42">
        <f>P317+P320</f>
        <v>3639516.9153189487</v>
      </c>
      <c r="Q321" s="42">
        <f>Q317+Q320</f>
        <v>3639516.915318949</v>
      </c>
      <c r="R321" s="42">
        <f>R317+R320</f>
        <v>3639516.915318949</v>
      </c>
      <c r="S321" s="42">
        <f>S317+S320</f>
        <v>3639516.9153189487</v>
      </c>
      <c r="T321" s="42">
        <f>T317+T320</f>
        <v>3639516.9153189487</v>
      </c>
      <c r="U321" s="42">
        <f>U317+U320</f>
        <v>3639516.9153189487</v>
      </c>
      <c r="V321" s="42">
        <f>V317+V320</f>
        <v>1819758.457659474</v>
      </c>
      <c r="W321" s="42">
        <f>W317+W320</f>
        <v>0</v>
      </c>
      <c r="X321" s="42">
        <f>X317+X320</f>
        <v>0</v>
      </c>
      <c r="Y321" s="42">
        <f>Y317+Y320</f>
        <v>0</v>
      </c>
      <c r="Z321" s="42">
        <f>Z317+Z320</f>
        <v>0</v>
      </c>
      <c r="AA321" s="42">
        <f>AA317+AA320</f>
        <v>0</v>
      </c>
      <c r="AB321" s="42">
        <f>AB317+AB320</f>
        <v>0</v>
      </c>
      <c r="AC321" s="42">
        <f>AC317+AC320</f>
        <v>0</v>
      </c>
      <c r="AD321" s="42">
        <f>AD317+AD320</f>
        <v>0</v>
      </c>
      <c r="AE321" s="42">
        <f>AE317+AE320</f>
        <v>0</v>
      </c>
    </row>
    <row r="322">
      <c r="A322" s="6" t="inlineStr">
        <is>
          <t xml:space="preserve">Interest</t>
        </is>
      </c>
      <c r="B322" s="10" t="inlineStr">
        <is>
          <t xml:space="preserve">€</t>
        </is>
      </c>
      <c r="F322" s="45">
        <f>Debt!F10</f>
        <v>551915.1400212483</v>
      </c>
      <c r="G322" s="45">
        <f>Debt!G10</f>
        <v>1103830.2800424965</v>
      </c>
      <c r="H322" s="45">
        <f>Debt!H10</f>
        <v>1079481.0826886182</v>
      </c>
      <c r="I322" s="45">
        <f>Debt!I10</f>
        <v>1014549.8897449417</v>
      </c>
      <c r="J322" s="45">
        <f>Debt!J10</f>
        <v>949618.6968012657</v>
      </c>
      <c r="K322" s="45">
        <f>Debt!K10</f>
        <v>884687.5038575892</v>
      </c>
      <c r="L322" s="45">
        <f>Debt!L10</f>
        <v>819756.3109139131</v>
      </c>
      <c r="M322" s="45">
        <f>Debt!M10</f>
        <v>754825.117970237</v>
      </c>
      <c r="N322" s="45">
        <f>Debt!N10</f>
        <v>689893.9250265607</v>
      </c>
      <c r="O322" s="45">
        <f>Debt!O10</f>
        <v>624962.7320828846</v>
      </c>
      <c r="P322" s="45">
        <f>Debt!P10</f>
        <v>560031.5391392084</v>
      </c>
      <c r="Q322" s="45">
        <f>Debt!Q10</f>
        <v>495100.34619553224</v>
      </c>
      <c r="R322" s="45">
        <f>Debt!R10</f>
        <v>430169.1532518559</v>
      </c>
      <c r="S322" s="45">
        <f>Debt!S10</f>
        <v>365237.9603081797</v>
      </c>
      <c r="T322" s="45">
        <f>Debt!T10</f>
        <v>300306.7673645036</v>
      </c>
      <c r="U322" s="45">
        <f>Debt!U10</f>
        <v>235375.57442082735</v>
      </c>
      <c r="V322" s="45">
        <f>Debt!V10</f>
        <v>170444.38147715112</v>
      </c>
      <c r="W322" s="45">
        <f>Debt!W10</f>
        <v>105513.18853347484</v>
      </c>
      <c r="X322" s="45">
        <f>Debt!X10</f>
        <v>40581.99558979853</v>
      </c>
      <c r="Y322" s="45">
        <f>Debt!Y10</f>
        <v>0</v>
      </c>
      <c r="Z322" s="45">
        <f>Debt!Z10</f>
        <v>0</v>
      </c>
      <c r="AA322" s="45">
        <f>Debt!AA10</f>
        <v>0</v>
      </c>
      <c r="AB322" s="45">
        <f>Debt!AB10</f>
        <v>0</v>
      </c>
      <c r="AC322" s="45">
        <f>Debt!AC10</f>
        <v>0</v>
      </c>
      <c r="AD322" s="45">
        <f>Debt!AD10</f>
        <v>0</v>
      </c>
      <c r="AE322" s="45">
        <f>Debt!AE10</f>
        <v>0</v>
      </c>
    </row>
    <row r="323">
      <c r="A323" s="41" t="inlineStr">
        <is>
          <t xml:space="preserve">Profit before tax</t>
        </is>
      </c>
      <c r="B323" s="10" t="inlineStr">
        <is>
          <t xml:space="preserve">€</t>
        </is>
      </c>
      <c r="F323" s="42">
        <f>Operations!F327-F321-F322-F10</f>
        <v>-1201850.792019114</v>
      </c>
      <c r="G323" s="42">
        <f>Operations!G327-G321-G322-G10</f>
        <v>-2444312.8203514833</v>
      </c>
      <c r="H323" s="42">
        <f>Operations!H327-H321-H322-H10</f>
        <v>-2449201.509512425</v>
      </c>
      <c r="I323" s="42">
        <f>Operations!I327-I321-I322-I10</f>
        <v>-2420909.3136877464</v>
      </c>
      <c r="J323" s="42">
        <f>Operations!J327-J321-J322-J10</f>
        <v>-2395296.781212587</v>
      </c>
      <c r="K323" s="42">
        <f>Operations!K327-K321-K322-K10</f>
        <v>-2370483.1447504354</v>
      </c>
      <c r="L323" s="42">
        <f>Operations!L327-L321-L322-L10</f>
        <v>-2346744.0609000497</v>
      </c>
      <c r="M323" s="42">
        <f>Operations!M327-M321-M322-M10</f>
        <v>-2324063.4812426963</v>
      </c>
      <c r="N323" s="42">
        <f>Operations!N327-N321-N322-N10</f>
        <v>-2302628.8806877695</v>
      </c>
      <c r="O323" s="42">
        <f>Operations!O327-O321-O322-O10</f>
        <v>-2282138.457867226</v>
      </c>
      <c r="P323" s="42">
        <f>Operations!P327-P321-P322-P10</f>
        <v>-2387065.2353056055</v>
      </c>
      <c r="Q323" s="42">
        <f>Operations!Q327-Q321-Q322-Q10</f>
        <v>-2371754.155027727</v>
      </c>
      <c r="R323" s="42">
        <f>Operations!R327-R321-R322-R10</f>
        <v>-2358100.75788867</v>
      </c>
      <c r="S323" s="42">
        <f>Operations!S327-S321-S322-S10</f>
        <v>-2345629.3862677715</v>
      </c>
      <c r="T323" s="42">
        <f>Operations!T327-T321-T322-T10</f>
        <v>-2334983.1375381188</v>
      </c>
      <c r="U323" s="42">
        <f>Operations!U327-U321-U322-U10</f>
        <v>-2326091.041133841</v>
      </c>
      <c r="V323" s="42">
        <f>Operations!V327-V321-V322-V10</f>
        <v>-499604.48185264325</v>
      </c>
      <c r="W323" s="42">
        <f>Operations!W327-W321-W322-W10</f>
        <v>1325451.885684607</v>
      </c>
      <c r="X323" s="42">
        <f>Operations!X327-X321-X322-X10</f>
        <v>1328357.9825103518</v>
      </c>
      <c r="Y323" s="42">
        <f>Operations!Y327-Y321-Y322-Y10</f>
        <v>1304646.1054835937</v>
      </c>
      <c r="Z323" s="42">
        <f>Operations!Z327-Z321-Z322-Z10</f>
        <v>1156836.6346957197</v>
      </c>
      <c r="AA323" s="42">
        <f>Operations!AA327-AA321-AA322-AA10</f>
        <v>1598675.1733961871</v>
      </c>
      <c r="AB323" s="42">
        <f>Operations!AB327-AB321-AB322-AB10</f>
        <v>3269549.7937057335</v>
      </c>
      <c r="AC323" s="42">
        <f>Operations!AC327-AC321-AC322-AC10</f>
        <v>3307890.822653532</v>
      </c>
      <c r="AD323" s="42">
        <f>Operations!AD327-AD321-AD322-AD10</f>
        <v>3276208.8842076105</v>
      </c>
      <c r="AE323" s="42">
        <f>Operations!AE327-AE321-AE322-AE10</f>
        <v>1721324.0033420855</v>
      </c>
    </row>
    <row r="324">
      <c r="A324" s="6" t="inlineStr">
        <is>
          <t xml:space="preserve">Trade tax: add-back of interest and land lease</t>
        </is>
      </c>
      <c r="B324" s="10" t="inlineStr">
        <is>
          <t xml:space="preserve">€</t>
        </is>
      </c>
      <c r="F324" s="23">
        <f>Inputs!$C$116*MAX(0,F322+Inputs!$C$118*Operations!F320-Inputs!$C$117)</f>
        <v>112129.35404287459</v>
      </c>
      <c r="G324" s="23">
        <f>Inputs!$C$116*MAX(0,G322+Inputs!$C$118*Operations!G320-Inputs!$C$117)</f>
        <v>273900.12463677843</v>
      </c>
      <c r="H324" s="23">
        <f>Inputs!$C$116*MAX(0,H322+Inputs!$C$118*Operations!H320-Inputs!$C$117)</f>
        <v>267716.94018905656</v>
      </c>
      <c r="I324" s="23">
        <f>Inputs!$C$116*MAX(0,I322+Inputs!$C$118*Operations!I320-Inputs!$C$117)</f>
        <v>252224.82102328545</v>
      </c>
      <c r="J324" s="23">
        <f>Inputs!$C$116*MAX(0,J322+Inputs!$C$118*Operations!J320-Inputs!$C$117)</f>
        <v>236963.76975910744</v>
      </c>
      <c r="K324" s="23">
        <f>Inputs!$C$116*MAX(0,K322+Inputs!$C$118*Operations!K320-Inputs!$C$117)</f>
        <v>221722.15343436413</v>
      </c>
      <c r="L324" s="23">
        <f>Inputs!$C$116*MAX(0,L322+Inputs!$C$118*Operations!L320-Inputs!$C$117)</f>
        <v>206500.36074784442</v>
      </c>
      <c r="M324" s="23">
        <f>Inputs!$C$116*MAX(0,M322+Inputs!$C$118*Operations!M320-Inputs!$C$117)</f>
        <v>191298.78817231272</v>
      </c>
      <c r="N324" s="23">
        <f>Inputs!$C$116*MAX(0,N322+Inputs!$C$118*Operations!N320-Inputs!$C$117)</f>
        <v>176117.8401099887</v>
      </c>
      <c r="O324" s="23">
        <f>Inputs!$C$116*MAX(0,O322+Inputs!$C$118*Operations!O320-Inputs!$C$117)</f>
        <v>160957.92905113666</v>
      </c>
      <c r="P324" s="23">
        <f>Inputs!$C$116*MAX(0,P322+Inputs!$C$118*Operations!P320-Inputs!$C$117)</f>
        <v>145819.47573582592</v>
      </c>
      <c r="Q324" s="23">
        <f>Inputs!$C$116*MAX(0,Q322+Inputs!$C$118*Operations!Q320-Inputs!$C$117)</f>
        <v>130702.90931892736</v>
      </c>
      <c r="R324" s="23">
        <f>Inputs!$C$116*MAX(0,R322+Inputs!$C$118*Operations!R320-Inputs!$C$117)</f>
        <v>115608.66753840918</v>
      </c>
      <c r="S324" s="23">
        <f>Inputs!$C$116*MAX(0,S322+Inputs!$C$118*Operations!S320-Inputs!$C$117)</f>
        <v>100537.19688699901</v>
      </c>
      <c r="T324" s="23">
        <f>Inputs!$C$116*MAX(0,T322+Inputs!$C$118*Operations!T320-Inputs!$C$117)</f>
        <v>85488.95278727906</v>
      </c>
      <c r="U324" s="23">
        <f>Inputs!$C$116*MAX(0,U322+Inputs!$C$118*Operations!U320-Inputs!$C$117)</f>
        <v>70464.39977028307</v>
      </c>
      <c r="V324" s="23">
        <f>Inputs!$C$116*MAX(0,V322+Inputs!$C$118*Operations!V320-Inputs!$C$117)</f>
        <v>55464.01165766554</v>
      </c>
      <c r="W324" s="23">
        <f>Inputs!$C$116*MAX(0,W322+Inputs!$C$118*Operations!W320-Inputs!$C$117)</f>
        <v>40488.27174751402</v>
      </c>
      <c r="X324" s="23">
        <f>Inputs!$C$116*MAX(0,X322+Inputs!$C$118*Operations!X320-Inputs!$C$117)</f>
        <v>25537.673003877848</v>
      </c>
      <c r="Y324" s="23">
        <f>Inputs!$C$116*MAX(0,Y322+Inputs!$C$118*Operations!Y320-Inputs!$C$117)</f>
        <v>16700.017588556788</v>
      </c>
      <c r="Z324" s="23">
        <f>Inputs!$C$116*MAX(0,Z322+Inputs!$C$118*Operations!Z320-Inputs!$C$117)</f>
        <v>18034.017940327918</v>
      </c>
      <c r="AA324" s="23">
        <f>Inputs!$C$116*MAX(0,AA322+Inputs!$C$118*Operations!AA320-Inputs!$C$117)</f>
        <v>19394.698299134485</v>
      </c>
      <c r="AB324" s="23">
        <f>Inputs!$C$116*MAX(0,AB322+Inputs!$C$118*Operations!AB320-Inputs!$C$117)</f>
        <v>24558.650851563434</v>
      </c>
      <c r="AC324" s="23">
        <f>Inputs!$C$116*MAX(0,AC322+Inputs!$C$118*Operations!AC320-Inputs!$C$117)</f>
        <v>25897.724220857534</v>
      </c>
      <c r="AD324" s="23">
        <f>Inputs!$C$116*MAX(0,AD322+Inputs!$C$118*Operations!AD320-Inputs!$C$117)</f>
        <v>27260.847347864124</v>
      </c>
      <c r="AE324" s="23">
        <f>Inputs!$C$116*MAX(0,AE322+Inputs!$C$118*Operations!AE320-Inputs!$C$117)</f>
        <v>0</v>
      </c>
    </row>
    <row r="325">
      <c r="A325" s="6" t="inlineStr">
        <is>
          <t xml:space="preserve">Trade income before losses</t>
        </is>
      </c>
      <c r="B325" s="10" t="inlineStr">
        <is>
          <t xml:space="preserve">€</t>
        </is>
      </c>
      <c r="F325" s="23">
        <f>F323+F324</f>
        <v>-1089721.4379762392</v>
      </c>
      <c r="G325" s="23">
        <f>G323+G324</f>
        <v>-2170412.6957147047</v>
      </c>
      <c r="H325" s="23">
        <f>H323+H324</f>
        <v>-2181484.5693233684</v>
      </c>
      <c r="I325" s="23">
        <f>I323+I324</f>
        <v>-2168684.492664461</v>
      </c>
      <c r="J325" s="23">
        <f>J323+J324</f>
        <v>-2158333.0114534795</v>
      </c>
      <c r="K325" s="23">
        <f>K323+K324</f>
        <v>-2148760.9913160712</v>
      </c>
      <c r="L325" s="23">
        <f>L323+L324</f>
        <v>-2140243.7001522053</v>
      </c>
      <c r="M325" s="23">
        <f>M323+M324</f>
        <v>-2132764.6930703837</v>
      </c>
      <c r="N325" s="23">
        <f>N323+N324</f>
        <v>-2126511.040577781</v>
      </c>
      <c r="O325" s="23">
        <f>O323+O324</f>
        <v>-2121180.5288160895</v>
      </c>
      <c r="P325" s="23">
        <f>P323+P324</f>
        <v>-2241245.7595697795</v>
      </c>
      <c r="Q325" s="23">
        <f>Q323+Q324</f>
        <v>-2241051.2457088</v>
      </c>
      <c r="R325" s="23">
        <f>R323+R324</f>
        <v>-2242492.090350261</v>
      </c>
      <c r="S325" s="23">
        <f>S323+S324</f>
        <v>-2245092.1893807724</v>
      </c>
      <c r="T325" s="23">
        <f>T323+T324</f>
        <v>-2249494.1847508396</v>
      </c>
      <c r="U325" s="23">
        <f>U323+U324</f>
        <v>-2255626.641363558</v>
      </c>
      <c r="V325" s="23">
        <f>V323+V324</f>
        <v>-444140.4701949777</v>
      </c>
      <c r="W325" s="23">
        <f>W323+W324</f>
        <v>1365940.1574321212</v>
      </c>
      <c r="X325" s="23">
        <f>X323+X324</f>
        <v>1353895.6555142296</v>
      </c>
      <c r="Y325" s="23">
        <f>Y323+Y324</f>
        <v>1321346.1230721504</v>
      </c>
      <c r="Z325" s="23">
        <f>Z323+Z324</f>
        <v>1174870.6526360477</v>
      </c>
      <c r="AA325" s="23">
        <f>AA323+AA324</f>
        <v>1618069.8716953215</v>
      </c>
      <c r="AB325" s="23">
        <f>AB323+AB324</f>
        <v>3294108.444557297</v>
      </c>
      <c r="AC325" s="23">
        <f>AC323+AC324</f>
        <v>3333788.5468743895</v>
      </c>
      <c r="AD325" s="23">
        <f>AD323+AD324</f>
        <v>3303469.7315554745</v>
      </c>
      <c r="AE325" s="23">
        <f>AE323+AE324</f>
        <v>1721324.0033420855</v>
      </c>
    </row>
    <row r="326">
      <c r="A326" s="6" t="inlineStr">
        <is>
          <t xml:space="preserve">Trade loss carry-forward at the start</t>
        </is>
      </c>
      <c r="B326" s="10" t="inlineStr">
        <is>
          <t xml:space="preserve">€</t>
        </is>
      </c>
      <c r="E326" s="9">
        <v>0</v>
      </c>
      <c r="F326" s="23">
        <f>E328</f>
        <v>0</v>
      </c>
      <c r="G326" s="23">
        <f>F328</f>
        <v>1089721.4379762392</v>
      </c>
      <c r="H326" s="23">
        <f>G328</f>
        <v>3260134.133690944</v>
      </c>
      <c r="I326" s="23">
        <f>H328</f>
        <v>5441618.703014312</v>
      </c>
      <c r="J326" s="23">
        <f>I328</f>
        <v>7610303.195678773</v>
      </c>
      <c r="K326" s="23">
        <f>J328</f>
        <v>9768636.207132254</v>
      </c>
      <c r="L326" s="23">
        <f>K328</f>
        <v>11917397.198448325</v>
      </c>
      <c r="M326" s="23">
        <f>L328</f>
        <v>14057640.89860053</v>
      </c>
      <c r="N326" s="23">
        <f>M328</f>
        <v>16190405.591670914</v>
      </c>
      <c r="O326" s="23">
        <f>N328</f>
        <v>18316916.632248696</v>
      </c>
      <c r="P326" s="23">
        <f>O328</f>
        <v>20438097.161064785</v>
      </c>
      <c r="Q326" s="23">
        <f>P328</f>
        <v>22679342.920634564</v>
      </c>
      <c r="R326" s="23">
        <f>Q328</f>
        <v>24920394.166343365</v>
      </c>
      <c r="S326" s="23">
        <f>R328</f>
        <v>27162886.256693624</v>
      </c>
      <c r="T326" s="23">
        <f>S328</f>
        <v>29407978.446074396</v>
      </c>
      <c r="U326" s="23">
        <f>T328</f>
        <v>31657472.630825236</v>
      </c>
      <c r="V326" s="23">
        <f>U328</f>
        <v>33913099.2721888</v>
      </c>
      <c r="W326" s="23">
        <f>V328</f>
        <v>34357239.74238378</v>
      </c>
      <c r="X326" s="23">
        <f>W328</f>
        <v>33137675.647924505</v>
      </c>
      <c r="Y326" s="23">
        <f>X328</f>
        <v>31925338.254615966</v>
      </c>
      <c r="Z326" s="23">
        <f>Y328</f>
        <v>30732530.580772676</v>
      </c>
      <c r="AA326" s="23">
        <f>Z328</f>
        <v>29627608.189191047</v>
      </c>
      <c r="AB326" s="23">
        <f>AA328</f>
        <v>28256766.266173854</v>
      </c>
      <c r="AC326" s="23">
        <f>AB328</f>
        <v>25880301.199439477</v>
      </c>
      <c r="AD326" s="23">
        <f>AC328</f>
        <v>23480028.07131484</v>
      </c>
      <c r="AE326" s="23">
        <f>AD328</f>
        <v>21097946.232381556</v>
      </c>
    </row>
    <row r="327">
      <c r="A327" s="6" t="inlineStr">
        <is>
          <t xml:space="preserve">Trade losses used (€1m in full, 60 % above)</t>
        </is>
      </c>
      <c r="B327" s="10" t="inlineStr">
        <is>
          <t xml:space="preserve">€</t>
        </is>
      </c>
      <c r="F327" s="23">
        <f>IF(F325&gt;0,MIN(F326,MIN(F325,Inputs!$C$119)+Inputs!$C$120*MAX(0,F325-Inputs!$C$119)),0)</f>
        <v>0</v>
      </c>
      <c r="G327" s="23">
        <f>IF(G325&gt;0,MIN(G326,MIN(G325,Inputs!$C$119)+Inputs!$C$120*MAX(0,G325-Inputs!$C$119)),0)</f>
        <v>0</v>
      </c>
      <c r="H327" s="23">
        <f>IF(H325&gt;0,MIN(H326,MIN(H325,Inputs!$C$119)+Inputs!$C$120*MAX(0,H325-Inputs!$C$119)),0)</f>
        <v>0</v>
      </c>
      <c r="I327" s="23">
        <f>IF(I325&gt;0,MIN(I326,MIN(I325,Inputs!$C$119)+Inputs!$C$120*MAX(0,I325-Inputs!$C$119)),0)</f>
        <v>0</v>
      </c>
      <c r="J327" s="23">
        <f>IF(J325&gt;0,MIN(J326,MIN(J325,Inputs!$C$119)+Inputs!$C$120*MAX(0,J325-Inputs!$C$119)),0)</f>
        <v>0</v>
      </c>
      <c r="K327" s="23">
        <f>IF(K325&gt;0,MIN(K326,MIN(K325,Inputs!$C$119)+Inputs!$C$120*MAX(0,K325-Inputs!$C$119)),0)</f>
        <v>0</v>
      </c>
      <c r="L327" s="23">
        <f>IF(L325&gt;0,MIN(L326,MIN(L325,Inputs!$C$119)+Inputs!$C$120*MAX(0,L325-Inputs!$C$119)),0)</f>
        <v>0</v>
      </c>
      <c r="M327" s="23">
        <f>IF(M325&gt;0,MIN(M326,MIN(M325,Inputs!$C$119)+Inputs!$C$120*MAX(0,M325-Inputs!$C$119)),0)</f>
        <v>0</v>
      </c>
      <c r="N327" s="23">
        <f>IF(N325&gt;0,MIN(N326,MIN(N325,Inputs!$C$119)+Inputs!$C$120*MAX(0,N325-Inputs!$C$119)),0)</f>
        <v>0</v>
      </c>
      <c r="O327" s="23">
        <f>IF(O325&gt;0,MIN(O326,MIN(O325,Inputs!$C$119)+Inputs!$C$120*MAX(0,O325-Inputs!$C$119)),0)</f>
        <v>0</v>
      </c>
      <c r="P327" s="23">
        <f>IF(P325&gt;0,MIN(P326,MIN(P325,Inputs!$C$119)+Inputs!$C$120*MAX(0,P325-Inputs!$C$119)),0)</f>
        <v>0</v>
      </c>
      <c r="Q327" s="23">
        <f>IF(Q325&gt;0,MIN(Q326,MIN(Q325,Inputs!$C$119)+Inputs!$C$120*MAX(0,Q325-Inputs!$C$119)),0)</f>
        <v>0</v>
      </c>
      <c r="R327" s="23">
        <f>IF(R325&gt;0,MIN(R326,MIN(R325,Inputs!$C$119)+Inputs!$C$120*MAX(0,R325-Inputs!$C$119)),0)</f>
        <v>0</v>
      </c>
      <c r="S327" s="23">
        <f>IF(S325&gt;0,MIN(S326,MIN(S325,Inputs!$C$119)+Inputs!$C$120*MAX(0,S325-Inputs!$C$119)),0)</f>
        <v>0</v>
      </c>
      <c r="T327" s="23">
        <f>IF(T325&gt;0,MIN(T326,MIN(T325,Inputs!$C$119)+Inputs!$C$120*MAX(0,T325-Inputs!$C$119)),0)</f>
        <v>0</v>
      </c>
      <c r="U327" s="23">
        <f>IF(U325&gt;0,MIN(U326,MIN(U325,Inputs!$C$119)+Inputs!$C$120*MAX(0,U325-Inputs!$C$119)),0)</f>
        <v>0</v>
      </c>
      <c r="V327" s="23">
        <f>IF(V325&gt;0,MIN(V326,MIN(V325,Inputs!$C$119)+Inputs!$C$120*MAX(0,V325-Inputs!$C$119)),0)</f>
        <v>0</v>
      </c>
      <c r="W327" s="23">
        <f>IF(W325&gt;0,MIN(W326,MIN(W325,Inputs!$C$119)+Inputs!$C$120*MAX(0,W325-Inputs!$C$119)),0)</f>
        <v>1219564.094459273</v>
      </c>
      <c r="X327" s="23">
        <f>IF(X325&gt;0,MIN(X326,MIN(X325,Inputs!$C$119)+Inputs!$C$120*MAX(0,X325-Inputs!$C$119)),0)</f>
        <v>1212337.393308539</v>
      </c>
      <c r="Y327" s="23">
        <f>IF(Y325&gt;0,MIN(Y326,MIN(Y325,Inputs!$C$119)+Inputs!$C$120*MAX(0,Y325-Inputs!$C$119)),0)</f>
        <v>1192807.6738432907</v>
      </c>
      <c r="Z327" s="23">
        <f>IF(Z325&gt;0,MIN(Z326,MIN(Z325,Inputs!$C$119)+Inputs!$C$120*MAX(0,Z325-Inputs!$C$119)),0)</f>
        <v>1104922.3915816285</v>
      </c>
      <c r="AA327" s="23">
        <f>IF(AA325&gt;0,MIN(AA326,MIN(AA325,Inputs!$C$119)+Inputs!$C$120*MAX(0,AA325-Inputs!$C$119)),0)</f>
        <v>1370841.9230171926</v>
      </c>
      <c r="AB327" s="23">
        <f>IF(AB325&gt;0,MIN(AB326,MIN(AB325,Inputs!$C$119)+Inputs!$C$120*MAX(0,AB325-Inputs!$C$119)),0)</f>
        <v>2376465.0667343773</v>
      </c>
      <c r="AC327" s="23">
        <f>IF(AC325&gt;0,MIN(AC326,MIN(AC325,Inputs!$C$119)+Inputs!$C$120*MAX(0,AC325-Inputs!$C$119)),0)</f>
        <v>2400273.1281246357</v>
      </c>
      <c r="AD327" s="23">
        <f>IF(AD325&gt;0,MIN(AD326,MIN(AD325,Inputs!$C$119)+Inputs!$C$120*MAX(0,AD325-Inputs!$C$119)),0)</f>
        <v>2382081.8389332853</v>
      </c>
      <c r="AE327" s="23">
        <f>IF(AE325&gt;0,MIN(AE326,MIN(AE325,Inputs!$C$119)+Inputs!$C$120*MAX(0,AE325-Inputs!$C$119)),0)</f>
        <v>1432794.4020052515</v>
      </c>
    </row>
    <row r="328">
      <c r="A328" s="6" t="inlineStr">
        <is>
          <t xml:space="preserve">Trade loss carry-forward at the year end</t>
        </is>
      </c>
      <c r="B328" s="10" t="inlineStr">
        <is>
          <t xml:space="preserve">€</t>
        </is>
      </c>
      <c r="F328" s="23">
        <f>F326-F327+MAX(0,-F325)</f>
        <v>1089721.4379762392</v>
      </c>
      <c r="G328" s="23">
        <f>G326-G327+MAX(0,-G325)</f>
        <v>3260134.133690944</v>
      </c>
      <c r="H328" s="23">
        <f>H326-H327+MAX(0,-H325)</f>
        <v>5441618.703014312</v>
      </c>
      <c r="I328" s="23">
        <f>I326-I327+MAX(0,-I325)</f>
        <v>7610303.195678773</v>
      </c>
      <c r="J328" s="23">
        <f>J326-J327+MAX(0,-J325)</f>
        <v>9768636.207132254</v>
      </c>
      <c r="K328" s="23">
        <f>K326-K327+MAX(0,-K325)</f>
        <v>11917397.198448325</v>
      </c>
      <c r="L328" s="23">
        <f>L326-L327+MAX(0,-L325)</f>
        <v>14057640.89860053</v>
      </c>
      <c r="M328" s="23">
        <f>M326-M327+MAX(0,-M325)</f>
        <v>16190405.591670914</v>
      </c>
      <c r="N328" s="23">
        <f>N326-N327+MAX(0,-N325)</f>
        <v>18316916.632248696</v>
      </c>
      <c r="O328" s="23">
        <f>O326-O327+MAX(0,-O325)</f>
        <v>20438097.161064785</v>
      </c>
      <c r="P328" s="23">
        <f>P326-P327+MAX(0,-P325)</f>
        <v>22679342.920634564</v>
      </c>
      <c r="Q328" s="23">
        <f>Q326-Q327+MAX(0,-Q325)</f>
        <v>24920394.166343365</v>
      </c>
      <c r="R328" s="23">
        <f>R326-R327+MAX(0,-R325)</f>
        <v>27162886.256693624</v>
      </c>
      <c r="S328" s="23">
        <f>S326-S327+MAX(0,-S325)</f>
        <v>29407978.446074396</v>
      </c>
      <c r="T328" s="23">
        <f>T326-T327+MAX(0,-T325)</f>
        <v>31657472.630825236</v>
      </c>
      <c r="U328" s="23">
        <f>U326-U327+MAX(0,-U325)</f>
        <v>33913099.2721888</v>
      </c>
      <c r="V328" s="23">
        <f>V326-V327+MAX(0,-V325)</f>
        <v>34357239.74238378</v>
      </c>
      <c r="W328" s="23">
        <f>W326-W327+MAX(0,-W325)</f>
        <v>33137675.647924505</v>
      </c>
      <c r="X328" s="23">
        <f>X326-X327+MAX(0,-X325)</f>
        <v>31925338.254615966</v>
      </c>
      <c r="Y328" s="23">
        <f>Y326-Y327+MAX(0,-Y325)</f>
        <v>30732530.580772676</v>
      </c>
      <c r="Z328" s="23">
        <f>Z326-Z327+MAX(0,-Z325)</f>
        <v>29627608.189191047</v>
      </c>
      <c r="AA328" s="23">
        <f>AA326-AA327+MAX(0,-AA325)</f>
        <v>28256766.266173854</v>
      </c>
      <c r="AB328" s="23">
        <f>AB326-AB327+MAX(0,-AB325)</f>
        <v>25880301.199439477</v>
      </c>
      <c r="AC328" s="23">
        <f>AC326-AC327+MAX(0,-AC325)</f>
        <v>23480028.07131484</v>
      </c>
      <c r="AD328" s="23">
        <f>AD326-AD327+MAX(0,-AD325)</f>
        <v>21097946.232381556</v>
      </c>
      <c r="AE328" s="23">
        <f>AE326-AE327+MAX(0,-AE325)</f>
        <v>19665151.830376305</v>
      </c>
    </row>
    <row r="329">
      <c r="A329" s="6" t="inlineStr">
        <is>
          <t xml:space="preserve">Trade tax base (rounded down to €100; KG allowance)</t>
        </is>
      </c>
      <c r="B329" s="10" t="inlineStr">
        <is>
          <t xml:space="preserve">€</t>
        </is>
      </c>
      <c r="F329" s="23">
        <f>IF(Inputs!$C$91="KG",MAX(0,ROUNDDOWN(MAX(0,F325-F327)/100,0)*100-Inputs!$C$115),ROUNDDOWN(MAX(0,F325-F327)/100,0)*100)</f>
        <v>0</v>
      </c>
      <c r="G329" s="23">
        <f>IF(Inputs!$C$91="KG",MAX(0,ROUNDDOWN(MAX(0,G325-G327)/100,0)*100-Inputs!$C$115),ROUNDDOWN(MAX(0,G325-G327)/100,0)*100)</f>
        <v>0</v>
      </c>
      <c r="H329" s="23">
        <f>IF(Inputs!$C$91="KG",MAX(0,ROUNDDOWN(MAX(0,H325-H327)/100,0)*100-Inputs!$C$115),ROUNDDOWN(MAX(0,H325-H327)/100,0)*100)</f>
        <v>0</v>
      </c>
      <c r="I329" s="23">
        <f>IF(Inputs!$C$91="KG",MAX(0,ROUNDDOWN(MAX(0,I325-I327)/100,0)*100-Inputs!$C$115),ROUNDDOWN(MAX(0,I325-I327)/100,0)*100)</f>
        <v>0</v>
      </c>
      <c r="J329" s="23">
        <f>IF(Inputs!$C$91="KG",MAX(0,ROUNDDOWN(MAX(0,J325-J327)/100,0)*100-Inputs!$C$115),ROUNDDOWN(MAX(0,J325-J327)/100,0)*100)</f>
        <v>0</v>
      </c>
      <c r="K329" s="23">
        <f>IF(Inputs!$C$91="KG",MAX(0,ROUNDDOWN(MAX(0,K325-K327)/100,0)*100-Inputs!$C$115),ROUNDDOWN(MAX(0,K325-K327)/100,0)*100)</f>
        <v>0</v>
      </c>
      <c r="L329" s="23">
        <f>IF(Inputs!$C$91="KG",MAX(0,ROUNDDOWN(MAX(0,L325-L327)/100,0)*100-Inputs!$C$115),ROUNDDOWN(MAX(0,L325-L327)/100,0)*100)</f>
        <v>0</v>
      </c>
      <c r="M329" s="23">
        <f>IF(Inputs!$C$91="KG",MAX(0,ROUNDDOWN(MAX(0,M325-M327)/100,0)*100-Inputs!$C$115),ROUNDDOWN(MAX(0,M325-M327)/100,0)*100)</f>
        <v>0</v>
      </c>
      <c r="N329" s="23">
        <f>IF(Inputs!$C$91="KG",MAX(0,ROUNDDOWN(MAX(0,N325-N327)/100,0)*100-Inputs!$C$115),ROUNDDOWN(MAX(0,N325-N327)/100,0)*100)</f>
        <v>0</v>
      </c>
      <c r="O329" s="23">
        <f>IF(Inputs!$C$91="KG",MAX(0,ROUNDDOWN(MAX(0,O325-O327)/100,0)*100-Inputs!$C$115),ROUNDDOWN(MAX(0,O325-O327)/100,0)*100)</f>
        <v>0</v>
      </c>
      <c r="P329" s="23">
        <f>IF(Inputs!$C$91="KG",MAX(0,ROUNDDOWN(MAX(0,P325-P327)/100,0)*100-Inputs!$C$115),ROUNDDOWN(MAX(0,P325-P327)/100,0)*100)</f>
        <v>0</v>
      </c>
      <c r="Q329" s="23">
        <f>IF(Inputs!$C$91="KG",MAX(0,ROUNDDOWN(MAX(0,Q325-Q327)/100,0)*100-Inputs!$C$115),ROUNDDOWN(MAX(0,Q325-Q327)/100,0)*100)</f>
        <v>0</v>
      </c>
      <c r="R329" s="23">
        <f>IF(Inputs!$C$91="KG",MAX(0,ROUNDDOWN(MAX(0,R325-R327)/100,0)*100-Inputs!$C$115),ROUNDDOWN(MAX(0,R325-R327)/100,0)*100)</f>
        <v>0</v>
      </c>
      <c r="S329" s="23">
        <f>IF(Inputs!$C$91="KG",MAX(0,ROUNDDOWN(MAX(0,S325-S327)/100,0)*100-Inputs!$C$115),ROUNDDOWN(MAX(0,S325-S327)/100,0)*100)</f>
        <v>0</v>
      </c>
      <c r="T329" s="23">
        <f>IF(Inputs!$C$91="KG",MAX(0,ROUNDDOWN(MAX(0,T325-T327)/100,0)*100-Inputs!$C$115),ROUNDDOWN(MAX(0,T325-T327)/100,0)*100)</f>
        <v>0</v>
      </c>
      <c r="U329" s="23">
        <f>IF(Inputs!$C$91="KG",MAX(0,ROUNDDOWN(MAX(0,U325-U327)/100,0)*100-Inputs!$C$115),ROUNDDOWN(MAX(0,U325-U327)/100,0)*100)</f>
        <v>0</v>
      </c>
      <c r="V329" s="23">
        <f>IF(Inputs!$C$91="KG",MAX(0,ROUNDDOWN(MAX(0,V325-V327)/100,0)*100-Inputs!$C$115),ROUNDDOWN(MAX(0,V325-V327)/100,0)*100)</f>
        <v>0</v>
      </c>
      <c r="W329" s="23">
        <f>IF(Inputs!$C$91="KG",MAX(0,ROUNDDOWN(MAX(0,W325-W327)/100,0)*100-Inputs!$C$115),ROUNDDOWN(MAX(0,W325-W327)/100,0)*100)</f>
        <v>121800</v>
      </c>
      <c r="X329" s="23">
        <f>IF(Inputs!$C$91="KG",MAX(0,ROUNDDOWN(MAX(0,X325-X327)/100,0)*100-Inputs!$C$115),ROUNDDOWN(MAX(0,X325-X327)/100,0)*100)</f>
        <v>117000</v>
      </c>
      <c r="Y329" s="23">
        <f>IF(Inputs!$C$91="KG",MAX(0,ROUNDDOWN(MAX(0,Y325-Y327)/100,0)*100-Inputs!$C$115),ROUNDDOWN(MAX(0,Y325-Y327)/100,0)*100)</f>
        <v>104000</v>
      </c>
      <c r="Z329" s="23">
        <f>IF(Inputs!$C$91="KG",MAX(0,ROUNDDOWN(MAX(0,Z325-Z327)/100,0)*100-Inputs!$C$115),ROUNDDOWN(MAX(0,Z325-Z327)/100,0)*100)</f>
        <v>45400</v>
      </c>
      <c r="AA329" s="23">
        <f>IF(Inputs!$C$91="KG",MAX(0,ROUNDDOWN(MAX(0,AA325-AA327)/100,0)*100-Inputs!$C$115),ROUNDDOWN(MAX(0,AA325-AA327)/100,0)*100)</f>
        <v>222700</v>
      </c>
      <c r="AB329" s="23">
        <f>IF(Inputs!$C$91="KG",MAX(0,ROUNDDOWN(MAX(0,AB325-AB327)/100,0)*100-Inputs!$C$115),ROUNDDOWN(MAX(0,AB325-AB327)/100,0)*100)</f>
        <v>893100</v>
      </c>
      <c r="AC329" s="23">
        <f>IF(Inputs!$C$91="KG",MAX(0,ROUNDDOWN(MAX(0,AC325-AC327)/100,0)*100-Inputs!$C$115),ROUNDDOWN(MAX(0,AC325-AC327)/100,0)*100)</f>
        <v>909000</v>
      </c>
      <c r="AD329" s="23">
        <f>IF(Inputs!$C$91="KG",MAX(0,ROUNDDOWN(MAX(0,AD325-AD327)/100,0)*100-Inputs!$C$115),ROUNDDOWN(MAX(0,AD325-AD327)/100,0)*100)</f>
        <v>896800</v>
      </c>
      <c r="AE329" s="23">
        <f>IF(Inputs!$C$91="KG",MAX(0,ROUNDDOWN(MAX(0,AE325-AE327)/100,0)*100-Inputs!$C$115),ROUNDDOWN(MAX(0,AE325-AE327)/100,0)*100)</f>
        <v>264000</v>
      </c>
    </row>
    <row r="330">
      <c r="A330" s="6" t="inlineStr">
        <is>
          <t xml:space="preserve">Trade tax</t>
        </is>
      </c>
      <c r="B330" s="10" t="inlineStr">
        <is>
          <t xml:space="preserve">€</t>
        </is>
      </c>
      <c r="F330" s="23">
        <f>F329*Inputs!$C$114*Inputs!$C$92</f>
        <v>0</v>
      </c>
      <c r="G330" s="23">
        <f>G329*Inputs!$C$114*Inputs!$C$92</f>
        <v>0</v>
      </c>
      <c r="H330" s="23">
        <f>H329*Inputs!$C$114*Inputs!$C$92</f>
        <v>0</v>
      </c>
      <c r="I330" s="23">
        <f>I329*Inputs!$C$114*Inputs!$C$92</f>
        <v>0</v>
      </c>
      <c r="J330" s="23">
        <f>J329*Inputs!$C$114*Inputs!$C$92</f>
        <v>0</v>
      </c>
      <c r="K330" s="23">
        <f>K329*Inputs!$C$114*Inputs!$C$92</f>
        <v>0</v>
      </c>
      <c r="L330" s="23">
        <f>L329*Inputs!$C$114*Inputs!$C$92</f>
        <v>0</v>
      </c>
      <c r="M330" s="23">
        <f>M329*Inputs!$C$114*Inputs!$C$92</f>
        <v>0</v>
      </c>
      <c r="N330" s="23">
        <f>N329*Inputs!$C$114*Inputs!$C$92</f>
        <v>0</v>
      </c>
      <c r="O330" s="23">
        <f>O329*Inputs!$C$114*Inputs!$C$92</f>
        <v>0</v>
      </c>
      <c r="P330" s="23">
        <f>P329*Inputs!$C$114*Inputs!$C$92</f>
        <v>0</v>
      </c>
      <c r="Q330" s="23">
        <f>Q329*Inputs!$C$114*Inputs!$C$92</f>
        <v>0</v>
      </c>
      <c r="R330" s="23">
        <f>R329*Inputs!$C$114*Inputs!$C$92</f>
        <v>0</v>
      </c>
      <c r="S330" s="23">
        <f>S329*Inputs!$C$114*Inputs!$C$92</f>
        <v>0</v>
      </c>
      <c r="T330" s="23">
        <f>T329*Inputs!$C$114*Inputs!$C$92</f>
        <v>0</v>
      </c>
      <c r="U330" s="23">
        <f>U329*Inputs!$C$114*Inputs!$C$92</f>
        <v>0</v>
      </c>
      <c r="V330" s="23">
        <f>V329*Inputs!$C$114*Inputs!$C$92</f>
        <v>0</v>
      </c>
      <c r="W330" s="23">
        <f>W329*Inputs!$C$114*Inputs!$C$92</f>
        <v>17052</v>
      </c>
      <c r="X330" s="23">
        <f>X329*Inputs!$C$114*Inputs!$C$92</f>
        <v>16380.000000000002</v>
      </c>
      <c r="Y330" s="23">
        <f>Y329*Inputs!$C$114*Inputs!$C$92</f>
        <v>14560.000000000002</v>
      </c>
      <c r="Z330" s="23">
        <f>Z329*Inputs!$C$114*Inputs!$C$92</f>
        <v>6356.000000000001</v>
      </c>
      <c r="AA330" s="23">
        <f>AA329*Inputs!$C$114*Inputs!$C$92</f>
        <v>31178.000000000004</v>
      </c>
      <c r="AB330" s="23">
        <f>AB329*Inputs!$C$114*Inputs!$C$92</f>
        <v>125034.00000000001</v>
      </c>
      <c r="AC330" s="23">
        <f>AC329*Inputs!$C$114*Inputs!$C$92</f>
        <v>127260.00000000001</v>
      </c>
      <c r="AD330" s="23">
        <f>AD329*Inputs!$C$114*Inputs!$C$92</f>
        <v>125552.00000000001</v>
      </c>
      <c r="AE330" s="23">
        <f>AE329*Inputs!$C$114*Inputs!$C$92</f>
        <v>36960</v>
      </c>
    </row>
    <row r="331">
      <c r="A331" s="6" t="inlineStr">
        <is>
          <t xml:space="preserve">Corporate loss carry-forward at the start (GmbH)</t>
        </is>
      </c>
      <c r="B331" s="10" t="inlineStr">
        <is>
          <t xml:space="preserve">€</t>
        </is>
      </c>
      <c r="E331" s="9">
        <v>0</v>
      </c>
      <c r="F331" s="23">
        <f>E334</f>
        <v>0</v>
      </c>
      <c r="G331" s="23">
        <f>F334</f>
        <v>0</v>
      </c>
      <c r="H331" s="23">
        <f>G334</f>
        <v>0</v>
      </c>
      <c r="I331" s="23">
        <f>H334</f>
        <v>0</v>
      </c>
      <c r="J331" s="23">
        <f>I334</f>
        <v>0</v>
      </c>
      <c r="K331" s="23">
        <f>J334</f>
        <v>0</v>
      </c>
      <c r="L331" s="23">
        <f>K334</f>
        <v>0</v>
      </c>
      <c r="M331" s="23">
        <f>L334</f>
        <v>0</v>
      </c>
      <c r="N331" s="23">
        <f>M334</f>
        <v>0</v>
      </c>
      <c r="O331" s="23">
        <f>N334</f>
        <v>0</v>
      </c>
      <c r="P331" s="23">
        <f>O334</f>
        <v>0</v>
      </c>
      <c r="Q331" s="23">
        <f>P334</f>
        <v>0</v>
      </c>
      <c r="R331" s="23">
        <f>Q334</f>
        <v>0</v>
      </c>
      <c r="S331" s="23">
        <f>R334</f>
        <v>0</v>
      </c>
      <c r="T331" s="23">
        <f>S334</f>
        <v>0</v>
      </c>
      <c r="U331" s="23">
        <f>T334</f>
        <v>0</v>
      </c>
      <c r="V331" s="23">
        <f>U334</f>
        <v>0</v>
      </c>
      <c r="W331" s="23">
        <f>V334</f>
        <v>0</v>
      </c>
      <c r="X331" s="23">
        <f>W334</f>
        <v>0</v>
      </c>
      <c r="Y331" s="23">
        <f>X334</f>
        <v>0</v>
      </c>
      <c r="Z331" s="23">
        <f>Y334</f>
        <v>0</v>
      </c>
      <c r="AA331" s="23">
        <f>Z334</f>
        <v>0</v>
      </c>
      <c r="AB331" s="23">
        <f>AA334</f>
        <v>0</v>
      </c>
      <c r="AC331" s="23">
        <f>AB334</f>
        <v>0</v>
      </c>
      <c r="AD331" s="23">
        <f>AC334</f>
        <v>0</v>
      </c>
      <c r="AE331" s="23">
        <f>AD334</f>
        <v>0</v>
      </c>
    </row>
    <row r="332">
      <c r="A332" s="6" t="inlineStr">
        <is>
          <t xml:space="preserve">Corporate tax: share of profit above €1m that losses may offset</t>
        </is>
      </c>
      <c r="F332" s="24">
        <f>IF(Timing!F59&lt;=Inputs!$C$123,Inputs!$C$121,Inputs!$C$122)</f>
        <v>0.6</v>
      </c>
      <c r="G332" s="24">
        <f>IF(Timing!G59&lt;=Inputs!$C$123,Inputs!$C$121,Inputs!$C$122)</f>
        <v>0.6</v>
      </c>
      <c r="H332" s="24">
        <f>IF(Timing!H59&lt;=Inputs!$C$123,Inputs!$C$121,Inputs!$C$122)</f>
        <v>0.6</v>
      </c>
      <c r="I332" s="24">
        <f>IF(Timing!I59&lt;=Inputs!$C$123,Inputs!$C$121,Inputs!$C$122)</f>
        <v>0.6</v>
      </c>
      <c r="J332" s="24">
        <f>IF(Timing!J59&lt;=Inputs!$C$123,Inputs!$C$121,Inputs!$C$122)</f>
        <v>0.6</v>
      </c>
      <c r="K332" s="24">
        <f>IF(Timing!K59&lt;=Inputs!$C$123,Inputs!$C$121,Inputs!$C$122)</f>
        <v>0.6</v>
      </c>
      <c r="L332" s="24">
        <f>IF(Timing!L59&lt;=Inputs!$C$123,Inputs!$C$121,Inputs!$C$122)</f>
        <v>0.6</v>
      </c>
      <c r="M332" s="24">
        <f>IF(Timing!M59&lt;=Inputs!$C$123,Inputs!$C$121,Inputs!$C$122)</f>
        <v>0.6</v>
      </c>
      <c r="N332" s="24">
        <f>IF(Timing!N59&lt;=Inputs!$C$123,Inputs!$C$121,Inputs!$C$122)</f>
        <v>0.6</v>
      </c>
      <c r="O332" s="24">
        <f>IF(Timing!O59&lt;=Inputs!$C$123,Inputs!$C$121,Inputs!$C$122)</f>
        <v>0.6</v>
      </c>
      <c r="P332" s="24">
        <f>IF(Timing!P59&lt;=Inputs!$C$123,Inputs!$C$121,Inputs!$C$122)</f>
        <v>0.6</v>
      </c>
      <c r="Q332" s="24">
        <f>IF(Timing!Q59&lt;=Inputs!$C$123,Inputs!$C$121,Inputs!$C$122)</f>
        <v>0.6</v>
      </c>
      <c r="R332" s="24">
        <f>IF(Timing!R59&lt;=Inputs!$C$123,Inputs!$C$121,Inputs!$C$122)</f>
        <v>0.6</v>
      </c>
      <c r="S332" s="24">
        <f>IF(Timing!S59&lt;=Inputs!$C$123,Inputs!$C$121,Inputs!$C$122)</f>
        <v>0.6</v>
      </c>
      <c r="T332" s="24">
        <f>IF(Timing!T59&lt;=Inputs!$C$123,Inputs!$C$121,Inputs!$C$122)</f>
        <v>0.6</v>
      </c>
      <c r="U332" s="24">
        <f>IF(Timing!U59&lt;=Inputs!$C$123,Inputs!$C$121,Inputs!$C$122)</f>
        <v>0.6</v>
      </c>
      <c r="V332" s="24">
        <f>IF(Timing!V59&lt;=Inputs!$C$123,Inputs!$C$121,Inputs!$C$122)</f>
        <v>0.6</v>
      </c>
      <c r="W332" s="24">
        <f>IF(Timing!W59&lt;=Inputs!$C$123,Inputs!$C$121,Inputs!$C$122)</f>
        <v>0.6</v>
      </c>
      <c r="X332" s="24">
        <f>IF(Timing!X59&lt;=Inputs!$C$123,Inputs!$C$121,Inputs!$C$122)</f>
        <v>0.6</v>
      </c>
      <c r="Y332" s="24">
        <f>IF(Timing!Y59&lt;=Inputs!$C$123,Inputs!$C$121,Inputs!$C$122)</f>
        <v>0.6</v>
      </c>
      <c r="Z332" s="24">
        <f>IF(Timing!Z59&lt;=Inputs!$C$123,Inputs!$C$121,Inputs!$C$122)</f>
        <v>0.6</v>
      </c>
      <c r="AA332" s="24">
        <f>IF(Timing!AA59&lt;=Inputs!$C$123,Inputs!$C$121,Inputs!$C$122)</f>
        <v>0.6</v>
      </c>
      <c r="AB332" s="24">
        <f>IF(Timing!AB59&lt;=Inputs!$C$123,Inputs!$C$121,Inputs!$C$122)</f>
        <v>0.6</v>
      </c>
      <c r="AC332" s="24">
        <f>IF(Timing!AC59&lt;=Inputs!$C$123,Inputs!$C$121,Inputs!$C$122)</f>
        <v>0.6</v>
      </c>
      <c r="AD332" s="24">
        <f>IF(Timing!AD59&lt;=Inputs!$C$123,Inputs!$C$121,Inputs!$C$122)</f>
        <v>0.6</v>
      </c>
      <c r="AE332" s="24">
        <f>IF(Timing!AE59&lt;=Inputs!$C$123,Inputs!$C$121,Inputs!$C$122)</f>
        <v>0.6</v>
      </c>
    </row>
    <row r="333">
      <c r="A333" s="6" t="inlineStr">
        <is>
          <t xml:space="preserve">Corporate losses used</t>
        </is>
      </c>
      <c r="B333" s="10" t="inlineStr">
        <is>
          <t xml:space="preserve">€</t>
        </is>
      </c>
      <c r="F333" s="23">
        <f>IF(AND(Inputs!$C$91="GmbH",F323&gt;0),MIN(F331,MIN(F323,Inputs!$C$119)+F332*MAX(0,F323-Inputs!$C$119)),0)</f>
        <v>0</v>
      </c>
      <c r="G333" s="23">
        <f>IF(AND(Inputs!$C$91="GmbH",G323&gt;0),MIN(G331,MIN(G323,Inputs!$C$119)+G332*MAX(0,G323-Inputs!$C$119)),0)</f>
        <v>0</v>
      </c>
      <c r="H333" s="23">
        <f>IF(AND(Inputs!$C$91="GmbH",H323&gt;0),MIN(H331,MIN(H323,Inputs!$C$119)+H332*MAX(0,H323-Inputs!$C$119)),0)</f>
        <v>0</v>
      </c>
      <c r="I333" s="23">
        <f>IF(AND(Inputs!$C$91="GmbH",I323&gt;0),MIN(I331,MIN(I323,Inputs!$C$119)+I332*MAX(0,I323-Inputs!$C$119)),0)</f>
        <v>0</v>
      </c>
      <c r="J333" s="23">
        <f>IF(AND(Inputs!$C$91="GmbH",J323&gt;0),MIN(J331,MIN(J323,Inputs!$C$119)+J332*MAX(0,J323-Inputs!$C$119)),0)</f>
        <v>0</v>
      </c>
      <c r="K333" s="23">
        <f>IF(AND(Inputs!$C$91="GmbH",K323&gt;0),MIN(K331,MIN(K323,Inputs!$C$119)+K332*MAX(0,K323-Inputs!$C$119)),0)</f>
        <v>0</v>
      </c>
      <c r="L333" s="23">
        <f>IF(AND(Inputs!$C$91="GmbH",L323&gt;0),MIN(L331,MIN(L323,Inputs!$C$119)+L332*MAX(0,L323-Inputs!$C$119)),0)</f>
        <v>0</v>
      </c>
      <c r="M333" s="23">
        <f>IF(AND(Inputs!$C$91="GmbH",M323&gt;0),MIN(M331,MIN(M323,Inputs!$C$119)+M332*MAX(0,M323-Inputs!$C$119)),0)</f>
        <v>0</v>
      </c>
      <c r="N333" s="23">
        <f>IF(AND(Inputs!$C$91="GmbH",N323&gt;0),MIN(N331,MIN(N323,Inputs!$C$119)+N332*MAX(0,N323-Inputs!$C$119)),0)</f>
        <v>0</v>
      </c>
      <c r="O333" s="23">
        <f>IF(AND(Inputs!$C$91="GmbH",O323&gt;0),MIN(O331,MIN(O323,Inputs!$C$119)+O332*MAX(0,O323-Inputs!$C$119)),0)</f>
        <v>0</v>
      </c>
      <c r="P333" s="23">
        <f>IF(AND(Inputs!$C$91="GmbH",P323&gt;0),MIN(P331,MIN(P323,Inputs!$C$119)+P332*MAX(0,P323-Inputs!$C$119)),0)</f>
        <v>0</v>
      </c>
      <c r="Q333" s="23">
        <f>IF(AND(Inputs!$C$91="GmbH",Q323&gt;0),MIN(Q331,MIN(Q323,Inputs!$C$119)+Q332*MAX(0,Q323-Inputs!$C$119)),0)</f>
        <v>0</v>
      </c>
      <c r="R333" s="23">
        <f>IF(AND(Inputs!$C$91="GmbH",R323&gt;0),MIN(R331,MIN(R323,Inputs!$C$119)+R332*MAX(0,R323-Inputs!$C$119)),0)</f>
        <v>0</v>
      </c>
      <c r="S333" s="23">
        <f>IF(AND(Inputs!$C$91="GmbH",S323&gt;0),MIN(S331,MIN(S323,Inputs!$C$119)+S332*MAX(0,S323-Inputs!$C$119)),0)</f>
        <v>0</v>
      </c>
      <c r="T333" s="23">
        <f>IF(AND(Inputs!$C$91="GmbH",T323&gt;0),MIN(T331,MIN(T323,Inputs!$C$119)+T332*MAX(0,T323-Inputs!$C$119)),0)</f>
        <v>0</v>
      </c>
      <c r="U333" s="23">
        <f>IF(AND(Inputs!$C$91="GmbH",U323&gt;0),MIN(U331,MIN(U323,Inputs!$C$119)+U332*MAX(0,U323-Inputs!$C$119)),0)</f>
        <v>0</v>
      </c>
      <c r="V333" s="23">
        <f>IF(AND(Inputs!$C$91="GmbH",V323&gt;0),MIN(V331,MIN(V323,Inputs!$C$119)+V332*MAX(0,V323-Inputs!$C$119)),0)</f>
        <v>0</v>
      </c>
      <c r="W333" s="23">
        <f>IF(AND(Inputs!$C$91="GmbH",W323&gt;0),MIN(W331,MIN(W323,Inputs!$C$119)+W332*MAX(0,W323-Inputs!$C$119)),0)</f>
        <v>0</v>
      </c>
      <c r="X333" s="23">
        <f>IF(AND(Inputs!$C$91="GmbH",X323&gt;0),MIN(X331,MIN(X323,Inputs!$C$119)+X332*MAX(0,X323-Inputs!$C$119)),0)</f>
        <v>0</v>
      </c>
      <c r="Y333" s="23">
        <f>IF(AND(Inputs!$C$91="GmbH",Y323&gt;0),MIN(Y331,MIN(Y323,Inputs!$C$119)+Y332*MAX(0,Y323-Inputs!$C$119)),0)</f>
        <v>0</v>
      </c>
      <c r="Z333" s="23">
        <f>IF(AND(Inputs!$C$91="GmbH",Z323&gt;0),MIN(Z331,MIN(Z323,Inputs!$C$119)+Z332*MAX(0,Z323-Inputs!$C$119)),0)</f>
        <v>0</v>
      </c>
      <c r="AA333" s="23">
        <f>IF(AND(Inputs!$C$91="GmbH",AA323&gt;0),MIN(AA331,MIN(AA323,Inputs!$C$119)+AA332*MAX(0,AA323-Inputs!$C$119)),0)</f>
        <v>0</v>
      </c>
      <c r="AB333" s="23">
        <f>IF(AND(Inputs!$C$91="GmbH",AB323&gt;0),MIN(AB331,MIN(AB323,Inputs!$C$119)+AB332*MAX(0,AB323-Inputs!$C$119)),0)</f>
        <v>0</v>
      </c>
      <c r="AC333" s="23">
        <f>IF(AND(Inputs!$C$91="GmbH",AC323&gt;0),MIN(AC331,MIN(AC323,Inputs!$C$119)+AC332*MAX(0,AC323-Inputs!$C$119)),0)</f>
        <v>0</v>
      </c>
      <c r="AD333" s="23">
        <f>IF(AND(Inputs!$C$91="GmbH",AD323&gt;0),MIN(AD331,MIN(AD323,Inputs!$C$119)+AD332*MAX(0,AD323-Inputs!$C$119)),0)</f>
        <v>0</v>
      </c>
      <c r="AE333" s="23">
        <f>IF(AND(Inputs!$C$91="GmbH",AE323&gt;0),MIN(AE331,MIN(AE323,Inputs!$C$119)+AE332*MAX(0,AE323-Inputs!$C$119)),0)</f>
        <v>0</v>
      </c>
    </row>
    <row r="334">
      <c r="A334" s="6" t="inlineStr">
        <is>
          <t xml:space="preserve">Corporate loss carry-forward at the year end</t>
        </is>
      </c>
      <c r="B334" s="10" t="inlineStr">
        <is>
          <t xml:space="preserve">€</t>
        </is>
      </c>
      <c r="F334" s="23">
        <f>IF(Inputs!$C$91="GmbH",F331-F333+MAX(0,-F323),0)</f>
        <v>0</v>
      </c>
      <c r="G334" s="23">
        <f>IF(Inputs!$C$91="GmbH",G331-G333+MAX(0,-G323),0)</f>
        <v>0</v>
      </c>
      <c r="H334" s="23">
        <f>IF(Inputs!$C$91="GmbH",H331-H333+MAX(0,-H323),0)</f>
        <v>0</v>
      </c>
      <c r="I334" s="23">
        <f>IF(Inputs!$C$91="GmbH",I331-I333+MAX(0,-I323),0)</f>
        <v>0</v>
      </c>
      <c r="J334" s="23">
        <f>IF(Inputs!$C$91="GmbH",J331-J333+MAX(0,-J323),0)</f>
        <v>0</v>
      </c>
      <c r="K334" s="23">
        <f>IF(Inputs!$C$91="GmbH",K331-K333+MAX(0,-K323),0)</f>
        <v>0</v>
      </c>
      <c r="L334" s="23">
        <f>IF(Inputs!$C$91="GmbH",L331-L333+MAX(0,-L323),0)</f>
        <v>0</v>
      </c>
      <c r="M334" s="23">
        <f>IF(Inputs!$C$91="GmbH",M331-M333+MAX(0,-M323),0)</f>
        <v>0</v>
      </c>
      <c r="N334" s="23">
        <f>IF(Inputs!$C$91="GmbH",N331-N333+MAX(0,-N323),0)</f>
        <v>0</v>
      </c>
      <c r="O334" s="23">
        <f>IF(Inputs!$C$91="GmbH",O331-O333+MAX(0,-O323),0)</f>
        <v>0</v>
      </c>
      <c r="P334" s="23">
        <f>IF(Inputs!$C$91="GmbH",P331-P333+MAX(0,-P323),0)</f>
        <v>0</v>
      </c>
      <c r="Q334" s="23">
        <f>IF(Inputs!$C$91="GmbH",Q331-Q333+MAX(0,-Q323),0)</f>
        <v>0</v>
      </c>
      <c r="R334" s="23">
        <f>IF(Inputs!$C$91="GmbH",R331-R333+MAX(0,-R323),0)</f>
        <v>0</v>
      </c>
      <c r="S334" s="23">
        <f>IF(Inputs!$C$91="GmbH",S331-S333+MAX(0,-S323),0)</f>
        <v>0</v>
      </c>
      <c r="T334" s="23">
        <f>IF(Inputs!$C$91="GmbH",T331-T333+MAX(0,-T323),0)</f>
        <v>0</v>
      </c>
      <c r="U334" s="23">
        <f>IF(Inputs!$C$91="GmbH",U331-U333+MAX(0,-U323),0)</f>
        <v>0</v>
      </c>
      <c r="V334" s="23">
        <f>IF(Inputs!$C$91="GmbH",V331-V333+MAX(0,-V323),0)</f>
        <v>0</v>
      </c>
      <c r="W334" s="23">
        <f>IF(Inputs!$C$91="GmbH",W331-W333+MAX(0,-W323),0)</f>
        <v>0</v>
      </c>
      <c r="X334" s="23">
        <f>IF(Inputs!$C$91="GmbH",X331-X333+MAX(0,-X323),0)</f>
        <v>0</v>
      </c>
      <c r="Y334" s="23">
        <f>IF(Inputs!$C$91="GmbH",Y331-Y333+MAX(0,-Y323),0)</f>
        <v>0</v>
      </c>
      <c r="Z334" s="23">
        <f>IF(Inputs!$C$91="GmbH",Z331-Z333+MAX(0,-Z323),0)</f>
        <v>0</v>
      </c>
      <c r="AA334" s="23">
        <f>IF(Inputs!$C$91="GmbH",AA331-AA333+MAX(0,-AA323),0)</f>
        <v>0</v>
      </c>
      <c r="AB334" s="23">
        <f>IF(Inputs!$C$91="GmbH",AB331-AB333+MAX(0,-AB323),0)</f>
        <v>0</v>
      </c>
      <c r="AC334" s="23">
        <f>IF(Inputs!$C$91="GmbH",AC331-AC333+MAX(0,-AC323),0)</f>
        <v>0</v>
      </c>
      <c r="AD334" s="23">
        <f>IF(Inputs!$C$91="GmbH",AD331-AD333+MAX(0,-AD323),0)</f>
        <v>0</v>
      </c>
      <c r="AE334" s="23">
        <f>IF(Inputs!$C$91="GmbH",AE331-AE333+MAX(0,-AE323),0)</f>
        <v>0</v>
      </c>
    </row>
    <row r="335">
      <c r="A335" s="6" t="inlineStr">
        <is>
          <t xml:space="preserve">Corporate taxable income</t>
        </is>
      </c>
      <c r="B335" s="10" t="inlineStr">
        <is>
          <t xml:space="preserve">€</t>
        </is>
      </c>
      <c r="F335" s="23">
        <f>IF(Inputs!$C$91="GmbH",MAX(0,F323-F333),0)</f>
        <v>0</v>
      </c>
      <c r="G335" s="23">
        <f>IF(Inputs!$C$91="GmbH",MAX(0,G323-G333),0)</f>
        <v>0</v>
      </c>
      <c r="H335" s="23">
        <f>IF(Inputs!$C$91="GmbH",MAX(0,H323-H333),0)</f>
        <v>0</v>
      </c>
      <c r="I335" s="23">
        <f>IF(Inputs!$C$91="GmbH",MAX(0,I323-I333),0)</f>
        <v>0</v>
      </c>
      <c r="J335" s="23">
        <f>IF(Inputs!$C$91="GmbH",MAX(0,J323-J333),0)</f>
        <v>0</v>
      </c>
      <c r="K335" s="23">
        <f>IF(Inputs!$C$91="GmbH",MAX(0,K323-K333),0)</f>
        <v>0</v>
      </c>
      <c r="L335" s="23">
        <f>IF(Inputs!$C$91="GmbH",MAX(0,L323-L333),0)</f>
        <v>0</v>
      </c>
      <c r="M335" s="23">
        <f>IF(Inputs!$C$91="GmbH",MAX(0,M323-M333),0)</f>
        <v>0</v>
      </c>
      <c r="N335" s="23">
        <f>IF(Inputs!$C$91="GmbH",MAX(0,N323-N333),0)</f>
        <v>0</v>
      </c>
      <c r="O335" s="23">
        <f>IF(Inputs!$C$91="GmbH",MAX(0,O323-O333),0)</f>
        <v>0</v>
      </c>
      <c r="P335" s="23">
        <f>IF(Inputs!$C$91="GmbH",MAX(0,P323-P333),0)</f>
        <v>0</v>
      </c>
      <c r="Q335" s="23">
        <f>IF(Inputs!$C$91="GmbH",MAX(0,Q323-Q333),0)</f>
        <v>0</v>
      </c>
      <c r="R335" s="23">
        <f>IF(Inputs!$C$91="GmbH",MAX(0,R323-R333),0)</f>
        <v>0</v>
      </c>
      <c r="S335" s="23">
        <f>IF(Inputs!$C$91="GmbH",MAX(0,S323-S333),0)</f>
        <v>0</v>
      </c>
      <c r="T335" s="23">
        <f>IF(Inputs!$C$91="GmbH",MAX(0,T323-T333),0)</f>
        <v>0</v>
      </c>
      <c r="U335" s="23">
        <f>IF(Inputs!$C$91="GmbH",MAX(0,U323-U333),0)</f>
        <v>0</v>
      </c>
      <c r="V335" s="23">
        <f>IF(Inputs!$C$91="GmbH",MAX(0,V323-V333),0)</f>
        <v>0</v>
      </c>
      <c r="W335" s="23">
        <f>IF(Inputs!$C$91="GmbH",MAX(0,W323-W333),0)</f>
        <v>0</v>
      </c>
      <c r="X335" s="23">
        <f>IF(Inputs!$C$91="GmbH",MAX(0,X323-X333),0)</f>
        <v>0</v>
      </c>
      <c r="Y335" s="23">
        <f>IF(Inputs!$C$91="GmbH",MAX(0,Y323-Y333),0)</f>
        <v>0</v>
      </c>
      <c r="Z335" s="23">
        <f>IF(Inputs!$C$91="GmbH",MAX(0,Z323-Z333),0)</f>
        <v>0</v>
      </c>
      <c r="AA335" s="23">
        <f>IF(Inputs!$C$91="GmbH",MAX(0,AA323-AA333),0)</f>
        <v>0</v>
      </c>
      <c r="AB335" s="23">
        <f>IF(Inputs!$C$91="GmbH",MAX(0,AB323-AB333),0)</f>
        <v>0</v>
      </c>
      <c r="AC335" s="23">
        <f>IF(Inputs!$C$91="GmbH",MAX(0,AC323-AC333),0)</f>
        <v>0</v>
      </c>
      <c r="AD335" s="23">
        <f>IF(Inputs!$C$91="GmbH",MAX(0,AD323-AD333),0)</f>
        <v>0</v>
      </c>
      <c r="AE335" s="23">
        <f>IF(Inputs!$C$91="GmbH",MAX(0,AE323-AE333),0)</f>
        <v>0</v>
      </c>
    </row>
    <row r="336">
      <c r="A336" s="6" t="inlineStr">
        <is>
          <t xml:space="preserve">Corporate tax rate (§ 23 KStG)</t>
        </is>
      </c>
      <c r="F336" s="24">
        <f>IF(Inputs!$C$91="GmbH",MAX(Inputs!$C$125,Inputs!$C$124-Inputs!$C$126*MAX(0,Timing!F59-Inputs!$C$127)),0)</f>
        <v>0</v>
      </c>
      <c r="G336" s="24">
        <f>IF(Inputs!$C$91="GmbH",MAX(Inputs!$C$125,Inputs!$C$124-Inputs!$C$126*MAX(0,Timing!G59-Inputs!$C$127)),0)</f>
        <v>0</v>
      </c>
      <c r="H336" s="24">
        <f>IF(Inputs!$C$91="GmbH",MAX(Inputs!$C$125,Inputs!$C$124-Inputs!$C$126*MAX(0,Timing!H59-Inputs!$C$127)),0)</f>
        <v>0</v>
      </c>
      <c r="I336" s="24">
        <f>IF(Inputs!$C$91="GmbH",MAX(Inputs!$C$125,Inputs!$C$124-Inputs!$C$126*MAX(0,Timing!I59-Inputs!$C$127)),0)</f>
        <v>0</v>
      </c>
      <c r="J336" s="24">
        <f>IF(Inputs!$C$91="GmbH",MAX(Inputs!$C$125,Inputs!$C$124-Inputs!$C$126*MAX(0,Timing!J59-Inputs!$C$127)),0)</f>
        <v>0</v>
      </c>
      <c r="K336" s="24">
        <f>IF(Inputs!$C$91="GmbH",MAX(Inputs!$C$125,Inputs!$C$124-Inputs!$C$126*MAX(0,Timing!K59-Inputs!$C$127)),0)</f>
        <v>0</v>
      </c>
      <c r="L336" s="24">
        <f>IF(Inputs!$C$91="GmbH",MAX(Inputs!$C$125,Inputs!$C$124-Inputs!$C$126*MAX(0,Timing!L59-Inputs!$C$127)),0)</f>
        <v>0</v>
      </c>
      <c r="M336" s="24">
        <f>IF(Inputs!$C$91="GmbH",MAX(Inputs!$C$125,Inputs!$C$124-Inputs!$C$126*MAX(0,Timing!M59-Inputs!$C$127)),0)</f>
        <v>0</v>
      </c>
      <c r="N336" s="24">
        <f>IF(Inputs!$C$91="GmbH",MAX(Inputs!$C$125,Inputs!$C$124-Inputs!$C$126*MAX(0,Timing!N59-Inputs!$C$127)),0)</f>
        <v>0</v>
      </c>
      <c r="O336" s="24">
        <f>IF(Inputs!$C$91="GmbH",MAX(Inputs!$C$125,Inputs!$C$124-Inputs!$C$126*MAX(0,Timing!O59-Inputs!$C$127)),0)</f>
        <v>0</v>
      </c>
      <c r="P336" s="24">
        <f>IF(Inputs!$C$91="GmbH",MAX(Inputs!$C$125,Inputs!$C$124-Inputs!$C$126*MAX(0,Timing!P59-Inputs!$C$127)),0)</f>
        <v>0</v>
      </c>
      <c r="Q336" s="24">
        <f>IF(Inputs!$C$91="GmbH",MAX(Inputs!$C$125,Inputs!$C$124-Inputs!$C$126*MAX(0,Timing!Q59-Inputs!$C$127)),0)</f>
        <v>0</v>
      </c>
      <c r="R336" s="24">
        <f>IF(Inputs!$C$91="GmbH",MAX(Inputs!$C$125,Inputs!$C$124-Inputs!$C$126*MAX(0,Timing!R59-Inputs!$C$127)),0)</f>
        <v>0</v>
      </c>
      <c r="S336" s="24">
        <f>IF(Inputs!$C$91="GmbH",MAX(Inputs!$C$125,Inputs!$C$124-Inputs!$C$126*MAX(0,Timing!S59-Inputs!$C$127)),0)</f>
        <v>0</v>
      </c>
      <c r="T336" s="24">
        <f>IF(Inputs!$C$91="GmbH",MAX(Inputs!$C$125,Inputs!$C$124-Inputs!$C$126*MAX(0,Timing!T59-Inputs!$C$127)),0)</f>
        <v>0</v>
      </c>
      <c r="U336" s="24">
        <f>IF(Inputs!$C$91="GmbH",MAX(Inputs!$C$125,Inputs!$C$124-Inputs!$C$126*MAX(0,Timing!U59-Inputs!$C$127)),0)</f>
        <v>0</v>
      </c>
      <c r="V336" s="24">
        <f>IF(Inputs!$C$91="GmbH",MAX(Inputs!$C$125,Inputs!$C$124-Inputs!$C$126*MAX(0,Timing!V59-Inputs!$C$127)),0)</f>
        <v>0</v>
      </c>
      <c r="W336" s="24">
        <f>IF(Inputs!$C$91="GmbH",MAX(Inputs!$C$125,Inputs!$C$124-Inputs!$C$126*MAX(0,Timing!W59-Inputs!$C$127)),0)</f>
        <v>0</v>
      </c>
      <c r="X336" s="24">
        <f>IF(Inputs!$C$91="GmbH",MAX(Inputs!$C$125,Inputs!$C$124-Inputs!$C$126*MAX(0,Timing!X59-Inputs!$C$127)),0)</f>
        <v>0</v>
      </c>
      <c r="Y336" s="24">
        <f>IF(Inputs!$C$91="GmbH",MAX(Inputs!$C$125,Inputs!$C$124-Inputs!$C$126*MAX(0,Timing!Y59-Inputs!$C$127)),0)</f>
        <v>0</v>
      </c>
      <c r="Z336" s="24">
        <f>IF(Inputs!$C$91="GmbH",MAX(Inputs!$C$125,Inputs!$C$124-Inputs!$C$126*MAX(0,Timing!Z59-Inputs!$C$127)),0)</f>
        <v>0</v>
      </c>
      <c r="AA336" s="24">
        <f>IF(Inputs!$C$91="GmbH",MAX(Inputs!$C$125,Inputs!$C$124-Inputs!$C$126*MAX(0,Timing!AA59-Inputs!$C$127)),0)</f>
        <v>0</v>
      </c>
      <c r="AB336" s="24">
        <f>IF(Inputs!$C$91="GmbH",MAX(Inputs!$C$125,Inputs!$C$124-Inputs!$C$126*MAX(0,Timing!AB59-Inputs!$C$127)),0)</f>
        <v>0</v>
      </c>
      <c r="AC336" s="24">
        <f>IF(Inputs!$C$91="GmbH",MAX(Inputs!$C$125,Inputs!$C$124-Inputs!$C$126*MAX(0,Timing!AC59-Inputs!$C$127)),0)</f>
        <v>0</v>
      </c>
      <c r="AD336" s="24">
        <f>IF(Inputs!$C$91="GmbH",MAX(Inputs!$C$125,Inputs!$C$124-Inputs!$C$126*MAX(0,Timing!AD59-Inputs!$C$127)),0)</f>
        <v>0</v>
      </c>
      <c r="AE336" s="24">
        <f>IF(Inputs!$C$91="GmbH",MAX(Inputs!$C$125,Inputs!$C$124-Inputs!$C$126*MAX(0,Timing!AE59-Inputs!$C$127)),0)</f>
        <v>0</v>
      </c>
    </row>
    <row r="337">
      <c r="A337" s="6" t="inlineStr">
        <is>
          <t xml:space="preserve">Corporate tax</t>
        </is>
      </c>
      <c r="B337" s="10" t="inlineStr">
        <is>
          <t xml:space="preserve">€</t>
        </is>
      </c>
      <c r="F337" s="23">
        <f>F335*F336</f>
        <v>0</v>
      </c>
      <c r="G337" s="23">
        <f>G335*G336</f>
        <v>0</v>
      </c>
      <c r="H337" s="23">
        <f>H335*H336</f>
        <v>0</v>
      </c>
      <c r="I337" s="23">
        <f>I335*I336</f>
        <v>0</v>
      </c>
      <c r="J337" s="23">
        <f>J335*J336</f>
        <v>0</v>
      </c>
      <c r="K337" s="23">
        <f>K335*K336</f>
        <v>0</v>
      </c>
      <c r="L337" s="23">
        <f>L335*L336</f>
        <v>0</v>
      </c>
      <c r="M337" s="23">
        <f>M335*M336</f>
        <v>0</v>
      </c>
      <c r="N337" s="23">
        <f>N335*N336</f>
        <v>0</v>
      </c>
      <c r="O337" s="23">
        <f>O335*O336</f>
        <v>0</v>
      </c>
      <c r="P337" s="23">
        <f>P335*P336</f>
        <v>0</v>
      </c>
      <c r="Q337" s="23">
        <f>Q335*Q336</f>
        <v>0</v>
      </c>
      <c r="R337" s="23">
        <f>R335*R336</f>
        <v>0</v>
      </c>
      <c r="S337" s="23">
        <f>S335*S336</f>
        <v>0</v>
      </c>
      <c r="T337" s="23">
        <f>T335*T336</f>
        <v>0</v>
      </c>
      <c r="U337" s="23">
        <f>U335*U336</f>
        <v>0</v>
      </c>
      <c r="V337" s="23">
        <f>V335*V336</f>
        <v>0</v>
      </c>
      <c r="W337" s="23">
        <f>W335*W336</f>
        <v>0</v>
      </c>
      <c r="X337" s="23">
        <f>X335*X336</f>
        <v>0</v>
      </c>
      <c r="Y337" s="23">
        <f>Y335*Y336</f>
        <v>0</v>
      </c>
      <c r="Z337" s="23">
        <f>Z335*Z336</f>
        <v>0</v>
      </c>
      <c r="AA337" s="23">
        <f>AA335*AA336</f>
        <v>0</v>
      </c>
      <c r="AB337" s="23">
        <f>AB335*AB336</f>
        <v>0</v>
      </c>
      <c r="AC337" s="23">
        <f>AC335*AC336</f>
        <v>0</v>
      </c>
      <c r="AD337" s="23">
        <f>AD335*AD336</f>
        <v>0</v>
      </c>
      <c r="AE337" s="23">
        <f>AE335*AE336</f>
        <v>0</v>
      </c>
    </row>
    <row r="338">
      <c r="A338" s="6" t="inlineStr">
        <is>
          <t xml:space="preserve">Solidarity surcharge</t>
        </is>
      </c>
      <c r="B338" s="10" t="inlineStr">
        <is>
          <t xml:space="preserve">€</t>
        </is>
      </c>
      <c r="F338" s="23">
        <f>F337*Inputs!$C$128</f>
        <v>0</v>
      </c>
      <c r="G338" s="23">
        <f>G337*Inputs!$C$128</f>
        <v>0</v>
      </c>
      <c r="H338" s="23">
        <f>H337*Inputs!$C$128</f>
        <v>0</v>
      </c>
      <c r="I338" s="23">
        <f>I337*Inputs!$C$128</f>
        <v>0</v>
      </c>
      <c r="J338" s="23">
        <f>J337*Inputs!$C$128</f>
        <v>0</v>
      </c>
      <c r="K338" s="23">
        <f>K337*Inputs!$C$128</f>
        <v>0</v>
      </c>
      <c r="L338" s="23">
        <f>L337*Inputs!$C$128</f>
        <v>0</v>
      </c>
      <c r="M338" s="23">
        <f>M337*Inputs!$C$128</f>
        <v>0</v>
      </c>
      <c r="N338" s="23">
        <f>N337*Inputs!$C$128</f>
        <v>0</v>
      </c>
      <c r="O338" s="23">
        <f>O337*Inputs!$C$128</f>
        <v>0</v>
      </c>
      <c r="P338" s="23">
        <f>P337*Inputs!$C$128</f>
        <v>0</v>
      </c>
      <c r="Q338" s="23">
        <f>Q337*Inputs!$C$128</f>
        <v>0</v>
      </c>
      <c r="R338" s="23">
        <f>R337*Inputs!$C$128</f>
        <v>0</v>
      </c>
      <c r="S338" s="23">
        <f>S337*Inputs!$C$128</f>
        <v>0</v>
      </c>
      <c r="T338" s="23">
        <f>T337*Inputs!$C$128</f>
        <v>0</v>
      </c>
      <c r="U338" s="23">
        <f>U337*Inputs!$C$128</f>
        <v>0</v>
      </c>
      <c r="V338" s="23">
        <f>V337*Inputs!$C$128</f>
        <v>0</v>
      </c>
      <c r="W338" s="23">
        <f>W337*Inputs!$C$128</f>
        <v>0</v>
      </c>
      <c r="X338" s="23">
        <f>X337*Inputs!$C$128</f>
        <v>0</v>
      </c>
      <c r="Y338" s="23">
        <f>Y337*Inputs!$C$128</f>
        <v>0</v>
      </c>
      <c r="Z338" s="23">
        <f>Z337*Inputs!$C$128</f>
        <v>0</v>
      </c>
      <c r="AA338" s="23">
        <f>AA337*Inputs!$C$128</f>
        <v>0</v>
      </c>
      <c r="AB338" s="23">
        <f>AB337*Inputs!$C$128</f>
        <v>0</v>
      </c>
      <c r="AC338" s="23">
        <f>AC337*Inputs!$C$128</f>
        <v>0</v>
      </c>
      <c r="AD338" s="23">
        <f>AD337*Inputs!$C$128</f>
        <v>0</v>
      </c>
      <c r="AE338" s="23">
        <f>AE337*Inputs!$C$128</f>
        <v>0</v>
      </c>
    </row>
    <row r="339">
      <c r="A339" s="41" t="inlineStr">
        <is>
          <t xml:space="preserve">Taxes</t>
        </is>
      </c>
      <c r="B339" s="10" t="inlineStr">
        <is>
          <t xml:space="preserve">€</t>
        </is>
      </c>
      <c r="F339" s="42">
        <f>F330+F337+F338</f>
        <v>0</v>
      </c>
      <c r="G339" s="42">
        <f>G330+G337+G338</f>
        <v>0</v>
      </c>
      <c r="H339" s="42">
        <f>H330+H337+H338</f>
        <v>0</v>
      </c>
      <c r="I339" s="42">
        <f>I330+I337+I338</f>
        <v>0</v>
      </c>
      <c r="J339" s="42">
        <f>J330+J337+J338</f>
        <v>0</v>
      </c>
      <c r="K339" s="42">
        <f>K330+K337+K338</f>
        <v>0</v>
      </c>
      <c r="L339" s="42">
        <f>L330+L337+L338</f>
        <v>0</v>
      </c>
      <c r="M339" s="42">
        <f>M330+M337+M338</f>
        <v>0</v>
      </c>
      <c r="N339" s="42">
        <f>N330+N337+N338</f>
        <v>0</v>
      </c>
      <c r="O339" s="42">
        <f>O330+O337+O338</f>
        <v>0</v>
      </c>
      <c r="P339" s="42">
        <f>P330+P337+P338</f>
        <v>0</v>
      </c>
      <c r="Q339" s="42">
        <f>Q330+Q337+Q338</f>
        <v>0</v>
      </c>
      <c r="R339" s="42">
        <f>R330+R337+R338</f>
        <v>0</v>
      </c>
      <c r="S339" s="42">
        <f>S330+S337+S338</f>
        <v>0</v>
      </c>
      <c r="T339" s="42">
        <f>T330+T337+T338</f>
        <v>0</v>
      </c>
      <c r="U339" s="42">
        <f>U330+U337+U338</f>
        <v>0</v>
      </c>
      <c r="V339" s="42">
        <f>V330+V337+V338</f>
        <v>0</v>
      </c>
      <c r="W339" s="42">
        <f>W330+W337+W338</f>
        <v>17052</v>
      </c>
      <c r="X339" s="42">
        <f>X330+X337+X338</f>
        <v>16380.000000000002</v>
      </c>
      <c r="Y339" s="42">
        <f>Y330+Y337+Y338</f>
        <v>14560.000000000002</v>
      </c>
      <c r="Z339" s="42">
        <f>Z330+Z337+Z338</f>
        <v>6356.000000000001</v>
      </c>
      <c r="AA339" s="42">
        <f>AA330+AA337+AA338</f>
        <v>31178.000000000004</v>
      </c>
      <c r="AB339" s="42">
        <f>AB330+AB337+AB338</f>
        <v>125034.00000000001</v>
      </c>
      <c r="AC339" s="42">
        <f>AC330+AC337+AC338</f>
        <v>127260.00000000001</v>
      </c>
      <c r="AD339" s="42">
        <f>AD330+AD337+AD338</f>
        <v>125552.00000000001</v>
      </c>
      <c r="AE339" s="42">
        <f>AE330+AE337+AE338</f>
        <v>36960</v>
      </c>
    </row>
    <row r="340">
      <c r="A340" s="41" t="inlineStr">
        <is>
          <t xml:space="preserve">CFADS: EBITDA − change in working capital − taxes</t>
        </is>
      </c>
      <c r="B340" s="10" t="inlineStr">
        <is>
          <t xml:space="preserve">€</t>
        </is>
      </c>
      <c r="F340" s="42">
        <f>Operations!F327-Operations!F335-F339</f>
        <v>1361804.6974063395</v>
      </c>
      <c r="G340" s="42">
        <f>Operations!G327-Operations!G335-G339</f>
        <v>2318567.92290564</v>
      </c>
      <c r="H340" s="42">
        <f>Operations!H327-Operations!H335-H339</f>
        <v>2293148.2405143427</v>
      </c>
      <c r="I340" s="42">
        <f>Operations!I327-Operations!I335-I339</f>
        <v>2259799.9228570154</v>
      </c>
      <c r="J340" s="42">
        <f>Operations!J327-Operations!J335-J339</f>
        <v>2225078.4221117063</v>
      </c>
      <c r="K340" s="42">
        <f>Operations!K327-Operations!K335-K339</f>
        <v>2187244.3458036315</v>
      </c>
      <c r="L340" s="42">
        <f>Operations!L327-Operations!L335-L339</f>
        <v>2151423.477762079</v>
      </c>
      <c r="M340" s="42">
        <f>Operations!M327-Operations!M335-M339</f>
        <v>2114179.8772165105</v>
      </c>
      <c r="N340" s="42">
        <f>Operations!N327-Operations!N335-N339</f>
        <v>2077207.452880992</v>
      </c>
      <c r="O340" s="42">
        <f>Operations!O327-Operations!O335-O339</f>
        <v>2037097.1252344516</v>
      </c>
      <c r="P340" s="42">
        <f>Operations!P327-Operations!P335-P339</f>
        <v>1874883.7243511868</v>
      </c>
      <c r="Q340" s="42">
        <f>Operations!Q327-Operations!Q335-Q339</f>
        <v>1832774.8665524465</v>
      </c>
      <c r="R340" s="42">
        <f>Operations!R327-Operations!R335-R339</f>
        <v>1790832.2014372281</v>
      </c>
      <c r="S340" s="42">
        <f>Operations!S327-Operations!S335-S339</f>
        <v>1745671.7916441306</v>
      </c>
      <c r="T340" s="42">
        <f>Operations!T327-Operations!T335-T339</f>
        <v>1702334.902767579</v>
      </c>
      <c r="U340" s="42">
        <f>Operations!U327-Operations!U335-U339</f>
        <v>1657437.0470277667</v>
      </c>
      <c r="V340" s="42">
        <f>Operations!V327-Operations!V335-V339</f>
        <v>1612642.0182867225</v>
      </c>
      <c r="W340" s="42">
        <f>Operations!W327-Operations!W335-W339</f>
        <v>1547539.6369820111</v>
      </c>
      <c r="X340" s="42">
        <f>Operations!X327-Operations!X335-X339</f>
        <v>1501905.7023143377</v>
      </c>
      <c r="Y340" s="42">
        <f>Operations!Y327-Operations!Y335-Y339</f>
        <v>1455805.4391966895</v>
      </c>
      <c r="Z340" s="42">
        <f>Operations!Z327-Operations!Z335-Z339</f>
        <v>1335475.994300421</v>
      </c>
      <c r="AA340" s="42">
        <f>Operations!AA327-Operations!AA335-AA339</f>
        <v>1728113.961576436</v>
      </c>
      <c r="AB340" s="42">
        <f>Operations!AB327-Operations!AB335-AB339</f>
        <v>3223943.009133709</v>
      </c>
      <c r="AC340" s="42">
        <f>Operations!AC327-Operations!AC335-AC339</f>
        <v>3420403.849693592</v>
      </c>
      <c r="AD340" s="42">
        <f>Operations!AD327-Operations!AD335-AD339</f>
        <v>3486612.4277893924</v>
      </c>
      <c r="AE340" s="42">
        <f>Operations!AE327-Operations!AE335-AE339</f>
        <v>2296566.936258025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1" ySplit="4" topLeftCell="B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Debt</t>
        </is>
      </c>
    </row>
    <row r="2">
      <c r="A2" s="2" t="inlineStr">
        <is>
          <t xml:space="preserve">Senior loan: annual schedule, lender's sizing check, and the loan by month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5">
      <c r="A5" s="5" t="inlineStr">
        <is>
          <t xml:space="preserve">Loan (the same in every case)</t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>
      <c r="A6" s="6" t="inlineStr">
        <is>
          <t xml:space="preserve">Senior loan</t>
        </is>
      </c>
      <c r="B6" s="10" t="inlineStr">
        <is>
          <t xml:space="preserve">€</t>
        </is>
      </c>
      <c r="C6" s="45">
        <f>Inputs!$C$192</f>
        <v>20632341.68303732</v>
      </c>
    </row>
    <row r="7">
      <c r="A7" s="6" t="inlineStr">
        <is>
          <t xml:space="preserve">Quarterly payment of an annuity loan</t>
        </is>
      </c>
      <c r="B7" s="10" t="inlineStr">
        <is>
          <t xml:space="preserve">€</t>
        </is>
      </c>
      <c r="C7" s="23">
        <f>IF(Inputs!$C$74=0,$C$6/Timing!$C$25,$C$6*(Inputs!$C$74/4)/(1-(1+Inputs!$C$74/4)^(-Timing!$C$25)))</f>
        <v>463919.55984117585</v>
      </c>
    </row>
    <row r="8">
      <c r="A8" s="6" t="inlineStr">
        <is>
          <t xml:space="preserve">Sculpted principal per year (solved on the website)</t>
        </is>
      </c>
      <c r="B8" s="10" t="inlineStr">
        <is>
          <t xml:space="preserve">€</t>
        </is>
      </c>
      <c r="D8" s="2" t="inlineStr">
        <is>
          <t xml:space="preserve">not used</t>
        </is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</row>
    <row r="9">
      <c r="A9" s="6" t="inlineStr">
        <is>
          <t xml:space="preserve">Loan at the start of the year</t>
        </is>
      </c>
      <c r="B9" s="10" t="inlineStr">
        <is>
          <t xml:space="preserve">€</t>
        </is>
      </c>
      <c r="F9" s="23">
        <f>E12</f>
        <v>20632341.68303732</v>
      </c>
      <c r="G9" s="23">
        <f>F12</f>
        <v>20632341.68303732</v>
      </c>
      <c r="H9" s="23">
        <f>G12</f>
        <v>20632341.68303732</v>
      </c>
      <c r="I9" s="23">
        <f>H12</f>
        <v>19418674.525211595</v>
      </c>
      <c r="J9" s="23">
        <f>I12</f>
        <v>18205007.36738587</v>
      </c>
      <c r="K9" s="23">
        <f>J12</f>
        <v>16991340.20956015</v>
      </c>
      <c r="L9" s="23">
        <f>K12</f>
        <v>15777673.051734425</v>
      </c>
      <c r="M9" s="23">
        <f>L12</f>
        <v>14564005.893908702</v>
      </c>
      <c r="N9" s="23">
        <f>M12</f>
        <v>13350338.736082979</v>
      </c>
      <c r="O9" s="23">
        <f>N12</f>
        <v>12136671.578257255</v>
      </c>
      <c r="P9" s="23">
        <f>O12</f>
        <v>10923004.420431532</v>
      </c>
      <c r="Q9" s="23">
        <f>P12</f>
        <v>9709337.262605809</v>
      </c>
      <c r="R9" s="23">
        <f>Q12</f>
        <v>8495670.104780085</v>
      </c>
      <c r="S9" s="23">
        <f>R12</f>
        <v>7282002.946954362</v>
      </c>
      <c r="T9" s="23">
        <f>S12</f>
        <v>6068335.789128639</v>
      </c>
      <c r="U9" s="23">
        <f>T12</f>
        <v>4854668.6313029155</v>
      </c>
      <c r="V9" s="23">
        <f>U12</f>
        <v>3641001.4734771913</v>
      </c>
      <c r="W9" s="23">
        <f>V12</f>
        <v>2427334.315651466</v>
      </c>
      <c r="X9" s="23">
        <f>W12</f>
        <v>1213667.157825741</v>
      </c>
      <c r="Y9" s="23">
        <f>X12</f>
        <v>0</v>
      </c>
      <c r="Z9" s="23">
        <f>Y12</f>
        <v>0</v>
      </c>
      <c r="AA9" s="23">
        <f>Z12</f>
        <v>0</v>
      </c>
      <c r="AB9" s="23">
        <f>AA12</f>
        <v>0</v>
      </c>
      <c r="AC9" s="23">
        <f>AB12</f>
        <v>0</v>
      </c>
      <c r="AD9" s="23">
        <f>AC12</f>
        <v>0</v>
      </c>
      <c r="AE9" s="23">
        <f>AD12</f>
        <v>0</v>
      </c>
    </row>
    <row r="10">
      <c r="A10" s="6" t="inlineStr">
        <is>
          <t xml:space="preserve">Interest (sum of the months)</t>
        </is>
      </c>
      <c r="B10" s="10" t="inlineStr">
        <is>
          <t xml:space="preserve">€</t>
        </is>
      </c>
      <c r="F10" s="23">
        <f>SUMIFS($F$30:$F$251,$C$30:$C$251,Timing!F59)</f>
        <v>551915.1400212483</v>
      </c>
      <c r="G10" s="23">
        <f>SUMIFS($F$30:$F$251,$C$30:$C$251,Timing!G59)</f>
        <v>1103830.2800424965</v>
      </c>
      <c r="H10" s="23">
        <f>SUMIFS($F$30:$F$251,$C$30:$C$251,Timing!H59)</f>
        <v>1079481.0826886182</v>
      </c>
      <c r="I10" s="23">
        <f>SUMIFS($F$30:$F$251,$C$30:$C$251,Timing!I59)</f>
        <v>1014549.8897449417</v>
      </c>
      <c r="J10" s="23">
        <f>SUMIFS($F$30:$F$251,$C$30:$C$251,Timing!J59)</f>
        <v>949618.6968012657</v>
      </c>
      <c r="K10" s="23">
        <f>SUMIFS($F$30:$F$251,$C$30:$C$251,Timing!K59)</f>
        <v>884687.5038575892</v>
      </c>
      <c r="L10" s="23">
        <f>SUMIFS($F$30:$F$251,$C$30:$C$251,Timing!L59)</f>
        <v>819756.3109139131</v>
      </c>
      <c r="M10" s="23">
        <f>SUMIFS($F$30:$F$251,$C$30:$C$251,Timing!M59)</f>
        <v>754825.117970237</v>
      </c>
      <c r="N10" s="23">
        <f>SUMIFS($F$30:$F$251,$C$30:$C$251,Timing!N59)</f>
        <v>689893.9250265607</v>
      </c>
      <c r="O10" s="23">
        <f>SUMIFS($F$30:$F$251,$C$30:$C$251,Timing!O59)</f>
        <v>624962.7320828846</v>
      </c>
      <c r="P10" s="23">
        <f>SUMIFS($F$30:$F$251,$C$30:$C$251,Timing!P59)</f>
        <v>560031.5391392084</v>
      </c>
      <c r="Q10" s="23">
        <f>SUMIFS($F$30:$F$251,$C$30:$C$251,Timing!Q59)</f>
        <v>495100.34619553224</v>
      </c>
      <c r="R10" s="23">
        <f>SUMIFS($F$30:$F$251,$C$30:$C$251,Timing!R59)</f>
        <v>430169.1532518559</v>
      </c>
      <c r="S10" s="23">
        <f>SUMIFS($F$30:$F$251,$C$30:$C$251,Timing!S59)</f>
        <v>365237.9603081797</v>
      </c>
      <c r="T10" s="23">
        <f>SUMIFS($F$30:$F$251,$C$30:$C$251,Timing!T59)</f>
        <v>300306.7673645036</v>
      </c>
      <c r="U10" s="23">
        <f>SUMIFS($F$30:$F$251,$C$30:$C$251,Timing!U59)</f>
        <v>235375.57442082735</v>
      </c>
      <c r="V10" s="23">
        <f>SUMIFS($F$30:$F$251,$C$30:$C$251,Timing!V59)</f>
        <v>170444.38147715112</v>
      </c>
      <c r="W10" s="23">
        <f>SUMIFS($F$30:$F$251,$C$30:$C$251,Timing!W59)</f>
        <v>105513.18853347484</v>
      </c>
      <c r="X10" s="23">
        <f>SUMIFS($F$30:$F$251,$C$30:$C$251,Timing!X59)</f>
        <v>40581.99558979853</v>
      </c>
      <c r="Y10" s="23">
        <f>SUMIFS($F$30:$F$251,$C$30:$C$251,Timing!Y59)</f>
        <v>0</v>
      </c>
      <c r="Z10" s="23">
        <f>SUMIFS($F$30:$F$251,$C$30:$C$251,Timing!Z59)</f>
        <v>0</v>
      </c>
      <c r="AA10" s="23">
        <f>SUMIFS($F$30:$F$251,$C$30:$C$251,Timing!AA59)</f>
        <v>0</v>
      </c>
      <c r="AB10" s="23">
        <f>SUMIFS($F$30:$F$251,$C$30:$C$251,Timing!AB59)</f>
        <v>0</v>
      </c>
      <c r="AC10" s="23">
        <f>SUMIFS($F$30:$F$251,$C$30:$C$251,Timing!AC59)</f>
        <v>0</v>
      </c>
      <c r="AD10" s="23">
        <f>SUMIFS($F$30:$F$251,$C$30:$C$251,Timing!AD59)</f>
        <v>0</v>
      </c>
      <c r="AE10" s="23">
        <f>SUMIFS($F$30:$F$251,$C$30:$C$251,Timing!AE59)</f>
        <v>0</v>
      </c>
    </row>
    <row r="11">
      <c r="A11" s="6" t="inlineStr">
        <is>
          <t xml:space="preserve">Principal (sum of the instalments)</t>
        </is>
      </c>
      <c r="B11" s="10" t="inlineStr">
        <is>
          <t xml:space="preserve">€</t>
        </is>
      </c>
      <c r="F11" s="23">
        <f>SUMIFS($G$30:$G$251,$C$30:$C$251,Timing!F59)</f>
        <v>0</v>
      </c>
      <c r="G11" s="23">
        <f>SUMIFS($G$30:$G$251,$C$30:$C$251,Timing!G59)</f>
        <v>0</v>
      </c>
      <c r="H11" s="23">
        <f>SUMIFS($G$30:$G$251,$C$30:$C$251,Timing!H59)</f>
        <v>1213667.1578257247</v>
      </c>
      <c r="I11" s="23">
        <f>SUMIFS($G$30:$G$251,$C$30:$C$251,Timing!I59)</f>
        <v>1213667.1578257247</v>
      </c>
      <c r="J11" s="23">
        <f>SUMIFS($G$30:$G$251,$C$30:$C$251,Timing!J59)</f>
        <v>1213667.1578257247</v>
      </c>
      <c r="K11" s="23">
        <f>SUMIFS($G$30:$G$251,$C$30:$C$251,Timing!K59)</f>
        <v>1213667.1578257247</v>
      </c>
      <c r="L11" s="23">
        <f>SUMIFS($G$30:$G$251,$C$30:$C$251,Timing!L59)</f>
        <v>1213667.1578257247</v>
      </c>
      <c r="M11" s="23">
        <f>SUMIFS($G$30:$G$251,$C$30:$C$251,Timing!M59)</f>
        <v>1213667.1578257247</v>
      </c>
      <c r="N11" s="23">
        <f>SUMIFS($G$30:$G$251,$C$30:$C$251,Timing!N59)</f>
        <v>1213667.1578257247</v>
      </c>
      <c r="O11" s="23">
        <f>SUMIFS($G$30:$G$251,$C$30:$C$251,Timing!O59)</f>
        <v>1213667.1578257247</v>
      </c>
      <c r="P11" s="23">
        <f>SUMIFS($G$30:$G$251,$C$30:$C$251,Timing!P59)</f>
        <v>1213667.1578257247</v>
      </c>
      <c r="Q11" s="23">
        <f>SUMIFS($G$30:$G$251,$C$30:$C$251,Timing!Q59)</f>
        <v>1213667.1578257247</v>
      </c>
      <c r="R11" s="23">
        <f>SUMIFS($G$30:$G$251,$C$30:$C$251,Timing!R59)</f>
        <v>1213667.1578257247</v>
      </c>
      <c r="S11" s="23">
        <f>SUMIFS($G$30:$G$251,$C$30:$C$251,Timing!S59)</f>
        <v>1213667.1578257247</v>
      </c>
      <c r="T11" s="23">
        <f>SUMIFS($G$30:$G$251,$C$30:$C$251,Timing!T59)</f>
        <v>1213667.1578257247</v>
      </c>
      <c r="U11" s="23">
        <f>SUMIFS($G$30:$G$251,$C$30:$C$251,Timing!U59)</f>
        <v>1213667.1578257247</v>
      </c>
      <c r="V11" s="23">
        <f>SUMIFS($G$30:$G$251,$C$30:$C$251,Timing!V59)</f>
        <v>1213667.1578257247</v>
      </c>
      <c r="W11" s="23">
        <f>SUMIFS($G$30:$G$251,$C$30:$C$251,Timing!W59)</f>
        <v>1213667.1578257247</v>
      </c>
      <c r="X11" s="23">
        <f>SUMIFS($G$30:$G$251,$C$30:$C$251,Timing!X59)</f>
        <v>1213667.157825741</v>
      </c>
      <c r="Y11" s="23">
        <f>SUMIFS($G$30:$G$251,$C$30:$C$251,Timing!Y59)</f>
        <v>0</v>
      </c>
      <c r="Z11" s="23">
        <f>SUMIFS($G$30:$G$251,$C$30:$C$251,Timing!Z59)</f>
        <v>0</v>
      </c>
      <c r="AA11" s="23">
        <f>SUMIFS($G$30:$G$251,$C$30:$C$251,Timing!AA59)</f>
        <v>0</v>
      </c>
      <c r="AB11" s="23">
        <f>SUMIFS($G$30:$G$251,$C$30:$C$251,Timing!AB59)</f>
        <v>0</v>
      </c>
      <c r="AC11" s="23">
        <f>SUMIFS($G$30:$G$251,$C$30:$C$251,Timing!AC59)</f>
        <v>0</v>
      </c>
      <c r="AD11" s="23">
        <f>SUMIFS($G$30:$G$251,$C$30:$C$251,Timing!AD59)</f>
        <v>0</v>
      </c>
      <c r="AE11" s="23">
        <f>SUMIFS($G$30:$G$251,$C$30:$C$251,Timing!AE59)</f>
        <v>0</v>
      </c>
    </row>
    <row r="12">
      <c r="A12" s="6" t="inlineStr">
        <is>
          <t xml:space="preserve">Loan at the year end</t>
        </is>
      </c>
      <c r="B12" s="10" t="inlineStr">
        <is>
          <t xml:space="preserve">€</t>
        </is>
      </c>
      <c r="E12" s="23">
        <f>$C$6</f>
        <v>20632341.68303732</v>
      </c>
      <c r="F12" s="23">
        <f>F9-F11</f>
        <v>20632341.68303732</v>
      </c>
      <c r="G12" s="23">
        <f>G9-G11</f>
        <v>20632341.68303732</v>
      </c>
      <c r="H12" s="23">
        <f>H9-H11</f>
        <v>19418674.525211595</v>
      </c>
      <c r="I12" s="23">
        <f>I9-I11</f>
        <v>18205007.36738587</v>
      </c>
      <c r="J12" s="23">
        <f>J9-J11</f>
        <v>16991340.20956015</v>
      </c>
      <c r="K12" s="23">
        <f>K9-K11</f>
        <v>15777673.051734425</v>
      </c>
      <c r="L12" s="23">
        <f>L9-L11</f>
        <v>14564005.893908702</v>
      </c>
      <c r="M12" s="23">
        <f>M9-M11</f>
        <v>13350338.736082979</v>
      </c>
      <c r="N12" s="23">
        <f>N9-N11</f>
        <v>12136671.578257255</v>
      </c>
      <c r="O12" s="23">
        <f>O9-O11</f>
        <v>10923004.420431532</v>
      </c>
      <c r="P12" s="23">
        <f>P9-P11</f>
        <v>9709337.262605809</v>
      </c>
      <c r="Q12" s="23">
        <f>Q9-Q11</f>
        <v>8495670.104780085</v>
      </c>
      <c r="R12" s="23">
        <f>R9-R11</f>
        <v>7282002.946954362</v>
      </c>
      <c r="S12" s="23">
        <f>S9-S11</f>
        <v>6068335.789128639</v>
      </c>
      <c r="T12" s="23">
        <f>T9-T11</f>
        <v>4854668.6313029155</v>
      </c>
      <c r="U12" s="23">
        <f>U9-U11</f>
        <v>3641001.4734771913</v>
      </c>
      <c r="V12" s="23">
        <f>V9-V11</f>
        <v>2427334.315651466</v>
      </c>
      <c r="W12" s="23">
        <f>W9-W11</f>
        <v>1213667.157825741</v>
      </c>
      <c r="X12" s="23">
        <f>X9-X11</f>
        <v>0</v>
      </c>
      <c r="Y12" s="23">
        <f>Y9-Y11</f>
        <v>0</v>
      </c>
      <c r="Z12" s="23">
        <f>Z9-Z11</f>
        <v>0</v>
      </c>
      <c r="AA12" s="23">
        <f>AA9-AA11</f>
        <v>0</v>
      </c>
      <c r="AB12" s="23">
        <f>AB9-AB11</f>
        <v>0</v>
      </c>
      <c r="AC12" s="23">
        <f>AC9-AC11</f>
        <v>0</v>
      </c>
      <c r="AD12" s="23">
        <f>AD9-AD11</f>
        <v>0</v>
      </c>
      <c r="AE12" s="23">
        <f>AE9-AE11</f>
        <v>0</v>
      </c>
    </row>
    <row r="13">
      <c r="A13" s="41" t="inlineStr">
        <is>
          <t xml:space="preserve">Debt service</t>
        </is>
      </c>
      <c r="B13" s="10" t="inlineStr">
        <is>
          <t xml:space="preserve">€</t>
        </is>
      </c>
      <c r="F13" s="42">
        <f>F10+F11</f>
        <v>551915.1400212483</v>
      </c>
      <c r="G13" s="42">
        <f>G10+G11</f>
        <v>1103830.2800424965</v>
      </c>
      <c r="H13" s="42">
        <f>H10+H11</f>
        <v>2293148.2405143427</v>
      </c>
      <c r="I13" s="42">
        <f>I10+I11</f>
        <v>2228217.0475706663</v>
      </c>
      <c r="J13" s="42">
        <f>J10+J11</f>
        <v>2163285.8546269904</v>
      </c>
      <c r="K13" s="42">
        <f>K10+K11</f>
        <v>2098354.661683314</v>
      </c>
      <c r="L13" s="42">
        <f>L10+L11</f>
        <v>2033423.4687396376</v>
      </c>
      <c r="M13" s="42">
        <f>M10+M11</f>
        <v>1968492.2757959617</v>
      </c>
      <c r="N13" s="42">
        <f>N10+N11</f>
        <v>1903561.0828522854</v>
      </c>
      <c r="O13" s="42">
        <f>O10+O11</f>
        <v>1838629.8899086094</v>
      </c>
      <c r="P13" s="42">
        <f>P10+P11</f>
        <v>1773698.696964933</v>
      </c>
      <c r="Q13" s="42">
        <f>Q10+Q11</f>
        <v>1708767.504021257</v>
      </c>
      <c r="R13" s="42">
        <f>R10+R11</f>
        <v>1643836.3110775806</v>
      </c>
      <c r="S13" s="42">
        <f>S10+S11</f>
        <v>1578905.1181339044</v>
      </c>
      <c r="T13" s="42">
        <f>T10+T11</f>
        <v>1513973.9251902283</v>
      </c>
      <c r="U13" s="42">
        <f>U10+U11</f>
        <v>1449042.7322465521</v>
      </c>
      <c r="V13" s="42">
        <f>V10+V11</f>
        <v>1384111.5393028758</v>
      </c>
      <c r="W13" s="42">
        <f>W10+W11</f>
        <v>1319180.3463591996</v>
      </c>
      <c r="X13" s="42">
        <f>X10+X11</f>
        <v>1254249.1534155395</v>
      </c>
      <c r="Y13" s="42">
        <f>Y10+Y11</f>
        <v>0</v>
      </c>
      <c r="Z13" s="42">
        <f>Z10+Z11</f>
        <v>0</v>
      </c>
      <c r="AA13" s="42">
        <f>AA10+AA11</f>
        <v>0</v>
      </c>
      <c r="AB13" s="42">
        <f>AB10+AB11</f>
        <v>0</v>
      </c>
      <c r="AC13" s="42">
        <f>AC10+AC11</f>
        <v>0</v>
      </c>
      <c r="AD13" s="42">
        <f>AD10+AD11</f>
        <v>0</v>
      </c>
      <c r="AE13" s="42">
        <f>AE10+AE11</f>
        <v>0</v>
      </c>
    </row>
    <row r="14">
      <c r="A14" s="6" t="inlineStr">
        <is>
          <t xml:space="preserve">DSRA target: months of next year's debt service (at least the first repayment year's)</t>
        </is>
      </c>
      <c r="B14" s="10" t="inlineStr">
        <is>
          <t xml:space="preserve">€</t>
        </is>
      </c>
      <c r="F14" s="23">
        <f>IF(Timing!F59&gt;=Timing!$C$23,0,Inputs!$C$86/12*IFERROR(INDEX($F$13:$AE$13,MATCH(MAX(Timing!F59+1,Timing!$C$24),Timing!$F$59:$AE$59,0)),0))</f>
        <v>573287.0601285857</v>
      </c>
      <c r="G14" s="23">
        <f>IF(Timing!G59&gt;=Timing!$C$23,0,Inputs!$C$86/12*IFERROR(INDEX($F$13:$AE$13,MATCH(MAX(Timing!G59+1,Timing!$C$24),Timing!$F$59:$AE$59,0)),0))</f>
        <v>573287.0601285857</v>
      </c>
      <c r="H14" s="23">
        <f>IF(Timing!H59&gt;=Timing!$C$23,0,Inputs!$C$86/12*IFERROR(INDEX($F$13:$AE$13,MATCH(MAX(Timing!H59+1,Timing!$C$24),Timing!$F$59:$AE$59,0)),0))</f>
        <v>557054.2618926666</v>
      </c>
      <c r="I14" s="23">
        <f>IF(Timing!I59&gt;=Timing!$C$23,0,Inputs!$C$86/12*IFERROR(INDEX($F$13:$AE$13,MATCH(MAX(Timing!I59+1,Timing!$C$24),Timing!$F$59:$AE$59,0)),0))</f>
        <v>540821.4636567476</v>
      </c>
      <c r="J14" s="23">
        <f>IF(Timing!J59&gt;=Timing!$C$23,0,Inputs!$C$86/12*IFERROR(INDEX($F$13:$AE$13,MATCH(MAX(Timing!J59+1,Timing!$C$24),Timing!$F$59:$AE$59,0)),0))</f>
        <v>524588.6654208285</v>
      </c>
      <c r="K14" s="23">
        <f>IF(Timing!K59&gt;=Timing!$C$23,0,Inputs!$C$86/12*IFERROR(INDEX($F$13:$AE$13,MATCH(MAX(Timing!K59+1,Timing!$C$24),Timing!$F$59:$AE$59,0)),0))</f>
        <v>508355.8671849094</v>
      </c>
      <c r="L14" s="23">
        <f>IF(Timing!L59&gt;=Timing!$C$23,0,Inputs!$C$86/12*IFERROR(INDEX($F$13:$AE$13,MATCH(MAX(Timing!L59+1,Timing!$C$24),Timing!$F$59:$AE$59,0)),0))</f>
        <v>492123.06894899043</v>
      </c>
      <c r="M14" s="23">
        <f>IF(Timing!M59&gt;=Timing!$C$23,0,Inputs!$C$86/12*IFERROR(INDEX($F$13:$AE$13,MATCH(MAX(Timing!M59+1,Timing!$C$24),Timing!$F$59:$AE$59,0)),0))</f>
        <v>475890.27071307134</v>
      </c>
      <c r="N14" s="23">
        <f>IF(Timing!N59&gt;=Timing!$C$23,0,Inputs!$C$86/12*IFERROR(INDEX($F$13:$AE$13,MATCH(MAX(Timing!N59+1,Timing!$C$24),Timing!$F$59:$AE$59,0)),0))</f>
        <v>459657.47247715236</v>
      </c>
      <c r="O14" s="23">
        <f>IF(Timing!O59&gt;=Timing!$C$23,0,Inputs!$C$86/12*IFERROR(INDEX($F$13:$AE$13,MATCH(MAX(Timing!O59+1,Timing!$C$24),Timing!$F$59:$AE$59,0)),0))</f>
        <v>443424.67424123327</v>
      </c>
      <c r="P14" s="23">
        <f>IF(Timing!P59&gt;=Timing!$C$23,0,Inputs!$C$86/12*IFERROR(INDEX($F$13:$AE$13,MATCH(MAX(Timing!P59+1,Timing!$C$24),Timing!$F$59:$AE$59,0)),0))</f>
        <v>427191.87600531423</v>
      </c>
      <c r="Q14" s="23">
        <f>IF(Timing!Q59&gt;=Timing!$C$23,0,Inputs!$C$86/12*IFERROR(INDEX($F$13:$AE$13,MATCH(MAX(Timing!Q59+1,Timing!$C$24),Timing!$F$59:$AE$59,0)),0))</f>
        <v>410959.07776939514</v>
      </c>
      <c r="R14" s="23">
        <f>IF(Timing!R59&gt;=Timing!$C$23,0,Inputs!$C$86/12*IFERROR(INDEX($F$13:$AE$13,MATCH(MAX(Timing!R59+1,Timing!$C$24),Timing!$F$59:$AE$59,0)),0))</f>
        <v>394726.2795334761</v>
      </c>
      <c r="S14" s="23">
        <f>IF(Timing!S59&gt;=Timing!$C$23,0,Inputs!$C$86/12*IFERROR(INDEX($F$13:$AE$13,MATCH(MAX(Timing!S59+1,Timing!$C$24),Timing!$F$59:$AE$59,0)),0))</f>
        <v>378493.48129755707</v>
      </c>
      <c r="T14" s="23">
        <f>IF(Timing!T59&gt;=Timing!$C$23,0,Inputs!$C$86/12*IFERROR(INDEX($F$13:$AE$13,MATCH(MAX(Timing!T59+1,Timing!$C$24),Timing!$F$59:$AE$59,0)),0))</f>
        <v>362260.68306163803</v>
      </c>
      <c r="U14" s="23">
        <f>IF(Timing!U59&gt;=Timing!$C$23,0,Inputs!$C$86/12*IFERROR(INDEX($F$13:$AE$13,MATCH(MAX(Timing!U59+1,Timing!$C$24),Timing!$F$59:$AE$59,0)),0))</f>
        <v>346027.88482571894</v>
      </c>
      <c r="V14" s="23">
        <f>IF(Timing!V59&gt;=Timing!$C$23,0,Inputs!$C$86/12*IFERROR(INDEX($F$13:$AE$13,MATCH(MAX(Timing!V59+1,Timing!$C$24),Timing!$F$59:$AE$59,0)),0))</f>
        <v>329795.0865897999</v>
      </c>
      <c r="W14" s="23">
        <f>IF(Timing!W59&gt;=Timing!$C$23,0,Inputs!$C$86/12*IFERROR(INDEX($F$13:$AE$13,MATCH(MAX(Timing!W59+1,Timing!$C$24),Timing!$F$59:$AE$59,0)),0))</f>
        <v>313562.2883538849</v>
      </c>
      <c r="X14" s="23">
        <f>IF(Timing!X59&gt;=Timing!$C$23,0,Inputs!$C$86/12*IFERROR(INDEX($F$13:$AE$13,MATCH(MAX(Timing!X59+1,Timing!$C$24),Timing!$F$59:$AE$59,0)),0))</f>
        <v>0</v>
      </c>
      <c r="Y14" s="23">
        <f>IF(Timing!Y59&gt;=Timing!$C$23,0,Inputs!$C$86/12*IFERROR(INDEX($F$13:$AE$13,MATCH(MAX(Timing!Y59+1,Timing!$C$24),Timing!$F$59:$AE$59,0)),0))</f>
        <v>0</v>
      </c>
      <c r="Z14" s="23">
        <f>IF(Timing!Z59&gt;=Timing!$C$23,0,Inputs!$C$86/12*IFERROR(INDEX($F$13:$AE$13,MATCH(MAX(Timing!Z59+1,Timing!$C$24),Timing!$F$59:$AE$59,0)),0))</f>
        <v>0</v>
      </c>
      <c r="AA14" s="23">
        <f>IF(Timing!AA59&gt;=Timing!$C$23,0,Inputs!$C$86/12*IFERROR(INDEX($F$13:$AE$13,MATCH(MAX(Timing!AA59+1,Timing!$C$24),Timing!$F$59:$AE$59,0)),0))</f>
        <v>0</v>
      </c>
      <c r="AB14" s="23">
        <f>IF(Timing!AB59&gt;=Timing!$C$23,0,Inputs!$C$86/12*IFERROR(INDEX($F$13:$AE$13,MATCH(MAX(Timing!AB59+1,Timing!$C$24),Timing!$F$59:$AE$59,0)),0))</f>
        <v>0</v>
      </c>
      <c r="AC14" s="23">
        <f>IF(Timing!AC59&gt;=Timing!$C$23,0,Inputs!$C$86/12*IFERROR(INDEX($F$13:$AE$13,MATCH(MAX(Timing!AC59+1,Timing!$C$24),Timing!$F$59:$AE$59,0)),0))</f>
        <v>0</v>
      </c>
      <c r="AD14" s="23">
        <f>IF(Timing!AD59&gt;=Timing!$C$23,0,Inputs!$C$86/12*IFERROR(INDEX($F$13:$AE$13,MATCH(MAX(Timing!AD59+1,Timing!$C$24),Timing!$F$59:$AE$59,0)),0))</f>
        <v>0</v>
      </c>
      <c r="AE14" s="23">
        <f>IF(Timing!AE59&gt;=Timing!$C$23,0,Inputs!$C$86/12*IFERROR(INDEX($F$13:$AE$13,MATCH(MAX(Timing!AE59+1,Timing!$C$24),Timing!$F$59:$AE$59,0)),0))</f>
        <v>0</v>
      </c>
    </row>
    <row r="15">
      <c r="A15" s="6" t="inlineStr">
        <is>
          <t xml:space="preserve">DSRA funded at COD: months of the debt service of the first full year with repayment</t>
        </is>
      </c>
      <c r="B15" s="10" t="inlineStr">
        <is>
          <t xml:space="preserve">€</t>
        </is>
      </c>
      <c r="C15" s="23">
        <f>IF(MAX(Timing!$C$24,Timing!$C$16)&gt;Timing!$C$23,0,Inputs!$C$86/12*IFERROR(INDEX($F$13:$AE$13,MATCH(MAX(Timing!$C$24,Timing!$C$16),Timing!$F$59:$AE$59,0)),0))</f>
        <v>573287.0601285857</v>
      </c>
    </row>
    <row r="17">
      <c r="A17" s="5" t="inlineStr">
        <is>
          <t xml:space="preserve">Lender's case: does the pasted loan still fit? (sizing on the base run)</t>
        </is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>
      <c r="A18" s="6" t="inlineStr">
        <is>
          <t xml:space="preserve">CFADS, lender's case P50</t>
        </is>
      </c>
      <c r="B18" s="10" t="inlineStr">
        <is>
          <t xml:space="preserve">€</t>
        </is>
      </c>
      <c r="F18" s="45">
        <f>Tax!F307</f>
        <v>1615947.0587999718</v>
      </c>
      <c r="G18" s="45">
        <f>Tax!G307</f>
        <v>2945247.682255272</v>
      </c>
      <c r="H18" s="45">
        <f>Tax!H307</f>
        <v>2918234.58101728</v>
      </c>
      <c r="I18" s="45">
        <f>Tax!I307</f>
        <v>2889808.84762662</v>
      </c>
      <c r="J18" s="45">
        <f>Tax!J307</f>
        <v>2862019.1806258596</v>
      </c>
      <c r="K18" s="45">
        <f>Tax!K307</f>
        <v>2830760.9399214042</v>
      </c>
      <c r="L18" s="45">
        <f>Tax!L307</f>
        <v>2802170.9107294343</v>
      </c>
      <c r="M18" s="45">
        <f>Tax!M307</f>
        <v>2772144.1346973456</v>
      </c>
      <c r="N18" s="45">
        <f>Tax!N307</f>
        <v>2742712.27061099</v>
      </c>
      <c r="O18" s="45">
        <f>Tax!O307</f>
        <v>2709802.7040106542</v>
      </c>
      <c r="P18" s="45">
        <f>Tax!P307</f>
        <v>2555453.4711899958</v>
      </c>
      <c r="Q18" s="45">
        <f>Tax!Q307</f>
        <v>2515497.258280874</v>
      </c>
      <c r="R18" s="45">
        <f>Tax!R307</f>
        <v>2471746.222247659</v>
      </c>
      <c r="S18" s="45">
        <f>Tax!S307</f>
        <v>2424274.4491496794</v>
      </c>
      <c r="T18" s="45">
        <f>Tax!T307</f>
        <v>2379115.0530797015</v>
      </c>
      <c r="U18" s="45">
        <f>Tax!U307</f>
        <v>2332222.0070184306</v>
      </c>
      <c r="V18" s="45">
        <f>Tax!V307</f>
        <v>2285588.274374421</v>
      </c>
      <c r="W18" s="45">
        <f>Tax!W307</f>
        <v>2180585.4048345233</v>
      </c>
      <c r="X18" s="45">
        <f>Tax!X307</f>
        <v>2133209.120645673</v>
      </c>
      <c r="Y18" s="45">
        <f>Tax!Y307</f>
        <v>2085208.3692434542</v>
      </c>
      <c r="Z18" s="45">
        <f>Tax!Z307</f>
        <v>1963118.8264189288</v>
      </c>
      <c r="AA18" s="45">
        <f>Tax!AA307</f>
        <v>2440153.3856569533</v>
      </c>
      <c r="AB18" s="45">
        <f>Tax!AB307</f>
        <v>4131317.093339634</v>
      </c>
      <c r="AC18" s="45">
        <f>Tax!AC307</f>
        <v>4371823.733942119</v>
      </c>
      <c r="AD18" s="45">
        <f>Tax!AD307</f>
        <v>4455825.733646735</v>
      </c>
      <c r="AE18" s="45">
        <f>Tax!AE307</f>
        <v>2886650.1287304964</v>
      </c>
    </row>
    <row r="19">
      <c r="A19" s="6" t="inlineStr">
        <is>
          <t xml:space="preserve">CFADS, lender's case P90 1-yr</t>
        </is>
      </c>
      <c r="B19" s="10" t="inlineStr">
        <is>
          <t xml:space="preserve">€</t>
        </is>
      </c>
      <c r="F19" s="45">
        <f>Tax!F340</f>
        <v>1361804.6974063395</v>
      </c>
      <c r="G19" s="45">
        <f>Tax!G340</f>
        <v>2318567.92290564</v>
      </c>
      <c r="H19" s="45">
        <f>Tax!H340</f>
        <v>2293148.2405143427</v>
      </c>
      <c r="I19" s="45">
        <f>Tax!I340</f>
        <v>2259799.9228570154</v>
      </c>
      <c r="J19" s="45">
        <f>Tax!J340</f>
        <v>2225078.4221117063</v>
      </c>
      <c r="K19" s="45">
        <f>Tax!K340</f>
        <v>2187244.3458036315</v>
      </c>
      <c r="L19" s="45">
        <f>Tax!L340</f>
        <v>2151423.477762079</v>
      </c>
      <c r="M19" s="45">
        <f>Tax!M340</f>
        <v>2114179.8772165105</v>
      </c>
      <c r="N19" s="45">
        <f>Tax!N340</f>
        <v>2077207.452880992</v>
      </c>
      <c r="O19" s="45">
        <f>Tax!O340</f>
        <v>2037097.1252344516</v>
      </c>
      <c r="P19" s="45">
        <f>Tax!P340</f>
        <v>1874883.7243511868</v>
      </c>
      <c r="Q19" s="45">
        <f>Tax!Q340</f>
        <v>1832774.8665524465</v>
      </c>
      <c r="R19" s="45">
        <f>Tax!R340</f>
        <v>1790832.2014372281</v>
      </c>
      <c r="S19" s="45">
        <f>Tax!S340</f>
        <v>1745671.7916441306</v>
      </c>
      <c r="T19" s="45">
        <f>Tax!T340</f>
        <v>1702334.902767579</v>
      </c>
      <c r="U19" s="45">
        <f>Tax!U340</f>
        <v>1657437.0470277667</v>
      </c>
      <c r="V19" s="45">
        <f>Tax!V340</f>
        <v>1612642.0182867225</v>
      </c>
      <c r="W19" s="45">
        <f>Tax!W340</f>
        <v>1547539.6369820111</v>
      </c>
      <c r="X19" s="45">
        <f>Tax!X340</f>
        <v>1501905.7023143377</v>
      </c>
      <c r="Y19" s="45">
        <f>Tax!Y340</f>
        <v>1455805.4391966895</v>
      </c>
      <c r="Z19" s="45">
        <f>Tax!Z340</f>
        <v>1335475.994300421</v>
      </c>
      <c r="AA19" s="45">
        <f>Tax!AA340</f>
        <v>1728113.961576436</v>
      </c>
      <c r="AB19" s="45">
        <f>Tax!AB340</f>
        <v>3223943.009133709</v>
      </c>
      <c r="AC19" s="45">
        <f>Tax!AC340</f>
        <v>3420403.849693592</v>
      </c>
      <c r="AD19" s="45">
        <f>Tax!AD340</f>
        <v>3486612.4277893924</v>
      </c>
      <c r="AE19" s="45">
        <f>Tax!AE340</f>
        <v>2296566.936258025</v>
      </c>
    </row>
    <row r="20">
      <c r="A20" s="6" t="inlineStr">
        <is>
          <t xml:space="preserve">DSCR, lender's case P50</t>
        </is>
      </c>
      <c r="F20" s="46">
        <f>IF(F13&gt;=Inputs!$C$158,F18/F13,"")</f>
        <v>2.927890433913009</v>
      </c>
      <c r="G20" s="46">
        <f>IF(G13&gt;=Inputs!$C$158,G18/G13,"")</f>
        <v>2.6682070020237916</v>
      </c>
      <c r="H20" s="46">
        <f>IF(H13&gt;=Inputs!$C$158,H18/H13,"")</f>
        <v>1.2725887186267266</v>
      </c>
      <c r="I20" s="46">
        <f>IF(I13&gt;=Inputs!$C$158,I18/I13,"")</f>
        <v>1.296915330029119</v>
      </c>
      <c r="J20" s="46">
        <f>IF(J13&gt;=Inputs!$C$158,J18/J13,"")</f>
        <v>1.3229962995895195</v>
      </c>
      <c r="K20" s="46">
        <f>IF(K13&gt;=Inputs!$C$158,K18/K13,"")</f>
        <v>1.3490383640154278</v>
      </c>
      <c r="L20" s="46">
        <f>IF(L13&gt;=Inputs!$C$158,L18/L13,"")</f>
        <v>1.3780557536627056</v>
      </c>
      <c r="M20" s="46">
        <f>IF(M13&gt;=Inputs!$C$158,M18/M13,"")</f>
        <v>1.408257562797104</v>
      </c>
      <c r="N20" s="46">
        <f>IF(N13&gt;=Inputs!$C$158,N18/N13,"")</f>
        <v>1.4408322881351017</v>
      </c>
      <c r="O20" s="46">
        <f>IF(O13&gt;=Inputs!$C$158,O18/O13,"")</f>
        <v>1.4738163014119972</v>
      </c>
      <c r="P20" s="46">
        <f>IF(P13&gt;=Inputs!$C$158,P18/P13,"")</f>
        <v>1.4407483500792797</v>
      </c>
      <c r="Q20" s="46">
        <f>IF(Q13&gt;=Inputs!$C$158,Q18/Q13,"")</f>
        <v>1.4721120646086336</v>
      </c>
      <c r="R20" s="46">
        <f>IF(R13&gt;=Inputs!$C$158,R18/R13,"")</f>
        <v>1.503644983135432</v>
      </c>
      <c r="S20" s="46">
        <f>IF(S13&gt;=Inputs!$C$158,S18/S13,"")</f>
        <v>1.5354149032178137</v>
      </c>
      <c r="T20" s="46">
        <f>IF(T13&gt;=Inputs!$C$158,T18/T13,"")</f>
        <v>1.5714372708108362</v>
      </c>
      <c r="U20" s="46">
        <f>IF(U13&gt;=Inputs!$C$158,U18/U13,"")</f>
        <v>1.6094915319734042</v>
      </c>
      <c r="V20" s="46">
        <f>IF(V13&gt;=Inputs!$C$158,V18/V13,"")</f>
        <v>1.651303532608062</v>
      </c>
      <c r="W20" s="46">
        <f>IF(W13&gt;=Inputs!$C$158,W18/W13,"")</f>
        <v>1.6529850606497527</v>
      </c>
      <c r="X20" s="46">
        <f>IF(X13&gt;=Inputs!$C$158,X18/X13,"")</f>
        <v>1.700785776762593</v>
      </c>
      <c r="Y20" s="46" t="str">
        <f>IF(Y13&gt;=Inputs!$C$158,Y18/Y13,"")</f>
        <v/>
      </c>
      <c r="Z20" s="46" t="str">
        <f>IF(Z13&gt;=Inputs!$C$158,Z18/Z13,"")</f>
        <v/>
      </c>
      <c r="AA20" s="46" t="str">
        <f>IF(AA13&gt;=Inputs!$C$158,AA18/AA13,"")</f>
        <v/>
      </c>
      <c r="AB20" s="46" t="str">
        <f>IF(AB13&gt;=Inputs!$C$158,AB18/AB13,"")</f>
        <v/>
      </c>
      <c r="AC20" s="46" t="str">
        <f>IF(AC13&gt;=Inputs!$C$158,AC18/AC13,"")</f>
        <v/>
      </c>
      <c r="AD20" s="46" t="str">
        <f>IF(AD13&gt;=Inputs!$C$158,AD18/AD13,"")</f>
        <v/>
      </c>
      <c r="AE20" s="46" t="str">
        <f>IF(AE13&gt;=Inputs!$C$158,AE18/AE13,"")</f>
        <v/>
      </c>
    </row>
    <row r="21">
      <c r="A21" s="6" t="inlineStr">
        <is>
          <t xml:space="preserve">DSCR, lender's case P90 1-yr</t>
        </is>
      </c>
      <c r="F21" s="46">
        <f>IF(F13&gt;=Inputs!$C$158,F19/F13,"")</f>
        <v>2.4674168158422165</v>
      </c>
      <c r="G21" s="46">
        <f>IF(G13&gt;=Inputs!$C$158,G19/G13,"")</f>
        <v>2.100475013981658</v>
      </c>
      <c r="H21" s="46">
        <f>IF(H13&gt;=Inputs!$C$158,H19/H13,"")</f>
        <v>1</v>
      </c>
      <c r="I21" s="46">
        <f>IF(I13&gt;=Inputs!$C$158,I19/I13,"")</f>
        <v>1.0141740569307567</v>
      </c>
      <c r="J21" s="46">
        <f>IF(J13&gt;=Inputs!$C$158,J19/J13,"")</f>
        <v>1.0285642174160894</v>
      </c>
      <c r="K21" s="46">
        <f>IF(K13&gt;=Inputs!$C$158,K19/K13,"")</f>
        <v>1.0423616110962908</v>
      </c>
      <c r="L21" s="46">
        <f>IF(L13&gt;=Inputs!$C$158,L19/L13,"")</f>
        <v>1.0580302189074173</v>
      </c>
      <c r="M21" s="46">
        <f>IF(M13&gt;=Inputs!$C$158,M19/M13,"")</f>
        <v>1.0740097399476154</v>
      </c>
      <c r="N21" s="46">
        <f>IF(N13&gt;=Inputs!$C$158,N19/N13,"")</f>
        <v>1.0912218533951723</v>
      </c>
      <c r="O21" s="46">
        <f>IF(O13&gt;=Inputs!$C$158,O19/O13,"")</f>
        <v>1.107943004959909</v>
      </c>
      <c r="P21" s="46">
        <f>IF(P13&gt;=Inputs!$C$158,P19/P13,"")</f>
        <v>1.0570474723578456</v>
      </c>
      <c r="Q21" s="46">
        <f>IF(Q13&gt;=Inputs!$C$158,Q19/Q13,"")</f>
        <v>1.0725712317441443</v>
      </c>
      <c r="R21" s="46">
        <f>IF(R13&gt;=Inputs!$C$158,R19/R13,"")</f>
        <v>1.0894224621813395</v>
      </c>
      <c r="S21" s="46">
        <f>IF(S13&gt;=Inputs!$C$158,S19/S13,"")</f>
        <v>1.1056217195035294</v>
      </c>
      <c r="T21" s="46">
        <f>IF(T13&gt;=Inputs!$C$158,T19/T13,"")</f>
        <v>1.1244149416600313</v>
      </c>
      <c r="U21" s="46">
        <f>IF(U13&gt;=Inputs!$C$158,U19/U13,"")</f>
        <v>1.1438151616537398</v>
      </c>
      <c r="V21" s="46">
        <f>IF(V13&gt;=Inputs!$C$158,V19/V13,"")</f>
        <v>1.1651098719247357</v>
      </c>
      <c r="W21" s="46">
        <f>IF(W13&gt;=Inputs!$C$158,W19/W13,"")</f>
        <v>1.17310695330859</v>
      </c>
      <c r="X21" s="46">
        <f>IF(X13&gt;=Inputs!$C$158,X19/X13,"")</f>
        <v>1.1974540291491416</v>
      </c>
      <c r="Y21" s="46" t="str">
        <f>IF(Y13&gt;=Inputs!$C$158,Y19/Y13,"")</f>
        <v/>
      </c>
      <c r="Z21" s="46" t="str">
        <f>IF(Z13&gt;=Inputs!$C$158,Z19/Z13,"")</f>
        <v/>
      </c>
      <c r="AA21" s="46" t="str">
        <f>IF(AA13&gt;=Inputs!$C$158,AA19/AA13,"")</f>
        <v/>
      </c>
      <c r="AB21" s="46" t="str">
        <f>IF(AB13&gt;=Inputs!$C$158,AB19/AB13,"")</f>
        <v/>
      </c>
      <c r="AC21" s="46" t="str">
        <f>IF(AC13&gt;=Inputs!$C$158,AC19/AC13,"")</f>
        <v/>
      </c>
      <c r="AD21" s="46" t="str">
        <f>IF(AD13&gt;=Inputs!$C$158,AD19/AD13,"")</f>
        <v/>
      </c>
      <c r="AE21" s="46" t="str">
        <f>IF(AE13&gt;=Inputs!$C$158,AE19/AE13,"")</f>
        <v/>
      </c>
    </row>
    <row r="22">
      <c r="A22" s="6" t="inlineStr">
        <is>
          <t xml:space="preserve">Lower of DSCR ÷ target, P50 and P90</t>
        </is>
      </c>
      <c r="F22" s="21">
        <f>IF(F13&gt;=Inputs!$C$158,MIN(F20/Inputs!$C$78,F21/Inputs!$C$79),"")</f>
        <v>2.439908694927508</v>
      </c>
      <c r="G22" s="21">
        <f>IF(G13&gt;=Inputs!$C$158,MIN(G20/Inputs!$C$78,G21/Inputs!$C$79),"")</f>
        <v>2.100475013981658</v>
      </c>
      <c r="H22" s="21">
        <f>IF(H13&gt;=Inputs!$C$158,MIN(H20/Inputs!$C$78,H21/Inputs!$C$79),"")</f>
        <v>1</v>
      </c>
      <c r="I22" s="21">
        <f>IF(I13&gt;=Inputs!$C$158,MIN(I20/Inputs!$C$78,I21/Inputs!$C$79),"")</f>
        <v>1.0141740569307567</v>
      </c>
      <c r="J22" s="21">
        <f>IF(J13&gt;=Inputs!$C$158,MIN(J20/Inputs!$C$78,J21/Inputs!$C$79),"")</f>
        <v>1.0285642174160894</v>
      </c>
      <c r="K22" s="21">
        <f>IF(K13&gt;=Inputs!$C$158,MIN(K20/Inputs!$C$78,K21/Inputs!$C$79),"")</f>
        <v>1.0423616110962908</v>
      </c>
      <c r="L22" s="21">
        <f>IF(L13&gt;=Inputs!$C$158,MIN(L20/Inputs!$C$78,L21/Inputs!$C$79),"")</f>
        <v>1.0580302189074173</v>
      </c>
      <c r="M22" s="21">
        <f>IF(M13&gt;=Inputs!$C$158,MIN(M20/Inputs!$C$78,M21/Inputs!$C$79),"")</f>
        <v>1.0740097399476154</v>
      </c>
      <c r="N22" s="21">
        <f>IF(N13&gt;=Inputs!$C$158,MIN(N20/Inputs!$C$78,N21/Inputs!$C$79),"")</f>
        <v>1.0912218533951723</v>
      </c>
      <c r="O22" s="21">
        <f>IF(O13&gt;=Inputs!$C$158,MIN(O20/Inputs!$C$78,O21/Inputs!$C$79),"")</f>
        <v>1.107943004959909</v>
      </c>
      <c r="P22" s="21">
        <f>IF(P13&gt;=Inputs!$C$158,MIN(P20/Inputs!$C$78,P21/Inputs!$C$79),"")</f>
        <v>1.0570474723578456</v>
      </c>
      <c r="Q22" s="21">
        <f>IF(Q13&gt;=Inputs!$C$158,MIN(Q20/Inputs!$C$78,Q21/Inputs!$C$79),"")</f>
        <v>1.0725712317441443</v>
      </c>
      <c r="R22" s="21">
        <f>IF(R13&gt;=Inputs!$C$158,MIN(R20/Inputs!$C$78,R21/Inputs!$C$79),"")</f>
        <v>1.0894224621813395</v>
      </c>
      <c r="S22" s="21">
        <f>IF(S13&gt;=Inputs!$C$158,MIN(S20/Inputs!$C$78,S21/Inputs!$C$79),"")</f>
        <v>1.1056217195035294</v>
      </c>
      <c r="T22" s="21">
        <f>IF(T13&gt;=Inputs!$C$158,MIN(T20/Inputs!$C$78,T21/Inputs!$C$79),"")</f>
        <v>1.1244149416600313</v>
      </c>
      <c r="U22" s="21">
        <f>IF(U13&gt;=Inputs!$C$158,MIN(U20/Inputs!$C$78,U21/Inputs!$C$79),"")</f>
        <v>1.1438151616537398</v>
      </c>
      <c r="V22" s="21">
        <f>IF(V13&gt;=Inputs!$C$158,MIN(V20/Inputs!$C$78,V21/Inputs!$C$79),"")</f>
        <v>1.1651098719247357</v>
      </c>
      <c r="W22" s="21">
        <f>IF(W13&gt;=Inputs!$C$158,MIN(W20/Inputs!$C$78,W21/Inputs!$C$79),"")</f>
        <v>1.17310695330859</v>
      </c>
      <c r="X22" s="21">
        <f>IF(X13&gt;=Inputs!$C$158,MIN(X20/Inputs!$C$78,X21/Inputs!$C$79),"")</f>
        <v>1.1974540291491416</v>
      </c>
      <c r="Y22" s="21" t="str">
        <f>IF(Y13&gt;=Inputs!$C$158,MIN(Y20/Inputs!$C$78,Y21/Inputs!$C$79),"")</f>
        <v/>
      </c>
      <c r="Z22" s="21" t="str">
        <f>IF(Z13&gt;=Inputs!$C$158,MIN(Z20/Inputs!$C$78,Z21/Inputs!$C$79),"")</f>
        <v/>
      </c>
      <c r="AA22" s="21" t="str">
        <f>IF(AA13&gt;=Inputs!$C$158,MIN(AA20/Inputs!$C$78,AA21/Inputs!$C$79),"")</f>
        <v/>
      </c>
      <c r="AB22" s="21" t="str">
        <f>IF(AB13&gt;=Inputs!$C$158,MIN(AB20/Inputs!$C$78,AB21/Inputs!$C$79),"")</f>
        <v/>
      </c>
      <c r="AC22" s="21" t="str">
        <f>IF(AC13&gt;=Inputs!$C$158,MIN(AC20/Inputs!$C$78,AC21/Inputs!$C$79),"")</f>
        <v/>
      </c>
      <c r="AD22" s="21" t="str">
        <f>IF(AD13&gt;=Inputs!$C$158,MIN(AD20/Inputs!$C$78,AD21/Inputs!$C$79),"")</f>
        <v/>
      </c>
      <c r="AE22" s="21" t="str">
        <f>IF(AE13&gt;=Inputs!$C$158,MIN(AE20/Inputs!$C$78,AE21/Inputs!$C$79),"")</f>
        <v/>
      </c>
    </row>
    <row r="23">
      <c r="A23" s="6" t="inlineStr">
        <is>
          <t xml:space="preserve">Lowest DSCR ÷ target over the loan (1 = a target binds)</t>
        </is>
      </c>
      <c r="C23" s="37">
        <f>IF(COUNT($F$22:$AE$22)=0,"n/a",MIN($F$22:$AE$22))</f>
        <v>1</v>
      </c>
    </row>
    <row r="24">
      <c r="A24" s="6" t="inlineStr">
        <is>
          <t xml:space="preserve">Loan the DSCR targets allow (equal instalments or annuity)</t>
        </is>
      </c>
      <c r="B24" s="10" t="inlineStr">
        <is>
          <t xml:space="preserve">€</t>
        </is>
      </c>
      <c r="C24" s="23">
        <f>IF(COUNT($F$22:$AE$22)=0,0,$C$6*$C$23)</f>
        <v>20632341.68303732</v>
      </c>
      <c r="D24" s="2" t="inlineStr">
        <is>
          <t xml:space="preserve">debt service is proportional to the loan</t>
        </is>
      </c>
    </row>
    <row r="25">
      <c r="A25" s="6" t="inlineStr">
        <is>
          <t xml:space="preserve">Loan the gearing cap allows</t>
        </is>
      </c>
      <c r="B25" s="10" t="inlineStr">
        <is>
          <t xml:space="preserve">€</t>
        </is>
      </c>
      <c r="C25" s="23">
        <f>Inputs!$C$82*Construction!$C$43</f>
        <v>47442885.364847906</v>
      </c>
    </row>
    <row r="26">
      <c r="A26" s="41" t="inlineStr">
        <is>
          <t xml:space="preserve">Loan recalculated in this workbook</t>
        </is>
      </c>
      <c r="B26" s="10" t="inlineStr">
        <is>
          <t xml:space="preserve">€</t>
        </is>
      </c>
      <c r="C26" s="42">
        <f>IF(Inputs!$C$77="sculpted",$C$6,MAX(0,MIN($C$24,$C$25)))</f>
        <v>20632341.68303732</v>
      </c>
    </row>
    <row r="28">
      <c r="A28" s="5" t="inlineStr">
        <is>
          <t xml:space="preserve">Loan by month (interest at rate ÷ 12; instalments at quarter ends)</t>
        </is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>
      <c r="A29" s="17" t="inlineStr">
        <is>
          <t xml:space="preserve">Months since close</t>
        </is>
      </c>
      <c r="B29" s="17" t="inlineStr">
        <is>
          <t xml:space="preserve">Month starts</t>
        </is>
      </c>
      <c r="C29" s="17" t="inlineStr">
        <is>
          <t xml:space="preserve">Year</t>
        </is>
      </c>
      <c r="D29" s="17" t="inlineStr">
        <is>
          <t xml:space="preserve">Instalment no. (−1: none)</t>
        </is>
      </c>
      <c r="E29" s="17" t="inlineStr">
        <is>
          <t xml:space="preserve">Loan at the start</t>
        </is>
      </c>
      <c r="F29" s="17" t="inlineStr">
        <is>
          <t xml:space="preserve">Interest</t>
        </is>
      </c>
      <c r="G29" s="17" t="inlineStr">
        <is>
          <t xml:space="preserve">Principal</t>
        </is>
      </c>
      <c r="H29" s="17" t="inlineStr">
        <is>
          <t xml:space="preserve">Loan at the end</t>
        </is>
      </c>
    </row>
    <row r="30">
      <c r="A30" s="23">
        <f>Inputs!$C$11</f>
        <v>18</v>
      </c>
      <c r="B30" s="27">
        <f>EDATE(Timing!$C$6,$A$30)</f>
        <v>46935</v>
      </c>
      <c r="C30" s="25">
        <f>YEAR($B$30)</f>
        <v>2028</v>
      </c>
      <c r="D30" s="23">
        <f>IF(AND($A$30-12*Inputs!$C$76+1&gt;=3,MOD($A$30-12*Inputs!$C$76+1,3)=0),($A$30-12*Inputs!$C$76+1)/3-1,-1)</f>
        <v>-1</v>
      </c>
      <c r="E30" s="23">
        <f>$C$6</f>
        <v>20632341.68303732</v>
      </c>
      <c r="F30" s="23">
        <f>$E$30*Inputs!$C$74/12</f>
        <v>91985.85667020804</v>
      </c>
      <c r="G30" s="23">
        <f>IF($D$30&lt;0,0,IF($D$30=Timing!$C$25-1,$E$30,MAX(0,MIN($E$30,IF(Inputs!$C$77="annuity",$C$7-$E$30*Inputs!$C$74/4,IF(Inputs!$C$77="sculpted",INDEX($F$8:$AE$8,MATCH($C$30,Timing!$F$59:$AE$59,0))/INDEX(Timing!$F$86:$AE$86,MATCH($C$30,Timing!$F$59:$AE$59,0)),$C$6/Timing!$C$25))))))</f>
        <v>0</v>
      </c>
      <c r="H30" s="23">
        <f>$E$30-$G$30</f>
        <v>20632341.68303732</v>
      </c>
    </row>
    <row r="31">
      <c r="A31" s="23">
        <f>$A$30+1</f>
        <v>19</v>
      </c>
      <c r="B31" s="27">
        <f>EDATE(Timing!$C$6,$A$31)</f>
        <v>46966</v>
      </c>
      <c r="C31" s="25">
        <f>YEAR($B$31)</f>
        <v>2028</v>
      </c>
      <c r="D31" s="23">
        <f>IF(AND($A$31-12*Inputs!$C$76+1&gt;=3,MOD($A$31-12*Inputs!$C$76+1,3)=0),($A$31-12*Inputs!$C$76+1)/3-1,-1)</f>
        <v>-1</v>
      </c>
      <c r="E31" s="23">
        <f>$H$30</f>
        <v>20632341.68303732</v>
      </c>
      <c r="F31" s="23">
        <f>$E$31*Inputs!$C$74/12</f>
        <v>91985.85667020804</v>
      </c>
      <c r="G31" s="23">
        <f>IF($D$31&lt;0,0,IF($D$31=Timing!$C$25-1,$E$31,MAX(0,MIN($E$31,IF(Inputs!$C$77="annuity",$C$7-$E$31*Inputs!$C$74/4,IF(Inputs!$C$77="sculpted",INDEX($F$8:$AE$8,MATCH($C$31,Timing!$F$59:$AE$59,0))/INDEX(Timing!$F$86:$AE$86,MATCH($C$31,Timing!$F$59:$AE$59,0)),$C$6/Timing!$C$25))))))</f>
        <v>0</v>
      </c>
      <c r="H31" s="23">
        <f>$E$31-$G$31</f>
        <v>20632341.68303732</v>
      </c>
    </row>
    <row r="32">
      <c r="A32" s="23">
        <f>$A$31+1</f>
        <v>20</v>
      </c>
      <c r="B32" s="27">
        <f>EDATE(Timing!$C$6,$A$32)</f>
        <v>46997</v>
      </c>
      <c r="C32" s="25">
        <f>YEAR($B$32)</f>
        <v>2028</v>
      </c>
      <c r="D32" s="23">
        <f>IF(AND($A$32-12*Inputs!$C$76+1&gt;=3,MOD($A$32-12*Inputs!$C$76+1,3)=0),($A$32-12*Inputs!$C$76+1)/3-1,-1)</f>
        <v>-1</v>
      </c>
      <c r="E32" s="23">
        <f>$H$31</f>
        <v>20632341.68303732</v>
      </c>
      <c r="F32" s="23">
        <f>$E$32*Inputs!$C$74/12</f>
        <v>91985.85667020804</v>
      </c>
      <c r="G32" s="23">
        <f>IF($D$32&lt;0,0,IF($D$32=Timing!$C$25-1,$E$32,MAX(0,MIN($E$32,IF(Inputs!$C$77="annuity",$C$7-$E$32*Inputs!$C$74/4,IF(Inputs!$C$77="sculpted",INDEX($F$8:$AE$8,MATCH($C$32,Timing!$F$59:$AE$59,0))/INDEX(Timing!$F$86:$AE$86,MATCH($C$32,Timing!$F$59:$AE$59,0)),$C$6/Timing!$C$25))))))</f>
        <v>0</v>
      </c>
      <c r="H32" s="23">
        <f>$E$32-$G$32</f>
        <v>20632341.68303732</v>
      </c>
    </row>
    <row r="33">
      <c r="A33" s="23">
        <f>$A$32+1</f>
        <v>21</v>
      </c>
      <c r="B33" s="27">
        <f>EDATE(Timing!$C$6,$A$33)</f>
        <v>47027</v>
      </c>
      <c r="C33" s="25">
        <f>YEAR($B$33)</f>
        <v>2028</v>
      </c>
      <c r="D33" s="23">
        <f>IF(AND($A$33-12*Inputs!$C$76+1&gt;=3,MOD($A$33-12*Inputs!$C$76+1,3)=0),($A$33-12*Inputs!$C$76+1)/3-1,-1)</f>
        <v>-1</v>
      </c>
      <c r="E33" s="23">
        <f>$H$32</f>
        <v>20632341.68303732</v>
      </c>
      <c r="F33" s="23">
        <f>$E$33*Inputs!$C$74/12</f>
        <v>91985.85667020804</v>
      </c>
      <c r="G33" s="23">
        <f>IF($D$33&lt;0,0,IF($D$33=Timing!$C$25-1,$E$33,MAX(0,MIN($E$33,IF(Inputs!$C$77="annuity",$C$7-$E$33*Inputs!$C$74/4,IF(Inputs!$C$77="sculpted",INDEX($F$8:$AE$8,MATCH($C$33,Timing!$F$59:$AE$59,0))/INDEX(Timing!$F$86:$AE$86,MATCH($C$33,Timing!$F$59:$AE$59,0)),$C$6/Timing!$C$25))))))</f>
        <v>0</v>
      </c>
      <c r="H33" s="23">
        <f>$E$33-$G$33</f>
        <v>20632341.68303732</v>
      </c>
    </row>
    <row r="34">
      <c r="A34" s="23">
        <f>$A$33+1</f>
        <v>22</v>
      </c>
      <c r="B34" s="27">
        <f>EDATE(Timing!$C$6,$A$34)</f>
        <v>47058</v>
      </c>
      <c r="C34" s="25">
        <f>YEAR($B$34)</f>
        <v>2028</v>
      </c>
      <c r="D34" s="23">
        <f>IF(AND($A$34-12*Inputs!$C$76+1&gt;=3,MOD($A$34-12*Inputs!$C$76+1,3)=0),($A$34-12*Inputs!$C$76+1)/3-1,-1)</f>
        <v>-1</v>
      </c>
      <c r="E34" s="23">
        <f>$H$33</f>
        <v>20632341.68303732</v>
      </c>
      <c r="F34" s="23">
        <f>$E$34*Inputs!$C$74/12</f>
        <v>91985.85667020804</v>
      </c>
      <c r="G34" s="23">
        <f>IF($D$34&lt;0,0,IF($D$34=Timing!$C$25-1,$E$34,MAX(0,MIN($E$34,IF(Inputs!$C$77="annuity",$C$7-$E$34*Inputs!$C$74/4,IF(Inputs!$C$77="sculpted",INDEX($F$8:$AE$8,MATCH($C$34,Timing!$F$59:$AE$59,0))/INDEX(Timing!$F$86:$AE$86,MATCH($C$34,Timing!$F$59:$AE$59,0)),$C$6/Timing!$C$25))))))</f>
        <v>0</v>
      </c>
      <c r="H34" s="23">
        <f>$E$34-$G$34</f>
        <v>20632341.68303732</v>
      </c>
    </row>
    <row r="35">
      <c r="A35" s="23">
        <f>$A$34+1</f>
        <v>23</v>
      </c>
      <c r="B35" s="27">
        <f>EDATE(Timing!$C$6,$A$35)</f>
        <v>47088</v>
      </c>
      <c r="C35" s="25">
        <f>YEAR($B$35)</f>
        <v>2028</v>
      </c>
      <c r="D35" s="23">
        <f>IF(AND($A$35-12*Inputs!$C$76+1&gt;=3,MOD($A$35-12*Inputs!$C$76+1,3)=0),($A$35-12*Inputs!$C$76+1)/3-1,-1)</f>
        <v>-1</v>
      </c>
      <c r="E35" s="23">
        <f>$H$34</f>
        <v>20632341.68303732</v>
      </c>
      <c r="F35" s="23">
        <f>$E$35*Inputs!$C$74/12</f>
        <v>91985.85667020804</v>
      </c>
      <c r="G35" s="23">
        <f>IF($D$35&lt;0,0,IF($D$35=Timing!$C$25-1,$E$35,MAX(0,MIN($E$35,IF(Inputs!$C$77="annuity",$C$7-$E$35*Inputs!$C$74/4,IF(Inputs!$C$77="sculpted",INDEX($F$8:$AE$8,MATCH($C$35,Timing!$F$59:$AE$59,0))/INDEX(Timing!$F$86:$AE$86,MATCH($C$35,Timing!$F$59:$AE$59,0)),$C$6/Timing!$C$25))))))</f>
        <v>0</v>
      </c>
      <c r="H35" s="23">
        <f>$E$35-$G$35</f>
        <v>20632341.68303732</v>
      </c>
    </row>
    <row r="36">
      <c r="A36" s="23">
        <f>$A$35+1</f>
        <v>24</v>
      </c>
      <c r="B36" s="27">
        <f>EDATE(Timing!$C$6,$A$36)</f>
        <v>47119</v>
      </c>
      <c r="C36" s="25">
        <f>YEAR($B$36)</f>
        <v>2029</v>
      </c>
      <c r="D36" s="23">
        <f>IF(AND($A$36-12*Inputs!$C$76+1&gt;=3,MOD($A$36-12*Inputs!$C$76+1,3)=0),($A$36-12*Inputs!$C$76+1)/3-1,-1)</f>
        <v>-1</v>
      </c>
      <c r="E36" s="23">
        <f>$H$35</f>
        <v>20632341.68303732</v>
      </c>
      <c r="F36" s="23">
        <f>$E$36*Inputs!$C$74/12</f>
        <v>91985.85667020804</v>
      </c>
      <c r="G36" s="23">
        <f>IF($D$36&lt;0,0,IF($D$36=Timing!$C$25-1,$E$36,MAX(0,MIN($E$36,IF(Inputs!$C$77="annuity",$C$7-$E$36*Inputs!$C$74/4,IF(Inputs!$C$77="sculpted",INDEX($F$8:$AE$8,MATCH($C$36,Timing!$F$59:$AE$59,0))/INDEX(Timing!$F$86:$AE$86,MATCH($C$36,Timing!$F$59:$AE$59,0)),$C$6/Timing!$C$25))))))</f>
        <v>0</v>
      </c>
      <c r="H36" s="23">
        <f>$E$36-$G$36</f>
        <v>20632341.68303732</v>
      </c>
    </row>
    <row r="37">
      <c r="A37" s="23">
        <f>$A$36+1</f>
        <v>25</v>
      </c>
      <c r="B37" s="27">
        <f>EDATE(Timing!$C$6,$A$37)</f>
        <v>47150</v>
      </c>
      <c r="C37" s="25">
        <f>YEAR($B$37)</f>
        <v>2029</v>
      </c>
      <c r="D37" s="23">
        <f>IF(AND($A$37-12*Inputs!$C$76+1&gt;=3,MOD($A$37-12*Inputs!$C$76+1,3)=0),($A$37-12*Inputs!$C$76+1)/3-1,-1)</f>
        <v>-1</v>
      </c>
      <c r="E37" s="23">
        <f>$H$36</f>
        <v>20632341.68303732</v>
      </c>
      <c r="F37" s="23">
        <f>$E$37*Inputs!$C$74/12</f>
        <v>91985.85667020804</v>
      </c>
      <c r="G37" s="23">
        <f>IF($D$37&lt;0,0,IF($D$37=Timing!$C$25-1,$E$37,MAX(0,MIN($E$37,IF(Inputs!$C$77="annuity",$C$7-$E$37*Inputs!$C$74/4,IF(Inputs!$C$77="sculpted",INDEX($F$8:$AE$8,MATCH($C$37,Timing!$F$59:$AE$59,0))/INDEX(Timing!$F$86:$AE$86,MATCH($C$37,Timing!$F$59:$AE$59,0)),$C$6/Timing!$C$25))))))</f>
        <v>0</v>
      </c>
      <c r="H37" s="23">
        <f>$E$37-$G$37</f>
        <v>20632341.68303732</v>
      </c>
    </row>
    <row r="38">
      <c r="A38" s="23">
        <f>$A$37+1</f>
        <v>26</v>
      </c>
      <c r="B38" s="27">
        <f>EDATE(Timing!$C$6,$A$38)</f>
        <v>47178</v>
      </c>
      <c r="C38" s="25">
        <f>YEAR($B$38)</f>
        <v>2029</v>
      </c>
      <c r="D38" s="23">
        <f>IF(AND($A$38-12*Inputs!$C$76+1&gt;=3,MOD($A$38-12*Inputs!$C$76+1,3)=0),($A$38-12*Inputs!$C$76+1)/3-1,-1)</f>
        <v>-1</v>
      </c>
      <c r="E38" s="23">
        <f>$H$37</f>
        <v>20632341.68303732</v>
      </c>
      <c r="F38" s="23">
        <f>$E$38*Inputs!$C$74/12</f>
        <v>91985.85667020804</v>
      </c>
      <c r="G38" s="23">
        <f>IF($D$38&lt;0,0,IF($D$38=Timing!$C$25-1,$E$38,MAX(0,MIN($E$38,IF(Inputs!$C$77="annuity",$C$7-$E$38*Inputs!$C$74/4,IF(Inputs!$C$77="sculpted",INDEX($F$8:$AE$8,MATCH($C$38,Timing!$F$59:$AE$59,0))/INDEX(Timing!$F$86:$AE$86,MATCH($C$38,Timing!$F$59:$AE$59,0)),$C$6/Timing!$C$25))))))</f>
        <v>0</v>
      </c>
      <c r="H38" s="23">
        <f>$E$38-$G$38</f>
        <v>20632341.68303732</v>
      </c>
    </row>
    <row r="39">
      <c r="A39" s="23">
        <f>$A$38+1</f>
        <v>27</v>
      </c>
      <c r="B39" s="27">
        <f>EDATE(Timing!$C$6,$A$39)</f>
        <v>47209</v>
      </c>
      <c r="C39" s="25">
        <f>YEAR($B$39)</f>
        <v>2029</v>
      </c>
      <c r="D39" s="23">
        <f>IF(AND($A$39-12*Inputs!$C$76+1&gt;=3,MOD($A$39-12*Inputs!$C$76+1,3)=0),($A$39-12*Inputs!$C$76+1)/3-1,-1)</f>
        <v>-1</v>
      </c>
      <c r="E39" s="23">
        <f>$H$38</f>
        <v>20632341.68303732</v>
      </c>
      <c r="F39" s="23">
        <f>$E$39*Inputs!$C$74/12</f>
        <v>91985.85667020804</v>
      </c>
      <c r="G39" s="23">
        <f>IF($D$39&lt;0,0,IF($D$39=Timing!$C$25-1,$E$39,MAX(0,MIN($E$39,IF(Inputs!$C$77="annuity",$C$7-$E$39*Inputs!$C$74/4,IF(Inputs!$C$77="sculpted",INDEX($F$8:$AE$8,MATCH($C$39,Timing!$F$59:$AE$59,0))/INDEX(Timing!$F$86:$AE$86,MATCH($C$39,Timing!$F$59:$AE$59,0)),$C$6/Timing!$C$25))))))</f>
        <v>0</v>
      </c>
      <c r="H39" s="23">
        <f>$E$39-$G$39</f>
        <v>20632341.68303732</v>
      </c>
    </row>
    <row r="40">
      <c r="A40" s="23">
        <f>$A$39+1</f>
        <v>28</v>
      </c>
      <c r="B40" s="27">
        <f>EDATE(Timing!$C$6,$A$40)</f>
        <v>47239</v>
      </c>
      <c r="C40" s="25">
        <f>YEAR($B$40)</f>
        <v>2029</v>
      </c>
      <c r="D40" s="23">
        <f>IF(AND($A$40-12*Inputs!$C$76+1&gt;=3,MOD($A$40-12*Inputs!$C$76+1,3)=0),($A$40-12*Inputs!$C$76+1)/3-1,-1)</f>
        <v>-1</v>
      </c>
      <c r="E40" s="23">
        <f>$H$39</f>
        <v>20632341.68303732</v>
      </c>
      <c r="F40" s="23">
        <f>$E$40*Inputs!$C$74/12</f>
        <v>91985.85667020804</v>
      </c>
      <c r="G40" s="23">
        <f>IF($D$40&lt;0,0,IF($D$40=Timing!$C$25-1,$E$40,MAX(0,MIN($E$40,IF(Inputs!$C$77="annuity",$C$7-$E$40*Inputs!$C$74/4,IF(Inputs!$C$77="sculpted",INDEX($F$8:$AE$8,MATCH($C$40,Timing!$F$59:$AE$59,0))/INDEX(Timing!$F$86:$AE$86,MATCH($C$40,Timing!$F$59:$AE$59,0)),$C$6/Timing!$C$25))))))</f>
        <v>0</v>
      </c>
      <c r="H40" s="23">
        <f>$E$40-$G$40</f>
        <v>20632341.68303732</v>
      </c>
    </row>
    <row r="41">
      <c r="A41" s="23">
        <f>$A$40+1</f>
        <v>29</v>
      </c>
      <c r="B41" s="27">
        <f>EDATE(Timing!$C$6,$A$41)</f>
        <v>47270</v>
      </c>
      <c r="C41" s="25">
        <f>YEAR($B$41)</f>
        <v>2029</v>
      </c>
      <c r="D41" s="23">
        <f>IF(AND($A$41-12*Inputs!$C$76+1&gt;=3,MOD($A$41-12*Inputs!$C$76+1,3)=0),($A$41-12*Inputs!$C$76+1)/3-1,-1)</f>
        <v>-1</v>
      </c>
      <c r="E41" s="23">
        <f>$H$40</f>
        <v>20632341.68303732</v>
      </c>
      <c r="F41" s="23">
        <f>$E$41*Inputs!$C$74/12</f>
        <v>91985.85667020804</v>
      </c>
      <c r="G41" s="23">
        <f>IF($D$41&lt;0,0,IF($D$41=Timing!$C$25-1,$E$41,MAX(0,MIN($E$41,IF(Inputs!$C$77="annuity",$C$7-$E$41*Inputs!$C$74/4,IF(Inputs!$C$77="sculpted",INDEX($F$8:$AE$8,MATCH($C$41,Timing!$F$59:$AE$59,0))/INDEX(Timing!$F$86:$AE$86,MATCH($C$41,Timing!$F$59:$AE$59,0)),$C$6/Timing!$C$25))))))</f>
        <v>0</v>
      </c>
      <c r="H41" s="23">
        <f>$E$41-$G$41</f>
        <v>20632341.68303732</v>
      </c>
    </row>
    <row r="42">
      <c r="A42" s="23">
        <f>$A$41+1</f>
        <v>30</v>
      </c>
      <c r="B42" s="27">
        <f>EDATE(Timing!$C$6,$A$42)</f>
        <v>47300</v>
      </c>
      <c r="C42" s="25">
        <f>YEAR($B$42)</f>
        <v>2029</v>
      </c>
      <c r="D42" s="23">
        <f>IF(AND($A$42-12*Inputs!$C$76+1&gt;=3,MOD($A$42-12*Inputs!$C$76+1,3)=0),($A$42-12*Inputs!$C$76+1)/3-1,-1)</f>
        <v>-1</v>
      </c>
      <c r="E42" s="23">
        <f>$H$41</f>
        <v>20632341.68303732</v>
      </c>
      <c r="F42" s="23">
        <f>$E$42*Inputs!$C$74/12</f>
        <v>91985.85667020804</v>
      </c>
      <c r="G42" s="23">
        <f>IF($D$42&lt;0,0,IF($D$42=Timing!$C$25-1,$E$42,MAX(0,MIN($E$42,IF(Inputs!$C$77="annuity",$C$7-$E$42*Inputs!$C$74/4,IF(Inputs!$C$77="sculpted",INDEX($F$8:$AE$8,MATCH($C$42,Timing!$F$59:$AE$59,0))/INDEX(Timing!$F$86:$AE$86,MATCH($C$42,Timing!$F$59:$AE$59,0)),$C$6/Timing!$C$25))))))</f>
        <v>0</v>
      </c>
      <c r="H42" s="23">
        <f>$E$42-$G$42</f>
        <v>20632341.68303732</v>
      </c>
    </row>
    <row r="43">
      <c r="A43" s="23">
        <f>$A$42+1</f>
        <v>31</v>
      </c>
      <c r="B43" s="27">
        <f>EDATE(Timing!$C$6,$A$43)</f>
        <v>47331</v>
      </c>
      <c r="C43" s="25">
        <f>YEAR($B$43)</f>
        <v>2029</v>
      </c>
      <c r="D43" s="23">
        <f>IF(AND($A$43-12*Inputs!$C$76+1&gt;=3,MOD($A$43-12*Inputs!$C$76+1,3)=0),($A$43-12*Inputs!$C$76+1)/3-1,-1)</f>
        <v>-1</v>
      </c>
      <c r="E43" s="23">
        <f>$H$42</f>
        <v>20632341.68303732</v>
      </c>
      <c r="F43" s="23">
        <f>$E$43*Inputs!$C$74/12</f>
        <v>91985.85667020804</v>
      </c>
      <c r="G43" s="23">
        <f>IF($D$43&lt;0,0,IF($D$43=Timing!$C$25-1,$E$43,MAX(0,MIN($E$43,IF(Inputs!$C$77="annuity",$C$7-$E$43*Inputs!$C$74/4,IF(Inputs!$C$77="sculpted",INDEX($F$8:$AE$8,MATCH($C$43,Timing!$F$59:$AE$59,0))/INDEX(Timing!$F$86:$AE$86,MATCH($C$43,Timing!$F$59:$AE$59,0)),$C$6/Timing!$C$25))))))</f>
        <v>0</v>
      </c>
      <c r="H43" s="23">
        <f>$E$43-$G$43</f>
        <v>20632341.68303732</v>
      </c>
    </row>
    <row r="44">
      <c r="A44" s="23">
        <f>$A$43+1</f>
        <v>32</v>
      </c>
      <c r="B44" s="27">
        <f>EDATE(Timing!$C$6,$A$44)</f>
        <v>47362</v>
      </c>
      <c r="C44" s="25">
        <f>YEAR($B$44)</f>
        <v>2029</v>
      </c>
      <c r="D44" s="23">
        <f>IF(AND($A$44-12*Inputs!$C$76+1&gt;=3,MOD($A$44-12*Inputs!$C$76+1,3)=0),($A$44-12*Inputs!$C$76+1)/3-1,-1)</f>
        <v>-1</v>
      </c>
      <c r="E44" s="23">
        <f>$H$43</f>
        <v>20632341.68303732</v>
      </c>
      <c r="F44" s="23">
        <f>$E$44*Inputs!$C$74/12</f>
        <v>91985.85667020804</v>
      </c>
      <c r="G44" s="23">
        <f>IF($D$44&lt;0,0,IF($D$44=Timing!$C$25-1,$E$44,MAX(0,MIN($E$44,IF(Inputs!$C$77="annuity",$C$7-$E$44*Inputs!$C$74/4,IF(Inputs!$C$77="sculpted",INDEX($F$8:$AE$8,MATCH($C$44,Timing!$F$59:$AE$59,0))/INDEX(Timing!$F$86:$AE$86,MATCH($C$44,Timing!$F$59:$AE$59,0)),$C$6/Timing!$C$25))))))</f>
        <v>0</v>
      </c>
      <c r="H44" s="23">
        <f>$E$44-$G$44</f>
        <v>20632341.68303732</v>
      </c>
    </row>
    <row r="45">
      <c r="A45" s="23">
        <f>$A$44+1</f>
        <v>33</v>
      </c>
      <c r="B45" s="27">
        <f>EDATE(Timing!$C$6,$A$45)</f>
        <v>47392</v>
      </c>
      <c r="C45" s="25">
        <f>YEAR($B$45)</f>
        <v>2029</v>
      </c>
      <c r="D45" s="23">
        <f>IF(AND($A$45-12*Inputs!$C$76+1&gt;=3,MOD($A$45-12*Inputs!$C$76+1,3)=0),($A$45-12*Inputs!$C$76+1)/3-1,-1)</f>
        <v>-1</v>
      </c>
      <c r="E45" s="23">
        <f>$H$44</f>
        <v>20632341.68303732</v>
      </c>
      <c r="F45" s="23">
        <f>$E$45*Inputs!$C$74/12</f>
        <v>91985.85667020804</v>
      </c>
      <c r="G45" s="23">
        <f>IF($D$45&lt;0,0,IF($D$45=Timing!$C$25-1,$E$45,MAX(0,MIN($E$45,IF(Inputs!$C$77="annuity",$C$7-$E$45*Inputs!$C$74/4,IF(Inputs!$C$77="sculpted",INDEX($F$8:$AE$8,MATCH($C$45,Timing!$F$59:$AE$59,0))/INDEX(Timing!$F$86:$AE$86,MATCH($C$45,Timing!$F$59:$AE$59,0)),$C$6/Timing!$C$25))))))</f>
        <v>0</v>
      </c>
      <c r="H45" s="23">
        <f>$E$45-$G$45</f>
        <v>20632341.68303732</v>
      </c>
    </row>
    <row r="46">
      <c r="A46" s="23">
        <f>$A$45+1</f>
        <v>34</v>
      </c>
      <c r="B46" s="27">
        <f>EDATE(Timing!$C$6,$A$46)</f>
        <v>47423</v>
      </c>
      <c r="C46" s="25">
        <f>YEAR($B$46)</f>
        <v>2029</v>
      </c>
      <c r="D46" s="23">
        <f>IF(AND($A$46-12*Inputs!$C$76+1&gt;=3,MOD($A$46-12*Inputs!$C$76+1,3)=0),($A$46-12*Inputs!$C$76+1)/3-1,-1)</f>
        <v>-1</v>
      </c>
      <c r="E46" s="23">
        <f>$H$45</f>
        <v>20632341.68303732</v>
      </c>
      <c r="F46" s="23">
        <f>$E$46*Inputs!$C$74/12</f>
        <v>91985.85667020804</v>
      </c>
      <c r="G46" s="23">
        <f>IF($D$46&lt;0,0,IF($D$46=Timing!$C$25-1,$E$46,MAX(0,MIN($E$46,IF(Inputs!$C$77="annuity",$C$7-$E$46*Inputs!$C$74/4,IF(Inputs!$C$77="sculpted",INDEX($F$8:$AE$8,MATCH($C$46,Timing!$F$59:$AE$59,0))/INDEX(Timing!$F$86:$AE$86,MATCH($C$46,Timing!$F$59:$AE$59,0)),$C$6/Timing!$C$25))))))</f>
        <v>0</v>
      </c>
      <c r="H46" s="23">
        <f>$E$46-$G$46</f>
        <v>20632341.68303732</v>
      </c>
    </row>
    <row r="47">
      <c r="A47" s="23">
        <f>$A$46+1</f>
        <v>35</v>
      </c>
      <c r="B47" s="27">
        <f>EDATE(Timing!$C$6,$A$47)</f>
        <v>47453</v>
      </c>
      <c r="C47" s="25">
        <f>YEAR($B$47)</f>
        <v>2029</v>
      </c>
      <c r="D47" s="23">
        <f>IF(AND($A$47-12*Inputs!$C$76+1&gt;=3,MOD($A$47-12*Inputs!$C$76+1,3)=0),($A$47-12*Inputs!$C$76+1)/3-1,-1)</f>
        <v>-1</v>
      </c>
      <c r="E47" s="23">
        <f>$H$46</f>
        <v>20632341.68303732</v>
      </c>
      <c r="F47" s="23">
        <f>$E$47*Inputs!$C$74/12</f>
        <v>91985.85667020804</v>
      </c>
      <c r="G47" s="23">
        <f>IF($D$47&lt;0,0,IF($D$47=Timing!$C$25-1,$E$47,MAX(0,MIN($E$47,IF(Inputs!$C$77="annuity",$C$7-$E$47*Inputs!$C$74/4,IF(Inputs!$C$77="sculpted",INDEX($F$8:$AE$8,MATCH($C$47,Timing!$F$59:$AE$59,0))/INDEX(Timing!$F$86:$AE$86,MATCH($C$47,Timing!$F$59:$AE$59,0)),$C$6/Timing!$C$25))))))</f>
        <v>0</v>
      </c>
      <c r="H47" s="23">
        <f>$E$47-$G$47</f>
        <v>20632341.68303732</v>
      </c>
    </row>
    <row r="48">
      <c r="A48" s="23">
        <f>$A$47+1</f>
        <v>36</v>
      </c>
      <c r="B48" s="27">
        <f>EDATE(Timing!$C$6,$A$48)</f>
        <v>47484</v>
      </c>
      <c r="C48" s="25">
        <f>YEAR($B$48)</f>
        <v>2030</v>
      </c>
      <c r="D48" s="23">
        <f>IF(AND($A$48-12*Inputs!$C$76+1&gt;=3,MOD($A$48-12*Inputs!$C$76+1,3)=0),($A$48-12*Inputs!$C$76+1)/3-1,-1)</f>
        <v>-1</v>
      </c>
      <c r="E48" s="23">
        <f>$H$47</f>
        <v>20632341.68303732</v>
      </c>
      <c r="F48" s="23">
        <f>$E$48*Inputs!$C$74/12</f>
        <v>91985.85667020804</v>
      </c>
      <c r="G48" s="23">
        <f>IF($D$48&lt;0,0,IF($D$48=Timing!$C$25-1,$E$48,MAX(0,MIN($E$48,IF(Inputs!$C$77="annuity",$C$7-$E$48*Inputs!$C$74/4,IF(Inputs!$C$77="sculpted",INDEX($F$8:$AE$8,MATCH($C$48,Timing!$F$59:$AE$59,0))/INDEX(Timing!$F$86:$AE$86,MATCH($C$48,Timing!$F$59:$AE$59,0)),$C$6/Timing!$C$25))))))</f>
        <v>0</v>
      </c>
      <c r="H48" s="23">
        <f>$E$48-$G$48</f>
        <v>20632341.68303732</v>
      </c>
    </row>
    <row r="49">
      <c r="A49" s="23">
        <f>$A$48+1</f>
        <v>37</v>
      </c>
      <c r="B49" s="27">
        <f>EDATE(Timing!$C$6,$A$49)</f>
        <v>47515</v>
      </c>
      <c r="C49" s="25">
        <f>YEAR($B$49)</f>
        <v>2030</v>
      </c>
      <c r="D49" s="23">
        <f>IF(AND($A$49-12*Inputs!$C$76+1&gt;=3,MOD($A$49-12*Inputs!$C$76+1,3)=0),($A$49-12*Inputs!$C$76+1)/3-1,-1)</f>
        <v>-1</v>
      </c>
      <c r="E49" s="23">
        <f>$H$48</f>
        <v>20632341.68303732</v>
      </c>
      <c r="F49" s="23">
        <f>$E$49*Inputs!$C$74/12</f>
        <v>91985.85667020804</v>
      </c>
      <c r="G49" s="23">
        <f>IF($D$49&lt;0,0,IF($D$49=Timing!$C$25-1,$E$49,MAX(0,MIN($E$49,IF(Inputs!$C$77="annuity",$C$7-$E$49*Inputs!$C$74/4,IF(Inputs!$C$77="sculpted",INDEX($F$8:$AE$8,MATCH($C$49,Timing!$F$59:$AE$59,0))/INDEX(Timing!$F$86:$AE$86,MATCH($C$49,Timing!$F$59:$AE$59,0)),$C$6/Timing!$C$25))))))</f>
        <v>0</v>
      </c>
      <c r="H49" s="23">
        <f>$E$49-$G$49</f>
        <v>20632341.68303732</v>
      </c>
    </row>
    <row r="50">
      <c r="A50" s="23">
        <f>$A$49+1</f>
        <v>38</v>
      </c>
      <c r="B50" s="27">
        <f>EDATE(Timing!$C$6,$A$50)</f>
        <v>47543</v>
      </c>
      <c r="C50" s="25">
        <f>YEAR($B$50)</f>
        <v>2030</v>
      </c>
      <c r="D50" s="23">
        <f>IF(AND($A$50-12*Inputs!$C$76+1&gt;=3,MOD($A$50-12*Inputs!$C$76+1,3)=0),($A$50-12*Inputs!$C$76+1)/3-1,-1)</f>
        <v>0</v>
      </c>
      <c r="E50" s="23">
        <f>$H$49</f>
        <v>20632341.68303732</v>
      </c>
      <c r="F50" s="23">
        <f>$E$50*Inputs!$C$74/12</f>
        <v>91985.85667020804</v>
      </c>
      <c r="G50" s="23">
        <f>IF($D$50&lt;0,0,IF($D$50=Timing!$C$25-1,$E$50,MAX(0,MIN($E$50,IF(Inputs!$C$77="annuity",$C$7-$E$50*Inputs!$C$74/4,IF(Inputs!$C$77="sculpted",INDEX($F$8:$AE$8,MATCH($C$50,Timing!$F$59:$AE$59,0))/INDEX(Timing!$F$86:$AE$86,MATCH($C$50,Timing!$F$59:$AE$59,0)),$C$6/Timing!$C$25))))))</f>
        <v>303416.7894564312</v>
      </c>
      <c r="H50" s="23">
        <f>$E$50-$G$50</f>
        <v>20328924.893580887</v>
      </c>
    </row>
    <row r="51">
      <c r="A51" s="23">
        <f>$A$50+1</f>
        <v>39</v>
      </c>
      <c r="B51" s="27">
        <f>EDATE(Timing!$C$6,$A$51)</f>
        <v>47574</v>
      </c>
      <c r="C51" s="25">
        <f>YEAR($B$51)</f>
        <v>2030</v>
      </c>
      <c r="D51" s="23">
        <f>IF(AND($A$51-12*Inputs!$C$76+1&gt;=3,MOD($A$51-12*Inputs!$C$76+1,3)=0),($A$51-12*Inputs!$C$76+1)/3-1,-1)</f>
        <v>-1</v>
      </c>
      <c r="E51" s="23">
        <f>$H$50</f>
        <v>20328924.893580887</v>
      </c>
      <c r="F51" s="23">
        <f>$E$51*Inputs!$C$74/12</f>
        <v>90633.12348388146</v>
      </c>
      <c r="G51" s="23">
        <f>IF($D$51&lt;0,0,IF($D$51=Timing!$C$25-1,$E$51,MAX(0,MIN($E$51,IF(Inputs!$C$77="annuity",$C$7-$E$51*Inputs!$C$74/4,IF(Inputs!$C$77="sculpted",INDEX($F$8:$AE$8,MATCH($C$51,Timing!$F$59:$AE$59,0))/INDEX(Timing!$F$86:$AE$86,MATCH($C$51,Timing!$F$59:$AE$59,0)),$C$6/Timing!$C$25))))))</f>
        <v>0</v>
      </c>
      <c r="H51" s="23">
        <f>$E$51-$G$51</f>
        <v>20328924.893580887</v>
      </c>
    </row>
    <row r="52">
      <c r="A52" s="23">
        <f>$A$51+1</f>
        <v>40</v>
      </c>
      <c r="B52" s="27">
        <f>EDATE(Timing!$C$6,$A$52)</f>
        <v>47604</v>
      </c>
      <c r="C52" s="25">
        <f>YEAR($B$52)</f>
        <v>2030</v>
      </c>
      <c r="D52" s="23">
        <f>IF(AND($A$52-12*Inputs!$C$76+1&gt;=3,MOD($A$52-12*Inputs!$C$76+1,3)=0),($A$52-12*Inputs!$C$76+1)/3-1,-1)</f>
        <v>-1</v>
      </c>
      <c r="E52" s="23">
        <f>$H$51</f>
        <v>20328924.893580887</v>
      </c>
      <c r="F52" s="23">
        <f>$E$52*Inputs!$C$74/12</f>
        <v>90633.12348388146</v>
      </c>
      <c r="G52" s="23">
        <f>IF($D$52&lt;0,0,IF($D$52=Timing!$C$25-1,$E$52,MAX(0,MIN($E$52,IF(Inputs!$C$77="annuity",$C$7-$E$52*Inputs!$C$74/4,IF(Inputs!$C$77="sculpted",INDEX($F$8:$AE$8,MATCH($C$52,Timing!$F$59:$AE$59,0))/INDEX(Timing!$F$86:$AE$86,MATCH($C$52,Timing!$F$59:$AE$59,0)),$C$6/Timing!$C$25))))))</f>
        <v>0</v>
      </c>
      <c r="H52" s="23">
        <f>$E$52-$G$52</f>
        <v>20328924.893580887</v>
      </c>
    </row>
    <row r="53">
      <c r="A53" s="23">
        <f>$A$52+1</f>
        <v>41</v>
      </c>
      <c r="B53" s="27">
        <f>EDATE(Timing!$C$6,$A$53)</f>
        <v>47635</v>
      </c>
      <c r="C53" s="25">
        <f>YEAR($B$53)</f>
        <v>2030</v>
      </c>
      <c r="D53" s="23">
        <f>IF(AND($A$53-12*Inputs!$C$76+1&gt;=3,MOD($A$53-12*Inputs!$C$76+1,3)=0),($A$53-12*Inputs!$C$76+1)/3-1,-1)</f>
        <v>1</v>
      </c>
      <c r="E53" s="23">
        <f>$H$52</f>
        <v>20328924.893580887</v>
      </c>
      <c r="F53" s="23">
        <f>$E$53*Inputs!$C$74/12</f>
        <v>90633.12348388146</v>
      </c>
      <c r="G53" s="23">
        <f>IF($D$53&lt;0,0,IF($D$53=Timing!$C$25-1,$E$53,MAX(0,MIN($E$53,IF(Inputs!$C$77="annuity",$C$7-$E$53*Inputs!$C$74/4,IF(Inputs!$C$77="sculpted",INDEX($F$8:$AE$8,MATCH($C$53,Timing!$F$59:$AE$59,0))/INDEX(Timing!$F$86:$AE$86,MATCH($C$53,Timing!$F$59:$AE$59,0)),$C$6/Timing!$C$25))))))</f>
        <v>303416.7894564312</v>
      </c>
      <c r="H53" s="23">
        <f>$E$53-$G$53</f>
        <v>20025508.104124457</v>
      </c>
    </row>
    <row r="54">
      <c r="A54" s="23">
        <f>$A$53+1</f>
        <v>42</v>
      </c>
      <c r="B54" s="27">
        <f>EDATE(Timing!$C$6,$A$54)</f>
        <v>47665</v>
      </c>
      <c r="C54" s="25">
        <f>YEAR($B$54)</f>
        <v>2030</v>
      </c>
      <c r="D54" s="23">
        <f>IF(AND($A$54-12*Inputs!$C$76+1&gt;=3,MOD($A$54-12*Inputs!$C$76+1,3)=0),($A$54-12*Inputs!$C$76+1)/3-1,-1)</f>
        <v>-1</v>
      </c>
      <c r="E54" s="23">
        <f>$H$53</f>
        <v>20025508.104124457</v>
      </c>
      <c r="F54" s="23">
        <f>$E$54*Inputs!$C$74/12</f>
        <v>89280.39029755486</v>
      </c>
      <c r="G54" s="23">
        <f>IF($D$54&lt;0,0,IF($D$54=Timing!$C$25-1,$E$54,MAX(0,MIN($E$54,IF(Inputs!$C$77="annuity",$C$7-$E$54*Inputs!$C$74/4,IF(Inputs!$C$77="sculpted",INDEX($F$8:$AE$8,MATCH($C$54,Timing!$F$59:$AE$59,0))/INDEX(Timing!$F$86:$AE$86,MATCH($C$54,Timing!$F$59:$AE$59,0)),$C$6/Timing!$C$25))))))</f>
        <v>0</v>
      </c>
      <c r="H54" s="23">
        <f>$E$54-$G$54</f>
        <v>20025508.104124457</v>
      </c>
    </row>
    <row r="55">
      <c r="A55" s="23">
        <f>$A$54+1</f>
        <v>43</v>
      </c>
      <c r="B55" s="27">
        <f>EDATE(Timing!$C$6,$A$55)</f>
        <v>47696</v>
      </c>
      <c r="C55" s="25">
        <f>YEAR($B$55)</f>
        <v>2030</v>
      </c>
      <c r="D55" s="23">
        <f>IF(AND($A$55-12*Inputs!$C$76+1&gt;=3,MOD($A$55-12*Inputs!$C$76+1,3)=0),($A$55-12*Inputs!$C$76+1)/3-1,-1)</f>
        <v>-1</v>
      </c>
      <c r="E55" s="23">
        <f>$H$54</f>
        <v>20025508.104124457</v>
      </c>
      <c r="F55" s="23">
        <f>$E$55*Inputs!$C$74/12</f>
        <v>89280.39029755486</v>
      </c>
      <c r="G55" s="23">
        <f>IF($D$55&lt;0,0,IF($D$55=Timing!$C$25-1,$E$55,MAX(0,MIN($E$55,IF(Inputs!$C$77="annuity",$C$7-$E$55*Inputs!$C$74/4,IF(Inputs!$C$77="sculpted",INDEX($F$8:$AE$8,MATCH($C$55,Timing!$F$59:$AE$59,0))/INDEX(Timing!$F$86:$AE$86,MATCH($C$55,Timing!$F$59:$AE$59,0)),$C$6/Timing!$C$25))))))</f>
        <v>0</v>
      </c>
      <c r="H55" s="23">
        <f>$E$55-$G$55</f>
        <v>20025508.104124457</v>
      </c>
    </row>
    <row r="56">
      <c r="A56" s="23">
        <f>$A$55+1</f>
        <v>44</v>
      </c>
      <c r="B56" s="27">
        <f>EDATE(Timing!$C$6,$A$56)</f>
        <v>47727</v>
      </c>
      <c r="C56" s="25">
        <f>YEAR($B$56)</f>
        <v>2030</v>
      </c>
      <c r="D56" s="23">
        <f>IF(AND($A$56-12*Inputs!$C$76+1&gt;=3,MOD($A$56-12*Inputs!$C$76+1,3)=0),($A$56-12*Inputs!$C$76+1)/3-1,-1)</f>
        <v>2</v>
      </c>
      <c r="E56" s="23">
        <f>$H$55</f>
        <v>20025508.104124457</v>
      </c>
      <c r="F56" s="23">
        <f>$E$56*Inputs!$C$74/12</f>
        <v>89280.39029755486</v>
      </c>
      <c r="G56" s="23">
        <f>IF($D$56&lt;0,0,IF($D$56=Timing!$C$25-1,$E$56,MAX(0,MIN($E$56,IF(Inputs!$C$77="annuity",$C$7-$E$56*Inputs!$C$74/4,IF(Inputs!$C$77="sculpted",INDEX($F$8:$AE$8,MATCH($C$56,Timing!$F$59:$AE$59,0))/INDEX(Timing!$F$86:$AE$86,MATCH($C$56,Timing!$F$59:$AE$59,0)),$C$6/Timing!$C$25))))))</f>
        <v>303416.7894564312</v>
      </c>
      <c r="H56" s="23">
        <f>$E$56-$G$56</f>
        <v>19722091.314668026</v>
      </c>
    </row>
    <row r="57">
      <c r="A57" s="23">
        <f>$A$56+1</f>
        <v>45</v>
      </c>
      <c r="B57" s="27">
        <f>EDATE(Timing!$C$6,$A$57)</f>
        <v>47757</v>
      </c>
      <c r="C57" s="25">
        <f>YEAR($B$57)</f>
        <v>2030</v>
      </c>
      <c r="D57" s="23">
        <f>IF(AND($A$57-12*Inputs!$C$76+1&gt;=3,MOD($A$57-12*Inputs!$C$76+1,3)=0),($A$57-12*Inputs!$C$76+1)/3-1,-1)</f>
        <v>-1</v>
      </c>
      <c r="E57" s="23">
        <f>$H$56</f>
        <v>19722091.314668026</v>
      </c>
      <c r="F57" s="23">
        <f>$E$57*Inputs!$C$74/12</f>
        <v>87927.65711122828</v>
      </c>
      <c r="G57" s="23">
        <f>IF($D$57&lt;0,0,IF($D$57=Timing!$C$25-1,$E$57,MAX(0,MIN($E$57,IF(Inputs!$C$77="annuity",$C$7-$E$57*Inputs!$C$74/4,IF(Inputs!$C$77="sculpted",INDEX($F$8:$AE$8,MATCH($C$57,Timing!$F$59:$AE$59,0))/INDEX(Timing!$F$86:$AE$86,MATCH($C$57,Timing!$F$59:$AE$59,0)),$C$6/Timing!$C$25))))))</f>
        <v>0</v>
      </c>
      <c r="H57" s="23">
        <f>$E$57-$G$57</f>
        <v>19722091.314668026</v>
      </c>
    </row>
    <row r="58">
      <c r="A58" s="23">
        <f>$A$57+1</f>
        <v>46</v>
      </c>
      <c r="B58" s="27">
        <f>EDATE(Timing!$C$6,$A$58)</f>
        <v>47788</v>
      </c>
      <c r="C58" s="25">
        <f>YEAR($B$58)</f>
        <v>2030</v>
      </c>
      <c r="D58" s="23">
        <f>IF(AND($A$58-12*Inputs!$C$76+1&gt;=3,MOD($A$58-12*Inputs!$C$76+1,3)=0),($A$58-12*Inputs!$C$76+1)/3-1,-1)</f>
        <v>-1</v>
      </c>
      <c r="E58" s="23">
        <f>$H$57</f>
        <v>19722091.314668026</v>
      </c>
      <c r="F58" s="23">
        <f>$E$58*Inputs!$C$74/12</f>
        <v>87927.65711122828</v>
      </c>
      <c r="G58" s="23">
        <f>IF($D$58&lt;0,0,IF($D$58=Timing!$C$25-1,$E$58,MAX(0,MIN($E$58,IF(Inputs!$C$77="annuity",$C$7-$E$58*Inputs!$C$74/4,IF(Inputs!$C$77="sculpted",INDEX($F$8:$AE$8,MATCH($C$58,Timing!$F$59:$AE$59,0))/INDEX(Timing!$F$86:$AE$86,MATCH($C$58,Timing!$F$59:$AE$59,0)),$C$6/Timing!$C$25))))))</f>
        <v>0</v>
      </c>
      <c r="H58" s="23">
        <f>$E$58-$G$58</f>
        <v>19722091.314668026</v>
      </c>
    </row>
    <row r="59">
      <c r="A59" s="23">
        <f>$A$58+1</f>
        <v>47</v>
      </c>
      <c r="B59" s="27">
        <f>EDATE(Timing!$C$6,$A$59)</f>
        <v>47818</v>
      </c>
      <c r="C59" s="25">
        <f>YEAR($B$59)</f>
        <v>2030</v>
      </c>
      <c r="D59" s="23">
        <f>IF(AND($A$59-12*Inputs!$C$76+1&gt;=3,MOD($A$59-12*Inputs!$C$76+1,3)=0),($A$59-12*Inputs!$C$76+1)/3-1,-1)</f>
        <v>3</v>
      </c>
      <c r="E59" s="23">
        <f>$H$58</f>
        <v>19722091.314668026</v>
      </c>
      <c r="F59" s="23">
        <f>$E$59*Inputs!$C$74/12</f>
        <v>87927.65711122828</v>
      </c>
      <c r="G59" s="23">
        <f>IF($D$59&lt;0,0,IF($D$59=Timing!$C$25-1,$E$59,MAX(0,MIN($E$59,IF(Inputs!$C$77="annuity",$C$7-$E$59*Inputs!$C$74/4,IF(Inputs!$C$77="sculpted",INDEX($F$8:$AE$8,MATCH($C$59,Timing!$F$59:$AE$59,0))/INDEX(Timing!$F$86:$AE$86,MATCH($C$59,Timing!$F$59:$AE$59,0)),$C$6/Timing!$C$25))))))</f>
        <v>303416.7894564312</v>
      </c>
      <c r="H59" s="23">
        <f>$E$59-$G$59</f>
        <v>19418674.525211595</v>
      </c>
    </row>
    <row r="60">
      <c r="A60" s="23">
        <f>$A$59+1</f>
        <v>48</v>
      </c>
      <c r="B60" s="27">
        <f>EDATE(Timing!$C$6,$A$60)</f>
        <v>47849</v>
      </c>
      <c r="C60" s="25">
        <f>YEAR($B$60)</f>
        <v>2031</v>
      </c>
      <c r="D60" s="23">
        <f>IF(AND($A$60-12*Inputs!$C$76+1&gt;=3,MOD($A$60-12*Inputs!$C$76+1,3)=0),($A$60-12*Inputs!$C$76+1)/3-1,-1)</f>
        <v>-1</v>
      </c>
      <c r="E60" s="23">
        <f>$H$59</f>
        <v>19418674.525211595</v>
      </c>
      <c r="F60" s="23">
        <f>$E$60*Inputs!$C$74/12</f>
        <v>86574.9239249017</v>
      </c>
      <c r="G60" s="23">
        <f>IF($D$60&lt;0,0,IF($D$60=Timing!$C$25-1,$E$60,MAX(0,MIN($E$60,IF(Inputs!$C$77="annuity",$C$7-$E$60*Inputs!$C$74/4,IF(Inputs!$C$77="sculpted",INDEX($F$8:$AE$8,MATCH($C$60,Timing!$F$59:$AE$59,0))/INDEX(Timing!$F$86:$AE$86,MATCH($C$60,Timing!$F$59:$AE$59,0)),$C$6/Timing!$C$25))))))</f>
        <v>0</v>
      </c>
      <c r="H60" s="23">
        <f>$E$60-$G$60</f>
        <v>19418674.525211595</v>
      </c>
    </row>
    <row r="61">
      <c r="A61" s="23">
        <f>$A$60+1</f>
        <v>49</v>
      </c>
      <c r="B61" s="27">
        <f>EDATE(Timing!$C$6,$A$61)</f>
        <v>47880</v>
      </c>
      <c r="C61" s="25">
        <f>YEAR($B$61)</f>
        <v>2031</v>
      </c>
      <c r="D61" s="23">
        <f>IF(AND($A$61-12*Inputs!$C$76+1&gt;=3,MOD($A$61-12*Inputs!$C$76+1,3)=0),($A$61-12*Inputs!$C$76+1)/3-1,-1)</f>
        <v>-1</v>
      </c>
      <c r="E61" s="23">
        <f>$H$60</f>
        <v>19418674.525211595</v>
      </c>
      <c r="F61" s="23">
        <f>$E$61*Inputs!$C$74/12</f>
        <v>86574.9239249017</v>
      </c>
      <c r="G61" s="23">
        <f>IF($D$61&lt;0,0,IF($D$61=Timing!$C$25-1,$E$61,MAX(0,MIN($E$61,IF(Inputs!$C$77="annuity",$C$7-$E$61*Inputs!$C$74/4,IF(Inputs!$C$77="sculpted",INDEX($F$8:$AE$8,MATCH($C$61,Timing!$F$59:$AE$59,0))/INDEX(Timing!$F$86:$AE$86,MATCH($C$61,Timing!$F$59:$AE$59,0)),$C$6/Timing!$C$25))))))</f>
        <v>0</v>
      </c>
      <c r="H61" s="23">
        <f>$E$61-$G$61</f>
        <v>19418674.525211595</v>
      </c>
    </row>
    <row r="62">
      <c r="A62" s="23">
        <f>$A$61+1</f>
        <v>50</v>
      </c>
      <c r="B62" s="27">
        <f>EDATE(Timing!$C$6,$A$62)</f>
        <v>47908</v>
      </c>
      <c r="C62" s="25">
        <f>YEAR($B$62)</f>
        <v>2031</v>
      </c>
      <c r="D62" s="23">
        <f>IF(AND($A$62-12*Inputs!$C$76+1&gt;=3,MOD($A$62-12*Inputs!$C$76+1,3)=0),($A$62-12*Inputs!$C$76+1)/3-1,-1)</f>
        <v>4</v>
      </c>
      <c r="E62" s="23">
        <f>$H$61</f>
        <v>19418674.525211595</v>
      </c>
      <c r="F62" s="23">
        <f>$E$62*Inputs!$C$74/12</f>
        <v>86574.9239249017</v>
      </c>
      <c r="G62" s="23">
        <f>IF($D$62&lt;0,0,IF($D$62=Timing!$C$25-1,$E$62,MAX(0,MIN($E$62,IF(Inputs!$C$77="annuity",$C$7-$E$62*Inputs!$C$74/4,IF(Inputs!$C$77="sculpted",INDEX($F$8:$AE$8,MATCH($C$62,Timing!$F$59:$AE$59,0))/INDEX(Timing!$F$86:$AE$86,MATCH($C$62,Timing!$F$59:$AE$59,0)),$C$6/Timing!$C$25))))))</f>
        <v>303416.7894564312</v>
      </c>
      <c r="H62" s="23">
        <f>$E$62-$G$62</f>
        <v>19115257.735755164</v>
      </c>
    </row>
    <row r="63">
      <c r="A63" s="23">
        <f>$A$62+1</f>
        <v>51</v>
      </c>
      <c r="B63" s="27">
        <f>EDATE(Timing!$C$6,$A$63)</f>
        <v>47939</v>
      </c>
      <c r="C63" s="25">
        <f>YEAR($B$63)</f>
        <v>2031</v>
      </c>
      <c r="D63" s="23">
        <f>IF(AND($A$63-12*Inputs!$C$76+1&gt;=3,MOD($A$63-12*Inputs!$C$76+1,3)=0),($A$63-12*Inputs!$C$76+1)/3-1,-1)</f>
        <v>-1</v>
      </c>
      <c r="E63" s="23">
        <f>$H$62</f>
        <v>19115257.735755164</v>
      </c>
      <c r="F63" s="23">
        <f>$E$63*Inputs!$C$74/12</f>
        <v>85222.19073857511</v>
      </c>
      <c r="G63" s="23">
        <f>IF($D$63&lt;0,0,IF($D$63=Timing!$C$25-1,$E$63,MAX(0,MIN($E$63,IF(Inputs!$C$77="annuity",$C$7-$E$63*Inputs!$C$74/4,IF(Inputs!$C$77="sculpted",INDEX($F$8:$AE$8,MATCH($C$63,Timing!$F$59:$AE$59,0))/INDEX(Timing!$F$86:$AE$86,MATCH($C$63,Timing!$F$59:$AE$59,0)),$C$6/Timing!$C$25))))))</f>
        <v>0</v>
      </c>
      <c r="H63" s="23">
        <f>$E$63-$G$63</f>
        <v>19115257.735755164</v>
      </c>
    </row>
    <row r="64">
      <c r="A64" s="23">
        <f>$A$63+1</f>
        <v>52</v>
      </c>
      <c r="B64" s="27">
        <f>EDATE(Timing!$C$6,$A$64)</f>
        <v>47969</v>
      </c>
      <c r="C64" s="25">
        <f>YEAR($B$64)</f>
        <v>2031</v>
      </c>
      <c r="D64" s="23">
        <f>IF(AND($A$64-12*Inputs!$C$76+1&gt;=3,MOD($A$64-12*Inputs!$C$76+1,3)=0),($A$64-12*Inputs!$C$76+1)/3-1,-1)</f>
        <v>-1</v>
      </c>
      <c r="E64" s="23">
        <f>$H$63</f>
        <v>19115257.735755164</v>
      </c>
      <c r="F64" s="23">
        <f>$E$64*Inputs!$C$74/12</f>
        <v>85222.19073857511</v>
      </c>
      <c r="G64" s="23">
        <f>IF($D$64&lt;0,0,IF($D$64=Timing!$C$25-1,$E$64,MAX(0,MIN($E$64,IF(Inputs!$C$77="annuity",$C$7-$E$64*Inputs!$C$74/4,IF(Inputs!$C$77="sculpted",INDEX($F$8:$AE$8,MATCH($C$64,Timing!$F$59:$AE$59,0))/INDEX(Timing!$F$86:$AE$86,MATCH($C$64,Timing!$F$59:$AE$59,0)),$C$6/Timing!$C$25))))))</f>
        <v>0</v>
      </c>
      <c r="H64" s="23">
        <f>$E$64-$G$64</f>
        <v>19115257.735755164</v>
      </c>
    </row>
    <row r="65">
      <c r="A65" s="23">
        <f>$A$64+1</f>
        <v>53</v>
      </c>
      <c r="B65" s="27">
        <f>EDATE(Timing!$C$6,$A$65)</f>
        <v>48000</v>
      </c>
      <c r="C65" s="25">
        <f>YEAR($B$65)</f>
        <v>2031</v>
      </c>
      <c r="D65" s="23">
        <f>IF(AND($A$65-12*Inputs!$C$76+1&gt;=3,MOD($A$65-12*Inputs!$C$76+1,3)=0),($A$65-12*Inputs!$C$76+1)/3-1,-1)</f>
        <v>5</v>
      </c>
      <c r="E65" s="23">
        <f>$H$64</f>
        <v>19115257.735755164</v>
      </c>
      <c r="F65" s="23">
        <f>$E$65*Inputs!$C$74/12</f>
        <v>85222.19073857511</v>
      </c>
      <c r="G65" s="23">
        <f>IF($D$65&lt;0,0,IF($D$65=Timing!$C$25-1,$E$65,MAX(0,MIN($E$65,IF(Inputs!$C$77="annuity",$C$7-$E$65*Inputs!$C$74/4,IF(Inputs!$C$77="sculpted",INDEX($F$8:$AE$8,MATCH($C$65,Timing!$F$59:$AE$59,0))/INDEX(Timing!$F$86:$AE$86,MATCH($C$65,Timing!$F$59:$AE$59,0)),$C$6/Timing!$C$25))))))</f>
        <v>303416.7894564312</v>
      </c>
      <c r="H65" s="23">
        <f>$E$65-$G$65</f>
        <v>18811840.946298733</v>
      </c>
    </row>
    <row r="66">
      <c r="A66" s="23">
        <f>$A$65+1</f>
        <v>54</v>
      </c>
      <c r="B66" s="27">
        <f>EDATE(Timing!$C$6,$A$66)</f>
        <v>48030</v>
      </c>
      <c r="C66" s="25">
        <f>YEAR($B$66)</f>
        <v>2031</v>
      </c>
      <c r="D66" s="23">
        <f>IF(AND($A$66-12*Inputs!$C$76+1&gt;=3,MOD($A$66-12*Inputs!$C$76+1,3)=0),($A$66-12*Inputs!$C$76+1)/3-1,-1)</f>
        <v>-1</v>
      </c>
      <c r="E66" s="23">
        <f>$H$65</f>
        <v>18811840.946298733</v>
      </c>
      <c r="F66" s="23">
        <f>$E$66*Inputs!$C$74/12</f>
        <v>83869.45755224851</v>
      </c>
      <c r="G66" s="23">
        <f>IF($D$66&lt;0,0,IF($D$66=Timing!$C$25-1,$E$66,MAX(0,MIN($E$66,IF(Inputs!$C$77="annuity",$C$7-$E$66*Inputs!$C$74/4,IF(Inputs!$C$77="sculpted",INDEX($F$8:$AE$8,MATCH($C$66,Timing!$F$59:$AE$59,0))/INDEX(Timing!$F$86:$AE$86,MATCH($C$66,Timing!$F$59:$AE$59,0)),$C$6/Timing!$C$25))))))</f>
        <v>0</v>
      </c>
      <c r="H66" s="23">
        <f>$E$66-$G$66</f>
        <v>18811840.946298733</v>
      </c>
    </row>
    <row r="67">
      <c r="A67" s="23">
        <f>$A$66+1</f>
        <v>55</v>
      </c>
      <c r="B67" s="27">
        <f>EDATE(Timing!$C$6,$A$67)</f>
        <v>48061</v>
      </c>
      <c r="C67" s="25">
        <f>YEAR($B$67)</f>
        <v>2031</v>
      </c>
      <c r="D67" s="23">
        <f>IF(AND($A$67-12*Inputs!$C$76+1&gt;=3,MOD($A$67-12*Inputs!$C$76+1,3)=0),($A$67-12*Inputs!$C$76+1)/3-1,-1)</f>
        <v>-1</v>
      </c>
      <c r="E67" s="23">
        <f>$H$66</f>
        <v>18811840.946298733</v>
      </c>
      <c r="F67" s="23">
        <f>$E$67*Inputs!$C$74/12</f>
        <v>83869.45755224851</v>
      </c>
      <c r="G67" s="23">
        <f>IF($D$67&lt;0,0,IF($D$67=Timing!$C$25-1,$E$67,MAX(0,MIN($E$67,IF(Inputs!$C$77="annuity",$C$7-$E$67*Inputs!$C$74/4,IF(Inputs!$C$77="sculpted",INDEX($F$8:$AE$8,MATCH($C$67,Timing!$F$59:$AE$59,0))/INDEX(Timing!$F$86:$AE$86,MATCH($C$67,Timing!$F$59:$AE$59,0)),$C$6/Timing!$C$25))))))</f>
        <v>0</v>
      </c>
      <c r="H67" s="23">
        <f>$E$67-$G$67</f>
        <v>18811840.946298733</v>
      </c>
    </row>
    <row r="68">
      <c r="A68" s="23">
        <f>$A$67+1</f>
        <v>56</v>
      </c>
      <c r="B68" s="27">
        <f>EDATE(Timing!$C$6,$A$68)</f>
        <v>48092</v>
      </c>
      <c r="C68" s="25">
        <f>YEAR($B$68)</f>
        <v>2031</v>
      </c>
      <c r="D68" s="23">
        <f>IF(AND($A$68-12*Inputs!$C$76+1&gt;=3,MOD($A$68-12*Inputs!$C$76+1,3)=0),($A$68-12*Inputs!$C$76+1)/3-1,-1)</f>
        <v>6</v>
      </c>
      <c r="E68" s="23">
        <f>$H$67</f>
        <v>18811840.946298733</v>
      </c>
      <c r="F68" s="23">
        <f>$E$68*Inputs!$C$74/12</f>
        <v>83869.45755224851</v>
      </c>
      <c r="G68" s="23">
        <f>IF($D$68&lt;0,0,IF($D$68=Timing!$C$25-1,$E$68,MAX(0,MIN($E$68,IF(Inputs!$C$77="annuity",$C$7-$E$68*Inputs!$C$74/4,IF(Inputs!$C$77="sculpted",INDEX($F$8:$AE$8,MATCH($C$68,Timing!$F$59:$AE$59,0))/INDEX(Timing!$F$86:$AE$86,MATCH($C$68,Timing!$F$59:$AE$59,0)),$C$6/Timing!$C$25))))))</f>
        <v>303416.7894564312</v>
      </c>
      <c r="H68" s="23">
        <f>$E$68-$G$68</f>
        <v>18508424.156842303</v>
      </c>
    </row>
    <row r="69">
      <c r="A69" s="23">
        <f>$A$68+1</f>
        <v>57</v>
      </c>
      <c r="B69" s="27">
        <f>EDATE(Timing!$C$6,$A$69)</f>
        <v>48122</v>
      </c>
      <c r="C69" s="25">
        <f>YEAR($B$69)</f>
        <v>2031</v>
      </c>
      <c r="D69" s="23">
        <f>IF(AND($A$69-12*Inputs!$C$76+1&gt;=3,MOD($A$69-12*Inputs!$C$76+1,3)=0),($A$69-12*Inputs!$C$76+1)/3-1,-1)</f>
        <v>-1</v>
      </c>
      <c r="E69" s="23">
        <f>$H$68</f>
        <v>18508424.156842303</v>
      </c>
      <c r="F69" s="23">
        <f>$E$69*Inputs!$C$74/12</f>
        <v>82516.72436592194</v>
      </c>
      <c r="G69" s="23">
        <f>IF($D$69&lt;0,0,IF($D$69=Timing!$C$25-1,$E$69,MAX(0,MIN($E$69,IF(Inputs!$C$77="annuity",$C$7-$E$69*Inputs!$C$74/4,IF(Inputs!$C$77="sculpted",INDEX($F$8:$AE$8,MATCH($C$69,Timing!$F$59:$AE$59,0))/INDEX(Timing!$F$86:$AE$86,MATCH($C$69,Timing!$F$59:$AE$59,0)),$C$6/Timing!$C$25))))))</f>
        <v>0</v>
      </c>
      <c r="H69" s="23">
        <f>$E$69-$G$69</f>
        <v>18508424.156842303</v>
      </c>
    </row>
    <row r="70">
      <c r="A70" s="23">
        <f>$A$69+1</f>
        <v>58</v>
      </c>
      <c r="B70" s="27">
        <f>EDATE(Timing!$C$6,$A$70)</f>
        <v>48153</v>
      </c>
      <c r="C70" s="25">
        <f>YEAR($B$70)</f>
        <v>2031</v>
      </c>
      <c r="D70" s="23">
        <f>IF(AND($A$70-12*Inputs!$C$76+1&gt;=3,MOD($A$70-12*Inputs!$C$76+1,3)=0),($A$70-12*Inputs!$C$76+1)/3-1,-1)</f>
        <v>-1</v>
      </c>
      <c r="E70" s="23">
        <f>$H$69</f>
        <v>18508424.156842303</v>
      </c>
      <c r="F70" s="23">
        <f>$E$70*Inputs!$C$74/12</f>
        <v>82516.72436592194</v>
      </c>
      <c r="G70" s="23">
        <f>IF($D$70&lt;0,0,IF($D$70=Timing!$C$25-1,$E$70,MAX(0,MIN($E$70,IF(Inputs!$C$77="annuity",$C$7-$E$70*Inputs!$C$74/4,IF(Inputs!$C$77="sculpted",INDEX($F$8:$AE$8,MATCH($C$70,Timing!$F$59:$AE$59,0))/INDEX(Timing!$F$86:$AE$86,MATCH($C$70,Timing!$F$59:$AE$59,0)),$C$6/Timing!$C$25))))))</f>
        <v>0</v>
      </c>
      <c r="H70" s="23">
        <f>$E$70-$G$70</f>
        <v>18508424.156842303</v>
      </c>
    </row>
    <row r="71">
      <c r="A71" s="23">
        <f>$A$70+1</f>
        <v>59</v>
      </c>
      <c r="B71" s="27">
        <f>EDATE(Timing!$C$6,$A$71)</f>
        <v>48183</v>
      </c>
      <c r="C71" s="25">
        <f>YEAR($B$71)</f>
        <v>2031</v>
      </c>
      <c r="D71" s="23">
        <f>IF(AND($A$71-12*Inputs!$C$76+1&gt;=3,MOD($A$71-12*Inputs!$C$76+1,3)=0),($A$71-12*Inputs!$C$76+1)/3-1,-1)</f>
        <v>7</v>
      </c>
      <c r="E71" s="23">
        <f>$H$70</f>
        <v>18508424.156842303</v>
      </c>
      <c r="F71" s="23">
        <f>$E$71*Inputs!$C$74/12</f>
        <v>82516.72436592194</v>
      </c>
      <c r="G71" s="23">
        <f>IF($D$71&lt;0,0,IF($D$71=Timing!$C$25-1,$E$71,MAX(0,MIN($E$71,IF(Inputs!$C$77="annuity",$C$7-$E$71*Inputs!$C$74/4,IF(Inputs!$C$77="sculpted",INDEX($F$8:$AE$8,MATCH($C$71,Timing!$F$59:$AE$59,0))/INDEX(Timing!$F$86:$AE$86,MATCH($C$71,Timing!$F$59:$AE$59,0)),$C$6/Timing!$C$25))))))</f>
        <v>303416.7894564312</v>
      </c>
      <c r="H71" s="23">
        <f>$E$71-$G$71</f>
        <v>18205007.36738587</v>
      </c>
    </row>
    <row r="72">
      <c r="A72" s="23">
        <f>$A$71+1</f>
        <v>60</v>
      </c>
      <c r="B72" s="27">
        <f>EDATE(Timing!$C$6,$A$72)</f>
        <v>48214</v>
      </c>
      <c r="C72" s="25">
        <f>YEAR($B$72)</f>
        <v>2032</v>
      </c>
      <c r="D72" s="23">
        <f>IF(AND($A$72-12*Inputs!$C$76+1&gt;=3,MOD($A$72-12*Inputs!$C$76+1,3)=0),($A$72-12*Inputs!$C$76+1)/3-1,-1)</f>
        <v>-1</v>
      </c>
      <c r="E72" s="23">
        <f>$H$71</f>
        <v>18205007.36738587</v>
      </c>
      <c r="F72" s="23">
        <f>$E$72*Inputs!$C$74/12</f>
        <v>81163.99117959534</v>
      </c>
      <c r="G72" s="23">
        <f>IF($D$72&lt;0,0,IF($D$72=Timing!$C$25-1,$E$72,MAX(0,MIN($E$72,IF(Inputs!$C$77="annuity",$C$7-$E$72*Inputs!$C$74/4,IF(Inputs!$C$77="sculpted",INDEX($F$8:$AE$8,MATCH($C$72,Timing!$F$59:$AE$59,0))/INDEX(Timing!$F$86:$AE$86,MATCH($C$72,Timing!$F$59:$AE$59,0)),$C$6/Timing!$C$25))))))</f>
        <v>0</v>
      </c>
      <c r="H72" s="23">
        <f>$E$72-$G$72</f>
        <v>18205007.36738587</v>
      </c>
    </row>
    <row r="73">
      <c r="A73" s="23">
        <f>$A$72+1</f>
        <v>61</v>
      </c>
      <c r="B73" s="27">
        <f>EDATE(Timing!$C$6,$A$73)</f>
        <v>48245</v>
      </c>
      <c r="C73" s="25">
        <f>YEAR($B$73)</f>
        <v>2032</v>
      </c>
      <c r="D73" s="23">
        <f>IF(AND($A$73-12*Inputs!$C$76+1&gt;=3,MOD($A$73-12*Inputs!$C$76+1,3)=0),($A$73-12*Inputs!$C$76+1)/3-1,-1)</f>
        <v>-1</v>
      </c>
      <c r="E73" s="23">
        <f>$H$72</f>
        <v>18205007.36738587</v>
      </c>
      <c r="F73" s="23">
        <f>$E$73*Inputs!$C$74/12</f>
        <v>81163.99117959534</v>
      </c>
      <c r="G73" s="23">
        <f>IF($D$73&lt;0,0,IF($D$73=Timing!$C$25-1,$E$73,MAX(0,MIN($E$73,IF(Inputs!$C$77="annuity",$C$7-$E$73*Inputs!$C$74/4,IF(Inputs!$C$77="sculpted",INDEX($F$8:$AE$8,MATCH($C$73,Timing!$F$59:$AE$59,0))/INDEX(Timing!$F$86:$AE$86,MATCH($C$73,Timing!$F$59:$AE$59,0)),$C$6/Timing!$C$25))))))</f>
        <v>0</v>
      </c>
      <c r="H73" s="23">
        <f>$E$73-$G$73</f>
        <v>18205007.36738587</v>
      </c>
    </row>
    <row r="74">
      <c r="A74" s="23">
        <f>$A$73+1</f>
        <v>62</v>
      </c>
      <c r="B74" s="27">
        <f>EDATE(Timing!$C$6,$A$74)</f>
        <v>48274</v>
      </c>
      <c r="C74" s="25">
        <f>YEAR($B$74)</f>
        <v>2032</v>
      </c>
      <c r="D74" s="23">
        <f>IF(AND($A$74-12*Inputs!$C$76+1&gt;=3,MOD($A$74-12*Inputs!$C$76+1,3)=0),($A$74-12*Inputs!$C$76+1)/3-1,-1)</f>
        <v>8</v>
      </c>
      <c r="E74" s="23">
        <f>$H$73</f>
        <v>18205007.36738587</v>
      </c>
      <c r="F74" s="23">
        <f>$E$74*Inputs!$C$74/12</f>
        <v>81163.99117959534</v>
      </c>
      <c r="G74" s="23">
        <f>IF($D$74&lt;0,0,IF($D$74=Timing!$C$25-1,$E$74,MAX(0,MIN($E$74,IF(Inputs!$C$77="annuity",$C$7-$E$74*Inputs!$C$74/4,IF(Inputs!$C$77="sculpted",INDEX($F$8:$AE$8,MATCH($C$74,Timing!$F$59:$AE$59,0))/INDEX(Timing!$F$86:$AE$86,MATCH($C$74,Timing!$F$59:$AE$59,0)),$C$6/Timing!$C$25))))))</f>
        <v>303416.7894564312</v>
      </c>
      <c r="H74" s="23">
        <f>$E$74-$G$74</f>
        <v>17901590.57792944</v>
      </c>
    </row>
    <row r="75">
      <c r="A75" s="23">
        <f>$A$74+1</f>
        <v>63</v>
      </c>
      <c r="B75" s="27">
        <f>EDATE(Timing!$C$6,$A$75)</f>
        <v>48305</v>
      </c>
      <c r="C75" s="25">
        <f>YEAR($B$75)</f>
        <v>2032</v>
      </c>
      <c r="D75" s="23">
        <f>IF(AND($A$75-12*Inputs!$C$76+1&gt;=3,MOD($A$75-12*Inputs!$C$76+1,3)=0),($A$75-12*Inputs!$C$76+1)/3-1,-1)</f>
        <v>-1</v>
      </c>
      <c r="E75" s="23">
        <f>$H$74</f>
        <v>17901590.57792944</v>
      </c>
      <c r="F75" s="23">
        <f>$E$75*Inputs!$C$74/12</f>
        <v>79811.25799326875</v>
      </c>
      <c r="G75" s="23">
        <f>IF($D$75&lt;0,0,IF($D$75=Timing!$C$25-1,$E$75,MAX(0,MIN($E$75,IF(Inputs!$C$77="annuity",$C$7-$E$75*Inputs!$C$74/4,IF(Inputs!$C$77="sculpted",INDEX($F$8:$AE$8,MATCH($C$75,Timing!$F$59:$AE$59,0))/INDEX(Timing!$F$86:$AE$86,MATCH($C$75,Timing!$F$59:$AE$59,0)),$C$6/Timing!$C$25))))))</f>
        <v>0</v>
      </c>
      <c r="H75" s="23">
        <f>$E$75-$G$75</f>
        <v>17901590.57792944</v>
      </c>
    </row>
    <row r="76">
      <c r="A76" s="23">
        <f>$A$75+1</f>
        <v>64</v>
      </c>
      <c r="B76" s="27">
        <f>EDATE(Timing!$C$6,$A$76)</f>
        <v>48335</v>
      </c>
      <c r="C76" s="25">
        <f>YEAR($B$76)</f>
        <v>2032</v>
      </c>
      <c r="D76" s="23">
        <f>IF(AND($A$76-12*Inputs!$C$76+1&gt;=3,MOD($A$76-12*Inputs!$C$76+1,3)=0),($A$76-12*Inputs!$C$76+1)/3-1,-1)</f>
        <v>-1</v>
      </c>
      <c r="E76" s="23">
        <f>$H$75</f>
        <v>17901590.57792944</v>
      </c>
      <c r="F76" s="23">
        <f>$E$76*Inputs!$C$74/12</f>
        <v>79811.25799326875</v>
      </c>
      <c r="G76" s="23">
        <f>IF($D$76&lt;0,0,IF($D$76=Timing!$C$25-1,$E$76,MAX(0,MIN($E$76,IF(Inputs!$C$77="annuity",$C$7-$E$76*Inputs!$C$74/4,IF(Inputs!$C$77="sculpted",INDEX($F$8:$AE$8,MATCH($C$76,Timing!$F$59:$AE$59,0))/INDEX(Timing!$F$86:$AE$86,MATCH($C$76,Timing!$F$59:$AE$59,0)),$C$6/Timing!$C$25))))))</f>
        <v>0</v>
      </c>
      <c r="H76" s="23">
        <f>$E$76-$G$76</f>
        <v>17901590.57792944</v>
      </c>
    </row>
    <row r="77">
      <c r="A77" s="23">
        <f>$A$76+1</f>
        <v>65</v>
      </c>
      <c r="B77" s="27">
        <f>EDATE(Timing!$C$6,$A$77)</f>
        <v>48366</v>
      </c>
      <c r="C77" s="25">
        <f>YEAR($B$77)</f>
        <v>2032</v>
      </c>
      <c r="D77" s="23">
        <f>IF(AND($A$77-12*Inputs!$C$76+1&gt;=3,MOD($A$77-12*Inputs!$C$76+1,3)=0),($A$77-12*Inputs!$C$76+1)/3-1,-1)</f>
        <v>9</v>
      </c>
      <c r="E77" s="23">
        <f>$H$76</f>
        <v>17901590.57792944</v>
      </c>
      <c r="F77" s="23">
        <f>$E$77*Inputs!$C$74/12</f>
        <v>79811.25799326875</v>
      </c>
      <c r="G77" s="23">
        <f>IF($D$77&lt;0,0,IF($D$77=Timing!$C$25-1,$E$77,MAX(0,MIN($E$77,IF(Inputs!$C$77="annuity",$C$7-$E$77*Inputs!$C$74/4,IF(Inputs!$C$77="sculpted",INDEX($F$8:$AE$8,MATCH($C$77,Timing!$F$59:$AE$59,0))/INDEX(Timing!$F$86:$AE$86,MATCH($C$77,Timing!$F$59:$AE$59,0)),$C$6/Timing!$C$25))))))</f>
        <v>303416.7894564312</v>
      </c>
      <c r="H77" s="23">
        <f>$E$77-$G$77</f>
        <v>17598173.78847301</v>
      </c>
    </row>
    <row r="78">
      <c r="A78" s="23">
        <f>$A$77+1</f>
        <v>66</v>
      </c>
      <c r="B78" s="27">
        <f>EDATE(Timing!$C$6,$A$78)</f>
        <v>48396</v>
      </c>
      <c r="C78" s="25">
        <f>YEAR($B$78)</f>
        <v>2032</v>
      </c>
      <c r="D78" s="23">
        <f>IF(AND($A$78-12*Inputs!$C$76+1&gt;=3,MOD($A$78-12*Inputs!$C$76+1,3)=0),($A$78-12*Inputs!$C$76+1)/3-1,-1)</f>
        <v>-1</v>
      </c>
      <c r="E78" s="23">
        <f>$H$77</f>
        <v>17598173.78847301</v>
      </c>
      <c r="F78" s="23">
        <f>$E$78*Inputs!$C$74/12</f>
        <v>78458.52480694217</v>
      </c>
      <c r="G78" s="23">
        <f>IF($D$78&lt;0,0,IF($D$78=Timing!$C$25-1,$E$78,MAX(0,MIN($E$78,IF(Inputs!$C$77="annuity",$C$7-$E$78*Inputs!$C$74/4,IF(Inputs!$C$77="sculpted",INDEX($F$8:$AE$8,MATCH($C$78,Timing!$F$59:$AE$59,0))/INDEX(Timing!$F$86:$AE$86,MATCH($C$78,Timing!$F$59:$AE$59,0)),$C$6/Timing!$C$25))))))</f>
        <v>0</v>
      </c>
      <c r="H78" s="23">
        <f>$E$78-$G$78</f>
        <v>17598173.78847301</v>
      </c>
    </row>
    <row r="79">
      <c r="A79" s="23">
        <f>$A$78+1</f>
        <v>67</v>
      </c>
      <c r="B79" s="27">
        <f>EDATE(Timing!$C$6,$A$79)</f>
        <v>48427</v>
      </c>
      <c r="C79" s="25">
        <f>YEAR($B$79)</f>
        <v>2032</v>
      </c>
      <c r="D79" s="23">
        <f>IF(AND($A$79-12*Inputs!$C$76+1&gt;=3,MOD($A$79-12*Inputs!$C$76+1,3)=0),($A$79-12*Inputs!$C$76+1)/3-1,-1)</f>
        <v>-1</v>
      </c>
      <c r="E79" s="23">
        <f>$H$78</f>
        <v>17598173.78847301</v>
      </c>
      <c r="F79" s="23">
        <f>$E$79*Inputs!$C$74/12</f>
        <v>78458.52480694217</v>
      </c>
      <c r="G79" s="23">
        <f>IF($D$79&lt;0,0,IF($D$79=Timing!$C$25-1,$E$79,MAX(0,MIN($E$79,IF(Inputs!$C$77="annuity",$C$7-$E$79*Inputs!$C$74/4,IF(Inputs!$C$77="sculpted",INDEX($F$8:$AE$8,MATCH($C$79,Timing!$F$59:$AE$59,0))/INDEX(Timing!$F$86:$AE$86,MATCH($C$79,Timing!$F$59:$AE$59,0)),$C$6/Timing!$C$25))))))</f>
        <v>0</v>
      </c>
      <c r="H79" s="23">
        <f>$E$79-$G$79</f>
        <v>17598173.78847301</v>
      </c>
    </row>
    <row r="80">
      <c r="A80" s="23">
        <f>$A$79+1</f>
        <v>68</v>
      </c>
      <c r="B80" s="27">
        <f>EDATE(Timing!$C$6,$A$80)</f>
        <v>48458</v>
      </c>
      <c r="C80" s="25">
        <f>YEAR($B$80)</f>
        <v>2032</v>
      </c>
      <c r="D80" s="23">
        <f>IF(AND($A$80-12*Inputs!$C$76+1&gt;=3,MOD($A$80-12*Inputs!$C$76+1,3)=0),($A$80-12*Inputs!$C$76+1)/3-1,-1)</f>
        <v>10</v>
      </c>
      <c r="E80" s="23">
        <f>$H$79</f>
        <v>17598173.78847301</v>
      </c>
      <c r="F80" s="23">
        <f>$E$80*Inputs!$C$74/12</f>
        <v>78458.52480694217</v>
      </c>
      <c r="G80" s="23">
        <f>IF($D$80&lt;0,0,IF($D$80=Timing!$C$25-1,$E$80,MAX(0,MIN($E$80,IF(Inputs!$C$77="annuity",$C$7-$E$80*Inputs!$C$74/4,IF(Inputs!$C$77="sculpted",INDEX($F$8:$AE$8,MATCH($C$80,Timing!$F$59:$AE$59,0))/INDEX(Timing!$F$86:$AE$86,MATCH($C$80,Timing!$F$59:$AE$59,0)),$C$6/Timing!$C$25))))))</f>
        <v>303416.7894564312</v>
      </c>
      <c r="H80" s="23">
        <f>$E$80-$G$80</f>
        <v>17294756.99901658</v>
      </c>
    </row>
    <row r="81">
      <c r="A81" s="23">
        <f>$A$80+1</f>
        <v>69</v>
      </c>
      <c r="B81" s="27">
        <f>EDATE(Timing!$C$6,$A$81)</f>
        <v>48488</v>
      </c>
      <c r="C81" s="25">
        <f>YEAR($B$81)</f>
        <v>2032</v>
      </c>
      <c r="D81" s="23">
        <f>IF(AND($A$81-12*Inputs!$C$76+1&gt;=3,MOD($A$81-12*Inputs!$C$76+1,3)=0),($A$81-12*Inputs!$C$76+1)/3-1,-1)</f>
        <v>-1</v>
      </c>
      <c r="E81" s="23">
        <f>$H$80</f>
        <v>17294756.99901658</v>
      </c>
      <c r="F81" s="23">
        <f>$E$81*Inputs!$C$74/12</f>
        <v>77105.79162061558</v>
      </c>
      <c r="G81" s="23">
        <f>IF($D$81&lt;0,0,IF($D$81=Timing!$C$25-1,$E$81,MAX(0,MIN($E$81,IF(Inputs!$C$77="annuity",$C$7-$E$81*Inputs!$C$74/4,IF(Inputs!$C$77="sculpted",INDEX($F$8:$AE$8,MATCH($C$81,Timing!$F$59:$AE$59,0))/INDEX(Timing!$F$86:$AE$86,MATCH($C$81,Timing!$F$59:$AE$59,0)),$C$6/Timing!$C$25))))))</f>
        <v>0</v>
      </c>
      <c r="H81" s="23">
        <f>$E$81-$G$81</f>
        <v>17294756.99901658</v>
      </c>
    </row>
    <row r="82">
      <c r="A82" s="23">
        <f>$A$81+1</f>
        <v>70</v>
      </c>
      <c r="B82" s="27">
        <f>EDATE(Timing!$C$6,$A$82)</f>
        <v>48519</v>
      </c>
      <c r="C82" s="25">
        <f>YEAR($B$82)</f>
        <v>2032</v>
      </c>
      <c r="D82" s="23">
        <f>IF(AND($A$82-12*Inputs!$C$76+1&gt;=3,MOD($A$82-12*Inputs!$C$76+1,3)=0),($A$82-12*Inputs!$C$76+1)/3-1,-1)</f>
        <v>-1</v>
      </c>
      <c r="E82" s="23">
        <f>$H$81</f>
        <v>17294756.99901658</v>
      </c>
      <c r="F82" s="23">
        <f>$E$82*Inputs!$C$74/12</f>
        <v>77105.79162061558</v>
      </c>
      <c r="G82" s="23">
        <f>IF($D$82&lt;0,0,IF($D$82=Timing!$C$25-1,$E$82,MAX(0,MIN($E$82,IF(Inputs!$C$77="annuity",$C$7-$E$82*Inputs!$C$74/4,IF(Inputs!$C$77="sculpted",INDEX($F$8:$AE$8,MATCH($C$82,Timing!$F$59:$AE$59,0))/INDEX(Timing!$F$86:$AE$86,MATCH($C$82,Timing!$F$59:$AE$59,0)),$C$6/Timing!$C$25))))))</f>
        <v>0</v>
      </c>
      <c r="H82" s="23">
        <f>$E$82-$G$82</f>
        <v>17294756.99901658</v>
      </c>
    </row>
    <row r="83">
      <c r="A83" s="23">
        <f>$A$82+1</f>
        <v>71</v>
      </c>
      <c r="B83" s="27">
        <f>EDATE(Timing!$C$6,$A$83)</f>
        <v>48549</v>
      </c>
      <c r="C83" s="25">
        <f>YEAR($B$83)</f>
        <v>2032</v>
      </c>
      <c r="D83" s="23">
        <f>IF(AND($A$83-12*Inputs!$C$76+1&gt;=3,MOD($A$83-12*Inputs!$C$76+1,3)=0),($A$83-12*Inputs!$C$76+1)/3-1,-1)</f>
        <v>11</v>
      </c>
      <c r="E83" s="23">
        <f>$H$82</f>
        <v>17294756.99901658</v>
      </c>
      <c r="F83" s="23">
        <f>$E$83*Inputs!$C$74/12</f>
        <v>77105.79162061558</v>
      </c>
      <c r="G83" s="23">
        <f>IF($D$83&lt;0,0,IF($D$83=Timing!$C$25-1,$E$83,MAX(0,MIN($E$83,IF(Inputs!$C$77="annuity",$C$7-$E$83*Inputs!$C$74/4,IF(Inputs!$C$77="sculpted",INDEX($F$8:$AE$8,MATCH($C$83,Timing!$F$59:$AE$59,0))/INDEX(Timing!$F$86:$AE$86,MATCH($C$83,Timing!$F$59:$AE$59,0)),$C$6/Timing!$C$25))))))</f>
        <v>303416.7894564312</v>
      </c>
      <c r="H83" s="23">
        <f>$E$83-$G$83</f>
        <v>16991340.20956015</v>
      </c>
    </row>
    <row r="84">
      <c r="A84" s="23">
        <f>$A$83+1</f>
        <v>72</v>
      </c>
      <c r="B84" s="27">
        <f>EDATE(Timing!$C$6,$A$84)</f>
        <v>48580</v>
      </c>
      <c r="C84" s="25">
        <f>YEAR($B$84)</f>
        <v>2033</v>
      </c>
      <c r="D84" s="23">
        <f>IF(AND($A$84-12*Inputs!$C$76+1&gt;=3,MOD($A$84-12*Inputs!$C$76+1,3)=0),($A$84-12*Inputs!$C$76+1)/3-1,-1)</f>
        <v>-1</v>
      </c>
      <c r="E84" s="23">
        <f>$H$83</f>
        <v>16991340.20956015</v>
      </c>
      <c r="F84" s="23">
        <f>$E$84*Inputs!$C$74/12</f>
        <v>75753.05843428899</v>
      </c>
      <c r="G84" s="23">
        <f>IF($D$84&lt;0,0,IF($D$84=Timing!$C$25-1,$E$84,MAX(0,MIN($E$84,IF(Inputs!$C$77="annuity",$C$7-$E$84*Inputs!$C$74/4,IF(Inputs!$C$77="sculpted",INDEX($F$8:$AE$8,MATCH($C$84,Timing!$F$59:$AE$59,0))/INDEX(Timing!$F$86:$AE$86,MATCH($C$84,Timing!$F$59:$AE$59,0)),$C$6/Timing!$C$25))))))</f>
        <v>0</v>
      </c>
      <c r="H84" s="23">
        <f>$E$84-$G$84</f>
        <v>16991340.20956015</v>
      </c>
    </row>
    <row r="85">
      <c r="A85" s="23">
        <f>$A$84+1</f>
        <v>73</v>
      </c>
      <c r="B85" s="27">
        <f>EDATE(Timing!$C$6,$A$85)</f>
        <v>48611</v>
      </c>
      <c r="C85" s="25">
        <f>YEAR($B$85)</f>
        <v>2033</v>
      </c>
      <c r="D85" s="23">
        <f>IF(AND($A$85-12*Inputs!$C$76+1&gt;=3,MOD($A$85-12*Inputs!$C$76+1,3)=0),($A$85-12*Inputs!$C$76+1)/3-1,-1)</f>
        <v>-1</v>
      </c>
      <c r="E85" s="23">
        <f>$H$84</f>
        <v>16991340.20956015</v>
      </c>
      <c r="F85" s="23">
        <f>$E$85*Inputs!$C$74/12</f>
        <v>75753.05843428899</v>
      </c>
      <c r="G85" s="23">
        <f>IF($D$85&lt;0,0,IF($D$85=Timing!$C$25-1,$E$85,MAX(0,MIN($E$85,IF(Inputs!$C$77="annuity",$C$7-$E$85*Inputs!$C$74/4,IF(Inputs!$C$77="sculpted",INDEX($F$8:$AE$8,MATCH($C$85,Timing!$F$59:$AE$59,0))/INDEX(Timing!$F$86:$AE$86,MATCH($C$85,Timing!$F$59:$AE$59,0)),$C$6/Timing!$C$25))))))</f>
        <v>0</v>
      </c>
      <c r="H85" s="23">
        <f>$E$85-$G$85</f>
        <v>16991340.20956015</v>
      </c>
    </row>
    <row r="86">
      <c r="A86" s="23">
        <f>$A$85+1</f>
        <v>74</v>
      </c>
      <c r="B86" s="27">
        <f>EDATE(Timing!$C$6,$A$86)</f>
        <v>48639</v>
      </c>
      <c r="C86" s="25">
        <f>YEAR($B$86)</f>
        <v>2033</v>
      </c>
      <c r="D86" s="23">
        <f>IF(AND($A$86-12*Inputs!$C$76+1&gt;=3,MOD($A$86-12*Inputs!$C$76+1,3)=0),($A$86-12*Inputs!$C$76+1)/3-1,-1)</f>
        <v>12</v>
      </c>
      <c r="E86" s="23">
        <f>$H$85</f>
        <v>16991340.20956015</v>
      </c>
      <c r="F86" s="23">
        <f>$E$86*Inputs!$C$74/12</f>
        <v>75753.05843428899</v>
      </c>
      <c r="G86" s="23">
        <f>IF($D$86&lt;0,0,IF($D$86=Timing!$C$25-1,$E$86,MAX(0,MIN($E$86,IF(Inputs!$C$77="annuity",$C$7-$E$86*Inputs!$C$74/4,IF(Inputs!$C$77="sculpted",INDEX($F$8:$AE$8,MATCH($C$86,Timing!$F$59:$AE$59,0))/INDEX(Timing!$F$86:$AE$86,MATCH($C$86,Timing!$F$59:$AE$59,0)),$C$6/Timing!$C$25))))))</f>
        <v>303416.7894564312</v>
      </c>
      <c r="H86" s="23">
        <f>$E$86-$G$86</f>
        <v>16687923.420103718</v>
      </c>
    </row>
    <row r="87">
      <c r="A87" s="23">
        <f>$A$86+1</f>
        <v>75</v>
      </c>
      <c r="B87" s="27">
        <f>EDATE(Timing!$C$6,$A$87)</f>
        <v>48670</v>
      </c>
      <c r="C87" s="25">
        <f>YEAR($B$87)</f>
        <v>2033</v>
      </c>
      <c r="D87" s="23">
        <f>IF(AND($A$87-12*Inputs!$C$76+1&gt;=3,MOD($A$87-12*Inputs!$C$76+1,3)=0),($A$87-12*Inputs!$C$76+1)/3-1,-1)</f>
        <v>-1</v>
      </c>
      <c r="E87" s="23">
        <f>$H$86</f>
        <v>16687923.420103718</v>
      </c>
      <c r="F87" s="23">
        <f>$E$87*Inputs!$C$74/12</f>
        <v>74400.3252479624</v>
      </c>
      <c r="G87" s="23">
        <f>IF($D$87&lt;0,0,IF($D$87=Timing!$C$25-1,$E$87,MAX(0,MIN($E$87,IF(Inputs!$C$77="annuity",$C$7-$E$87*Inputs!$C$74/4,IF(Inputs!$C$77="sculpted",INDEX($F$8:$AE$8,MATCH($C$87,Timing!$F$59:$AE$59,0))/INDEX(Timing!$F$86:$AE$86,MATCH($C$87,Timing!$F$59:$AE$59,0)),$C$6/Timing!$C$25))))))</f>
        <v>0</v>
      </c>
      <c r="H87" s="23">
        <f>$E$87-$G$87</f>
        <v>16687923.420103718</v>
      </c>
    </row>
    <row r="88">
      <c r="A88" s="23">
        <f>$A$87+1</f>
        <v>76</v>
      </c>
      <c r="B88" s="27">
        <f>EDATE(Timing!$C$6,$A$88)</f>
        <v>48700</v>
      </c>
      <c r="C88" s="25">
        <f>YEAR($B$88)</f>
        <v>2033</v>
      </c>
      <c r="D88" s="23">
        <f>IF(AND($A$88-12*Inputs!$C$76+1&gt;=3,MOD($A$88-12*Inputs!$C$76+1,3)=0),($A$88-12*Inputs!$C$76+1)/3-1,-1)</f>
        <v>-1</v>
      </c>
      <c r="E88" s="23">
        <f>$H$87</f>
        <v>16687923.420103718</v>
      </c>
      <c r="F88" s="23">
        <f>$E$88*Inputs!$C$74/12</f>
        <v>74400.3252479624</v>
      </c>
      <c r="G88" s="23">
        <f>IF($D$88&lt;0,0,IF($D$88=Timing!$C$25-1,$E$88,MAX(0,MIN($E$88,IF(Inputs!$C$77="annuity",$C$7-$E$88*Inputs!$C$74/4,IF(Inputs!$C$77="sculpted",INDEX($F$8:$AE$8,MATCH($C$88,Timing!$F$59:$AE$59,0))/INDEX(Timing!$F$86:$AE$86,MATCH($C$88,Timing!$F$59:$AE$59,0)),$C$6/Timing!$C$25))))))</f>
        <v>0</v>
      </c>
      <c r="H88" s="23">
        <f>$E$88-$G$88</f>
        <v>16687923.420103718</v>
      </c>
    </row>
    <row r="89">
      <c r="A89" s="23">
        <f>$A$88+1</f>
        <v>77</v>
      </c>
      <c r="B89" s="27">
        <f>EDATE(Timing!$C$6,$A$89)</f>
        <v>48731</v>
      </c>
      <c r="C89" s="25">
        <f>YEAR($B$89)</f>
        <v>2033</v>
      </c>
      <c r="D89" s="23">
        <f>IF(AND($A$89-12*Inputs!$C$76+1&gt;=3,MOD($A$89-12*Inputs!$C$76+1,3)=0),($A$89-12*Inputs!$C$76+1)/3-1,-1)</f>
        <v>13</v>
      </c>
      <c r="E89" s="23">
        <f>$H$88</f>
        <v>16687923.420103718</v>
      </c>
      <c r="F89" s="23">
        <f>$E$89*Inputs!$C$74/12</f>
        <v>74400.3252479624</v>
      </c>
      <c r="G89" s="23">
        <f>IF($D$89&lt;0,0,IF($D$89=Timing!$C$25-1,$E$89,MAX(0,MIN($E$89,IF(Inputs!$C$77="annuity",$C$7-$E$89*Inputs!$C$74/4,IF(Inputs!$C$77="sculpted",INDEX($F$8:$AE$8,MATCH($C$89,Timing!$F$59:$AE$59,0))/INDEX(Timing!$F$86:$AE$86,MATCH($C$89,Timing!$F$59:$AE$59,0)),$C$6/Timing!$C$25))))))</f>
        <v>303416.7894564312</v>
      </c>
      <c r="H89" s="23">
        <f>$E$89-$G$89</f>
        <v>16384506.630647287</v>
      </c>
    </row>
    <row r="90">
      <c r="A90" s="23">
        <f>$A$89+1</f>
        <v>78</v>
      </c>
      <c r="B90" s="27">
        <f>EDATE(Timing!$C$6,$A$90)</f>
        <v>48761</v>
      </c>
      <c r="C90" s="25">
        <f>YEAR($B$90)</f>
        <v>2033</v>
      </c>
      <c r="D90" s="23">
        <f>IF(AND($A$90-12*Inputs!$C$76+1&gt;=3,MOD($A$90-12*Inputs!$C$76+1,3)=0),($A$90-12*Inputs!$C$76+1)/3-1,-1)</f>
        <v>-1</v>
      </c>
      <c r="E90" s="23">
        <f>$H$89</f>
        <v>16384506.630647287</v>
      </c>
      <c r="F90" s="23">
        <f>$E$90*Inputs!$C$74/12</f>
        <v>73047.59206163582</v>
      </c>
      <c r="G90" s="23">
        <f>IF($D$90&lt;0,0,IF($D$90=Timing!$C$25-1,$E$90,MAX(0,MIN($E$90,IF(Inputs!$C$77="annuity",$C$7-$E$90*Inputs!$C$74/4,IF(Inputs!$C$77="sculpted",INDEX($F$8:$AE$8,MATCH($C$90,Timing!$F$59:$AE$59,0))/INDEX(Timing!$F$86:$AE$86,MATCH($C$90,Timing!$F$59:$AE$59,0)),$C$6/Timing!$C$25))))))</f>
        <v>0</v>
      </c>
      <c r="H90" s="23">
        <f>$E$90-$G$90</f>
        <v>16384506.630647287</v>
      </c>
    </row>
    <row r="91">
      <c r="A91" s="23">
        <f>$A$90+1</f>
        <v>79</v>
      </c>
      <c r="B91" s="27">
        <f>EDATE(Timing!$C$6,$A$91)</f>
        <v>48792</v>
      </c>
      <c r="C91" s="25">
        <f>YEAR($B$91)</f>
        <v>2033</v>
      </c>
      <c r="D91" s="23">
        <f>IF(AND($A$91-12*Inputs!$C$76+1&gt;=3,MOD($A$91-12*Inputs!$C$76+1,3)=0),($A$91-12*Inputs!$C$76+1)/3-1,-1)</f>
        <v>-1</v>
      </c>
      <c r="E91" s="23">
        <f>$H$90</f>
        <v>16384506.630647287</v>
      </c>
      <c r="F91" s="23">
        <f>$E$91*Inputs!$C$74/12</f>
        <v>73047.59206163582</v>
      </c>
      <c r="G91" s="23">
        <f>IF($D$91&lt;0,0,IF($D$91=Timing!$C$25-1,$E$91,MAX(0,MIN($E$91,IF(Inputs!$C$77="annuity",$C$7-$E$91*Inputs!$C$74/4,IF(Inputs!$C$77="sculpted",INDEX($F$8:$AE$8,MATCH($C$91,Timing!$F$59:$AE$59,0))/INDEX(Timing!$F$86:$AE$86,MATCH($C$91,Timing!$F$59:$AE$59,0)),$C$6/Timing!$C$25))))))</f>
        <v>0</v>
      </c>
      <c r="H91" s="23">
        <f>$E$91-$G$91</f>
        <v>16384506.630647287</v>
      </c>
    </row>
    <row r="92">
      <c r="A92" s="23">
        <f>$A$91+1</f>
        <v>80</v>
      </c>
      <c r="B92" s="27">
        <f>EDATE(Timing!$C$6,$A$92)</f>
        <v>48823</v>
      </c>
      <c r="C92" s="25">
        <f>YEAR($B$92)</f>
        <v>2033</v>
      </c>
      <c r="D92" s="23">
        <f>IF(AND($A$92-12*Inputs!$C$76+1&gt;=3,MOD($A$92-12*Inputs!$C$76+1,3)=0),($A$92-12*Inputs!$C$76+1)/3-1,-1)</f>
        <v>14</v>
      </c>
      <c r="E92" s="23">
        <f>$H$91</f>
        <v>16384506.630647287</v>
      </c>
      <c r="F92" s="23">
        <f>$E$92*Inputs!$C$74/12</f>
        <v>73047.59206163582</v>
      </c>
      <c r="G92" s="23">
        <f>IF($D$92&lt;0,0,IF($D$92=Timing!$C$25-1,$E$92,MAX(0,MIN($E$92,IF(Inputs!$C$77="annuity",$C$7-$E$92*Inputs!$C$74/4,IF(Inputs!$C$77="sculpted",INDEX($F$8:$AE$8,MATCH($C$92,Timing!$F$59:$AE$59,0))/INDEX(Timing!$F$86:$AE$86,MATCH($C$92,Timing!$F$59:$AE$59,0)),$C$6/Timing!$C$25))))))</f>
        <v>303416.7894564312</v>
      </c>
      <c r="H92" s="23">
        <f>$E$92-$G$92</f>
        <v>16081089.841190856</v>
      </c>
    </row>
    <row r="93">
      <c r="A93" s="23">
        <f>$A$92+1</f>
        <v>81</v>
      </c>
      <c r="B93" s="27">
        <f>EDATE(Timing!$C$6,$A$93)</f>
        <v>48853</v>
      </c>
      <c r="C93" s="25">
        <f>YEAR($B$93)</f>
        <v>2033</v>
      </c>
      <c r="D93" s="23">
        <f>IF(AND($A$93-12*Inputs!$C$76+1&gt;=3,MOD($A$93-12*Inputs!$C$76+1,3)=0),($A$93-12*Inputs!$C$76+1)/3-1,-1)</f>
        <v>-1</v>
      </c>
      <c r="E93" s="23">
        <f>$H$92</f>
        <v>16081089.841190856</v>
      </c>
      <c r="F93" s="23">
        <f>$E$93*Inputs!$C$74/12</f>
        <v>71694.85887530923</v>
      </c>
      <c r="G93" s="23">
        <f>IF($D$93&lt;0,0,IF($D$93=Timing!$C$25-1,$E$93,MAX(0,MIN($E$93,IF(Inputs!$C$77="annuity",$C$7-$E$93*Inputs!$C$74/4,IF(Inputs!$C$77="sculpted",INDEX($F$8:$AE$8,MATCH($C$93,Timing!$F$59:$AE$59,0))/INDEX(Timing!$F$86:$AE$86,MATCH($C$93,Timing!$F$59:$AE$59,0)),$C$6/Timing!$C$25))))))</f>
        <v>0</v>
      </c>
      <c r="H93" s="23">
        <f>$E$93-$G$93</f>
        <v>16081089.841190856</v>
      </c>
    </row>
    <row r="94">
      <c r="A94" s="23">
        <f>$A$93+1</f>
        <v>82</v>
      </c>
      <c r="B94" s="27">
        <f>EDATE(Timing!$C$6,$A$94)</f>
        <v>48884</v>
      </c>
      <c r="C94" s="25">
        <f>YEAR($B$94)</f>
        <v>2033</v>
      </c>
      <c r="D94" s="23">
        <f>IF(AND($A$94-12*Inputs!$C$76+1&gt;=3,MOD($A$94-12*Inputs!$C$76+1,3)=0),($A$94-12*Inputs!$C$76+1)/3-1,-1)</f>
        <v>-1</v>
      </c>
      <c r="E94" s="23">
        <f>$H$93</f>
        <v>16081089.841190856</v>
      </c>
      <c r="F94" s="23">
        <f>$E$94*Inputs!$C$74/12</f>
        <v>71694.85887530923</v>
      </c>
      <c r="G94" s="23">
        <f>IF($D$94&lt;0,0,IF($D$94=Timing!$C$25-1,$E$94,MAX(0,MIN($E$94,IF(Inputs!$C$77="annuity",$C$7-$E$94*Inputs!$C$74/4,IF(Inputs!$C$77="sculpted",INDEX($F$8:$AE$8,MATCH($C$94,Timing!$F$59:$AE$59,0))/INDEX(Timing!$F$86:$AE$86,MATCH($C$94,Timing!$F$59:$AE$59,0)),$C$6/Timing!$C$25))))))</f>
        <v>0</v>
      </c>
      <c r="H94" s="23">
        <f>$E$94-$G$94</f>
        <v>16081089.841190856</v>
      </c>
    </row>
    <row r="95">
      <c r="A95" s="23">
        <f>$A$94+1</f>
        <v>83</v>
      </c>
      <c r="B95" s="27">
        <f>EDATE(Timing!$C$6,$A$95)</f>
        <v>48914</v>
      </c>
      <c r="C95" s="25">
        <f>YEAR($B$95)</f>
        <v>2033</v>
      </c>
      <c r="D95" s="23">
        <f>IF(AND($A$95-12*Inputs!$C$76+1&gt;=3,MOD($A$95-12*Inputs!$C$76+1,3)=0),($A$95-12*Inputs!$C$76+1)/3-1,-1)</f>
        <v>15</v>
      </c>
      <c r="E95" s="23">
        <f>$H$94</f>
        <v>16081089.841190856</v>
      </c>
      <c r="F95" s="23">
        <f>$E$95*Inputs!$C$74/12</f>
        <v>71694.85887530923</v>
      </c>
      <c r="G95" s="23">
        <f>IF($D$95&lt;0,0,IF($D$95=Timing!$C$25-1,$E$95,MAX(0,MIN($E$95,IF(Inputs!$C$77="annuity",$C$7-$E$95*Inputs!$C$74/4,IF(Inputs!$C$77="sculpted",INDEX($F$8:$AE$8,MATCH($C$95,Timing!$F$59:$AE$59,0))/INDEX(Timing!$F$86:$AE$86,MATCH($C$95,Timing!$F$59:$AE$59,0)),$C$6/Timing!$C$25))))))</f>
        <v>303416.7894564312</v>
      </c>
      <c r="H95" s="23">
        <f>$E$95-$G$95</f>
        <v>15777673.051734425</v>
      </c>
    </row>
    <row r="96">
      <c r="A96" s="23">
        <f>$A$95+1</f>
        <v>84</v>
      </c>
      <c r="B96" s="27">
        <f>EDATE(Timing!$C$6,$A$96)</f>
        <v>48945</v>
      </c>
      <c r="C96" s="25">
        <f>YEAR($B$96)</f>
        <v>2034</v>
      </c>
      <c r="D96" s="23">
        <f>IF(AND($A$96-12*Inputs!$C$76+1&gt;=3,MOD($A$96-12*Inputs!$C$76+1,3)=0),($A$96-12*Inputs!$C$76+1)/3-1,-1)</f>
        <v>-1</v>
      </c>
      <c r="E96" s="23">
        <f>$H$95</f>
        <v>15777673.051734425</v>
      </c>
      <c r="F96" s="23">
        <f>$E$96*Inputs!$C$74/12</f>
        <v>70342.12568898265</v>
      </c>
      <c r="G96" s="23">
        <f>IF($D$96&lt;0,0,IF($D$96=Timing!$C$25-1,$E$96,MAX(0,MIN($E$96,IF(Inputs!$C$77="annuity",$C$7-$E$96*Inputs!$C$74/4,IF(Inputs!$C$77="sculpted",INDEX($F$8:$AE$8,MATCH($C$96,Timing!$F$59:$AE$59,0))/INDEX(Timing!$F$86:$AE$86,MATCH($C$96,Timing!$F$59:$AE$59,0)),$C$6/Timing!$C$25))))))</f>
        <v>0</v>
      </c>
      <c r="H96" s="23">
        <f>$E$96-$G$96</f>
        <v>15777673.051734425</v>
      </c>
    </row>
    <row r="97">
      <c r="A97" s="23">
        <f>$A$96+1</f>
        <v>85</v>
      </c>
      <c r="B97" s="27">
        <f>EDATE(Timing!$C$6,$A$97)</f>
        <v>48976</v>
      </c>
      <c r="C97" s="25">
        <f>YEAR($B$97)</f>
        <v>2034</v>
      </c>
      <c r="D97" s="23">
        <f>IF(AND($A$97-12*Inputs!$C$76+1&gt;=3,MOD($A$97-12*Inputs!$C$76+1,3)=0),($A$97-12*Inputs!$C$76+1)/3-1,-1)</f>
        <v>-1</v>
      </c>
      <c r="E97" s="23">
        <f>$H$96</f>
        <v>15777673.051734425</v>
      </c>
      <c r="F97" s="23">
        <f>$E$97*Inputs!$C$74/12</f>
        <v>70342.12568898265</v>
      </c>
      <c r="G97" s="23">
        <f>IF($D$97&lt;0,0,IF($D$97=Timing!$C$25-1,$E$97,MAX(0,MIN($E$97,IF(Inputs!$C$77="annuity",$C$7-$E$97*Inputs!$C$74/4,IF(Inputs!$C$77="sculpted",INDEX($F$8:$AE$8,MATCH($C$97,Timing!$F$59:$AE$59,0))/INDEX(Timing!$F$86:$AE$86,MATCH($C$97,Timing!$F$59:$AE$59,0)),$C$6/Timing!$C$25))))))</f>
        <v>0</v>
      </c>
      <c r="H97" s="23">
        <f>$E$97-$G$97</f>
        <v>15777673.051734425</v>
      </c>
    </row>
    <row r="98">
      <c r="A98" s="23">
        <f>$A$97+1</f>
        <v>86</v>
      </c>
      <c r="B98" s="27">
        <f>EDATE(Timing!$C$6,$A$98)</f>
        <v>49004</v>
      </c>
      <c r="C98" s="25">
        <f>YEAR($B$98)</f>
        <v>2034</v>
      </c>
      <c r="D98" s="23">
        <f>IF(AND($A$98-12*Inputs!$C$76+1&gt;=3,MOD($A$98-12*Inputs!$C$76+1,3)=0),($A$98-12*Inputs!$C$76+1)/3-1,-1)</f>
        <v>16</v>
      </c>
      <c r="E98" s="23">
        <f>$H$97</f>
        <v>15777673.051734425</v>
      </c>
      <c r="F98" s="23">
        <f>$E$98*Inputs!$C$74/12</f>
        <v>70342.12568898265</v>
      </c>
      <c r="G98" s="23">
        <f>IF($D$98&lt;0,0,IF($D$98=Timing!$C$25-1,$E$98,MAX(0,MIN($E$98,IF(Inputs!$C$77="annuity",$C$7-$E$98*Inputs!$C$74/4,IF(Inputs!$C$77="sculpted",INDEX($F$8:$AE$8,MATCH($C$98,Timing!$F$59:$AE$59,0))/INDEX(Timing!$F$86:$AE$86,MATCH($C$98,Timing!$F$59:$AE$59,0)),$C$6/Timing!$C$25))))))</f>
        <v>303416.7894564312</v>
      </c>
      <c r="H98" s="23">
        <f>$E$98-$G$98</f>
        <v>15474256.262277994</v>
      </c>
    </row>
    <row r="99">
      <c r="A99" s="23">
        <f>$A$98+1</f>
        <v>87</v>
      </c>
      <c r="B99" s="27">
        <f>EDATE(Timing!$C$6,$A$99)</f>
        <v>49035</v>
      </c>
      <c r="C99" s="25">
        <f>YEAR($B$99)</f>
        <v>2034</v>
      </c>
      <c r="D99" s="23">
        <f>IF(AND($A$99-12*Inputs!$C$76+1&gt;=3,MOD($A$99-12*Inputs!$C$76+1,3)=0),($A$99-12*Inputs!$C$76+1)/3-1,-1)</f>
        <v>-1</v>
      </c>
      <c r="E99" s="23">
        <f>$H$98</f>
        <v>15474256.262277994</v>
      </c>
      <c r="F99" s="23">
        <f>$E$99*Inputs!$C$74/12</f>
        <v>68989.39250265606</v>
      </c>
      <c r="G99" s="23">
        <f>IF($D$99&lt;0,0,IF($D$99=Timing!$C$25-1,$E$99,MAX(0,MIN($E$99,IF(Inputs!$C$77="annuity",$C$7-$E$99*Inputs!$C$74/4,IF(Inputs!$C$77="sculpted",INDEX($F$8:$AE$8,MATCH($C$99,Timing!$F$59:$AE$59,0))/INDEX(Timing!$F$86:$AE$86,MATCH($C$99,Timing!$F$59:$AE$59,0)),$C$6/Timing!$C$25))))))</f>
        <v>0</v>
      </c>
      <c r="H99" s="23">
        <f>$E$99-$G$99</f>
        <v>15474256.262277994</v>
      </c>
    </row>
    <row r="100">
      <c r="A100" s="23">
        <f>$A$99+1</f>
        <v>88</v>
      </c>
      <c r="B100" s="27">
        <f>EDATE(Timing!$C$6,$A$100)</f>
        <v>49065</v>
      </c>
      <c r="C100" s="25">
        <f>YEAR($B$100)</f>
        <v>2034</v>
      </c>
      <c r="D100" s="23">
        <f>IF(AND($A$100-12*Inputs!$C$76+1&gt;=3,MOD($A$100-12*Inputs!$C$76+1,3)=0),($A$100-12*Inputs!$C$76+1)/3-1,-1)</f>
        <v>-1</v>
      </c>
      <c r="E100" s="23">
        <f>$H$99</f>
        <v>15474256.262277994</v>
      </c>
      <c r="F100" s="23">
        <f>$E$100*Inputs!$C$74/12</f>
        <v>68989.39250265606</v>
      </c>
      <c r="G100" s="23">
        <f>IF($D$100&lt;0,0,IF($D$100=Timing!$C$25-1,$E$100,MAX(0,MIN($E$100,IF(Inputs!$C$77="annuity",$C$7-$E$100*Inputs!$C$74/4,IF(Inputs!$C$77="sculpted",INDEX($F$8:$AE$8,MATCH($C$100,Timing!$F$59:$AE$59,0))/INDEX(Timing!$F$86:$AE$86,MATCH($C$100,Timing!$F$59:$AE$59,0)),$C$6/Timing!$C$25))))))</f>
        <v>0</v>
      </c>
      <c r="H100" s="23">
        <f>$E$100-$G$100</f>
        <v>15474256.262277994</v>
      </c>
    </row>
    <row r="101">
      <c r="A101" s="23">
        <f>$A$100+1</f>
        <v>89</v>
      </c>
      <c r="B101" s="27">
        <f>EDATE(Timing!$C$6,$A$101)</f>
        <v>49096</v>
      </c>
      <c r="C101" s="25">
        <f>YEAR($B$101)</f>
        <v>2034</v>
      </c>
      <c r="D101" s="23">
        <f>IF(AND($A$101-12*Inputs!$C$76+1&gt;=3,MOD($A$101-12*Inputs!$C$76+1,3)=0),($A$101-12*Inputs!$C$76+1)/3-1,-1)</f>
        <v>17</v>
      </c>
      <c r="E101" s="23">
        <f>$H$100</f>
        <v>15474256.262277994</v>
      </c>
      <c r="F101" s="23">
        <f>$E$101*Inputs!$C$74/12</f>
        <v>68989.39250265606</v>
      </c>
      <c r="G101" s="23">
        <f>IF($D$101&lt;0,0,IF($D$101=Timing!$C$25-1,$E$101,MAX(0,MIN($E$101,IF(Inputs!$C$77="annuity",$C$7-$E$101*Inputs!$C$74/4,IF(Inputs!$C$77="sculpted",INDEX($F$8:$AE$8,MATCH($C$101,Timing!$F$59:$AE$59,0))/INDEX(Timing!$F$86:$AE$86,MATCH($C$101,Timing!$F$59:$AE$59,0)),$C$6/Timing!$C$25))))))</f>
        <v>303416.7894564312</v>
      </c>
      <c r="H101" s="23">
        <f>$E$101-$G$101</f>
        <v>15170839.472821563</v>
      </c>
    </row>
    <row r="102">
      <c r="A102" s="23">
        <f>$A$101+1</f>
        <v>90</v>
      </c>
      <c r="B102" s="27">
        <f>EDATE(Timing!$C$6,$A$102)</f>
        <v>49126</v>
      </c>
      <c r="C102" s="25">
        <f>YEAR($B$102)</f>
        <v>2034</v>
      </c>
      <c r="D102" s="23">
        <f>IF(AND($A$102-12*Inputs!$C$76+1&gt;=3,MOD($A$102-12*Inputs!$C$76+1,3)=0),($A$102-12*Inputs!$C$76+1)/3-1,-1)</f>
        <v>-1</v>
      </c>
      <c r="E102" s="23">
        <f>$H$101</f>
        <v>15170839.472821563</v>
      </c>
      <c r="F102" s="23">
        <f>$E$102*Inputs!$C$74/12</f>
        <v>67636.65931632947</v>
      </c>
      <c r="G102" s="23">
        <f>IF($D$102&lt;0,0,IF($D$102=Timing!$C$25-1,$E$102,MAX(0,MIN($E$102,IF(Inputs!$C$77="annuity",$C$7-$E$102*Inputs!$C$74/4,IF(Inputs!$C$77="sculpted",INDEX($F$8:$AE$8,MATCH($C$102,Timing!$F$59:$AE$59,0))/INDEX(Timing!$F$86:$AE$86,MATCH($C$102,Timing!$F$59:$AE$59,0)),$C$6/Timing!$C$25))))))</f>
        <v>0</v>
      </c>
      <c r="H102" s="23">
        <f>$E$102-$G$102</f>
        <v>15170839.472821563</v>
      </c>
    </row>
    <row r="103">
      <c r="A103" s="23">
        <f>$A$102+1</f>
        <v>91</v>
      </c>
      <c r="B103" s="27">
        <f>EDATE(Timing!$C$6,$A$103)</f>
        <v>49157</v>
      </c>
      <c r="C103" s="25">
        <f>YEAR($B$103)</f>
        <v>2034</v>
      </c>
      <c r="D103" s="23">
        <f>IF(AND($A$103-12*Inputs!$C$76+1&gt;=3,MOD($A$103-12*Inputs!$C$76+1,3)=0),($A$103-12*Inputs!$C$76+1)/3-1,-1)</f>
        <v>-1</v>
      </c>
      <c r="E103" s="23">
        <f>$H$102</f>
        <v>15170839.472821563</v>
      </c>
      <c r="F103" s="23">
        <f>$E$103*Inputs!$C$74/12</f>
        <v>67636.65931632947</v>
      </c>
      <c r="G103" s="23">
        <f>IF($D$103&lt;0,0,IF($D$103=Timing!$C$25-1,$E$103,MAX(0,MIN($E$103,IF(Inputs!$C$77="annuity",$C$7-$E$103*Inputs!$C$74/4,IF(Inputs!$C$77="sculpted",INDEX($F$8:$AE$8,MATCH($C$103,Timing!$F$59:$AE$59,0))/INDEX(Timing!$F$86:$AE$86,MATCH($C$103,Timing!$F$59:$AE$59,0)),$C$6/Timing!$C$25))))))</f>
        <v>0</v>
      </c>
      <c r="H103" s="23">
        <f>$E$103-$G$103</f>
        <v>15170839.472821563</v>
      </c>
    </row>
    <row r="104">
      <c r="A104" s="23">
        <f>$A$103+1</f>
        <v>92</v>
      </c>
      <c r="B104" s="27">
        <f>EDATE(Timing!$C$6,$A$104)</f>
        <v>49188</v>
      </c>
      <c r="C104" s="25">
        <f>YEAR($B$104)</f>
        <v>2034</v>
      </c>
      <c r="D104" s="23">
        <f>IF(AND($A$104-12*Inputs!$C$76+1&gt;=3,MOD($A$104-12*Inputs!$C$76+1,3)=0),($A$104-12*Inputs!$C$76+1)/3-1,-1)</f>
        <v>18</v>
      </c>
      <c r="E104" s="23">
        <f>$H$103</f>
        <v>15170839.472821563</v>
      </c>
      <c r="F104" s="23">
        <f>$E$104*Inputs!$C$74/12</f>
        <v>67636.65931632947</v>
      </c>
      <c r="G104" s="23">
        <f>IF($D$104&lt;0,0,IF($D$104=Timing!$C$25-1,$E$104,MAX(0,MIN($E$104,IF(Inputs!$C$77="annuity",$C$7-$E$104*Inputs!$C$74/4,IF(Inputs!$C$77="sculpted",INDEX($F$8:$AE$8,MATCH($C$104,Timing!$F$59:$AE$59,0))/INDEX(Timing!$F$86:$AE$86,MATCH($C$104,Timing!$F$59:$AE$59,0)),$C$6/Timing!$C$25))))))</f>
        <v>303416.7894564312</v>
      </c>
      <c r="H104" s="23">
        <f>$E$104-$G$104</f>
        <v>14867422.683365133</v>
      </c>
    </row>
    <row r="105">
      <c r="A105" s="23">
        <f>$A$104+1</f>
        <v>93</v>
      </c>
      <c r="B105" s="27">
        <f>EDATE(Timing!$C$6,$A$105)</f>
        <v>49218</v>
      </c>
      <c r="C105" s="25">
        <f>YEAR($B$105)</f>
        <v>2034</v>
      </c>
      <c r="D105" s="23">
        <f>IF(AND($A$105-12*Inputs!$C$76+1&gt;=3,MOD($A$105-12*Inputs!$C$76+1,3)=0),($A$105-12*Inputs!$C$76+1)/3-1,-1)</f>
        <v>-1</v>
      </c>
      <c r="E105" s="23">
        <f>$H$104</f>
        <v>14867422.683365133</v>
      </c>
      <c r="F105" s="23">
        <f>$E$105*Inputs!$C$74/12</f>
        <v>66283.92613000287</v>
      </c>
      <c r="G105" s="23">
        <f>IF($D$105&lt;0,0,IF($D$105=Timing!$C$25-1,$E$105,MAX(0,MIN($E$105,IF(Inputs!$C$77="annuity",$C$7-$E$105*Inputs!$C$74/4,IF(Inputs!$C$77="sculpted",INDEX($F$8:$AE$8,MATCH($C$105,Timing!$F$59:$AE$59,0))/INDEX(Timing!$F$86:$AE$86,MATCH($C$105,Timing!$F$59:$AE$59,0)),$C$6/Timing!$C$25))))))</f>
        <v>0</v>
      </c>
      <c r="H105" s="23">
        <f>$E$105-$G$105</f>
        <v>14867422.683365133</v>
      </c>
    </row>
    <row r="106">
      <c r="A106" s="23">
        <f>$A$105+1</f>
        <v>94</v>
      </c>
      <c r="B106" s="27">
        <f>EDATE(Timing!$C$6,$A$106)</f>
        <v>49249</v>
      </c>
      <c r="C106" s="25">
        <f>YEAR($B$106)</f>
        <v>2034</v>
      </c>
      <c r="D106" s="23">
        <f>IF(AND($A$106-12*Inputs!$C$76+1&gt;=3,MOD($A$106-12*Inputs!$C$76+1,3)=0),($A$106-12*Inputs!$C$76+1)/3-1,-1)</f>
        <v>-1</v>
      </c>
      <c r="E106" s="23">
        <f>$H$105</f>
        <v>14867422.683365133</v>
      </c>
      <c r="F106" s="23">
        <f>$E$106*Inputs!$C$74/12</f>
        <v>66283.92613000287</v>
      </c>
      <c r="G106" s="23">
        <f>IF($D$106&lt;0,0,IF($D$106=Timing!$C$25-1,$E$106,MAX(0,MIN($E$106,IF(Inputs!$C$77="annuity",$C$7-$E$106*Inputs!$C$74/4,IF(Inputs!$C$77="sculpted",INDEX($F$8:$AE$8,MATCH($C$106,Timing!$F$59:$AE$59,0))/INDEX(Timing!$F$86:$AE$86,MATCH($C$106,Timing!$F$59:$AE$59,0)),$C$6/Timing!$C$25))))))</f>
        <v>0</v>
      </c>
      <c r="H106" s="23">
        <f>$E$106-$G$106</f>
        <v>14867422.683365133</v>
      </c>
    </row>
    <row r="107">
      <c r="A107" s="23">
        <f>$A$106+1</f>
        <v>95</v>
      </c>
      <c r="B107" s="27">
        <f>EDATE(Timing!$C$6,$A$107)</f>
        <v>49279</v>
      </c>
      <c r="C107" s="25">
        <f>YEAR($B$107)</f>
        <v>2034</v>
      </c>
      <c r="D107" s="23">
        <f>IF(AND($A$107-12*Inputs!$C$76+1&gt;=3,MOD($A$107-12*Inputs!$C$76+1,3)=0),($A$107-12*Inputs!$C$76+1)/3-1,-1)</f>
        <v>19</v>
      </c>
      <c r="E107" s="23">
        <f>$H$106</f>
        <v>14867422.683365133</v>
      </c>
      <c r="F107" s="23">
        <f>$E$107*Inputs!$C$74/12</f>
        <v>66283.92613000287</v>
      </c>
      <c r="G107" s="23">
        <f>IF($D$107&lt;0,0,IF($D$107=Timing!$C$25-1,$E$107,MAX(0,MIN($E$107,IF(Inputs!$C$77="annuity",$C$7-$E$107*Inputs!$C$74/4,IF(Inputs!$C$77="sculpted",INDEX($F$8:$AE$8,MATCH($C$107,Timing!$F$59:$AE$59,0))/INDEX(Timing!$F$86:$AE$86,MATCH($C$107,Timing!$F$59:$AE$59,0)),$C$6/Timing!$C$25))))))</f>
        <v>303416.7894564312</v>
      </c>
      <c r="H107" s="23">
        <f>$E$107-$G$107</f>
        <v>14564005.893908702</v>
      </c>
    </row>
    <row r="108">
      <c r="A108" s="23">
        <f>$A$107+1</f>
        <v>96</v>
      </c>
      <c r="B108" s="27">
        <f>EDATE(Timing!$C$6,$A$108)</f>
        <v>49310</v>
      </c>
      <c r="C108" s="25">
        <f>YEAR($B$108)</f>
        <v>2035</v>
      </c>
      <c r="D108" s="23">
        <f>IF(AND($A$108-12*Inputs!$C$76+1&gt;=3,MOD($A$108-12*Inputs!$C$76+1,3)=0),($A$108-12*Inputs!$C$76+1)/3-1,-1)</f>
        <v>-1</v>
      </c>
      <c r="E108" s="23">
        <f>$H$107</f>
        <v>14564005.893908702</v>
      </c>
      <c r="F108" s="23">
        <f>$E$108*Inputs!$C$74/12</f>
        <v>64931.192943676295</v>
      </c>
      <c r="G108" s="23">
        <f>IF($D$108&lt;0,0,IF($D$108=Timing!$C$25-1,$E$108,MAX(0,MIN($E$108,IF(Inputs!$C$77="annuity",$C$7-$E$108*Inputs!$C$74/4,IF(Inputs!$C$77="sculpted",INDEX($F$8:$AE$8,MATCH($C$108,Timing!$F$59:$AE$59,0))/INDEX(Timing!$F$86:$AE$86,MATCH($C$108,Timing!$F$59:$AE$59,0)),$C$6/Timing!$C$25))))))</f>
        <v>0</v>
      </c>
      <c r="H108" s="23">
        <f>$E$108-$G$108</f>
        <v>14564005.893908702</v>
      </c>
    </row>
    <row r="109">
      <c r="A109" s="23">
        <f>$A$108+1</f>
        <v>97</v>
      </c>
      <c r="B109" s="27">
        <f>EDATE(Timing!$C$6,$A$109)</f>
        <v>49341</v>
      </c>
      <c r="C109" s="25">
        <f>YEAR($B$109)</f>
        <v>2035</v>
      </c>
      <c r="D109" s="23">
        <f>IF(AND($A$109-12*Inputs!$C$76+1&gt;=3,MOD($A$109-12*Inputs!$C$76+1,3)=0),($A$109-12*Inputs!$C$76+1)/3-1,-1)</f>
        <v>-1</v>
      </c>
      <c r="E109" s="23">
        <f>$H$108</f>
        <v>14564005.893908702</v>
      </c>
      <c r="F109" s="23">
        <f>$E$109*Inputs!$C$74/12</f>
        <v>64931.192943676295</v>
      </c>
      <c r="G109" s="23">
        <f>IF($D$109&lt;0,0,IF($D$109=Timing!$C$25-1,$E$109,MAX(0,MIN($E$109,IF(Inputs!$C$77="annuity",$C$7-$E$109*Inputs!$C$74/4,IF(Inputs!$C$77="sculpted",INDEX($F$8:$AE$8,MATCH($C$109,Timing!$F$59:$AE$59,0))/INDEX(Timing!$F$86:$AE$86,MATCH($C$109,Timing!$F$59:$AE$59,0)),$C$6/Timing!$C$25))))))</f>
        <v>0</v>
      </c>
      <c r="H109" s="23">
        <f>$E$109-$G$109</f>
        <v>14564005.893908702</v>
      </c>
    </row>
    <row r="110">
      <c r="A110" s="23">
        <f>$A$109+1</f>
        <v>98</v>
      </c>
      <c r="B110" s="27">
        <f>EDATE(Timing!$C$6,$A$110)</f>
        <v>49369</v>
      </c>
      <c r="C110" s="25">
        <f>YEAR($B$110)</f>
        <v>2035</v>
      </c>
      <c r="D110" s="23">
        <f>IF(AND($A$110-12*Inputs!$C$76+1&gt;=3,MOD($A$110-12*Inputs!$C$76+1,3)=0),($A$110-12*Inputs!$C$76+1)/3-1,-1)</f>
        <v>20</v>
      </c>
      <c r="E110" s="23">
        <f>$H$109</f>
        <v>14564005.893908702</v>
      </c>
      <c r="F110" s="23">
        <f>$E$110*Inputs!$C$74/12</f>
        <v>64931.192943676295</v>
      </c>
      <c r="G110" s="23">
        <f>IF($D$110&lt;0,0,IF($D$110=Timing!$C$25-1,$E$110,MAX(0,MIN($E$110,IF(Inputs!$C$77="annuity",$C$7-$E$110*Inputs!$C$74/4,IF(Inputs!$C$77="sculpted",INDEX($F$8:$AE$8,MATCH($C$110,Timing!$F$59:$AE$59,0))/INDEX(Timing!$F$86:$AE$86,MATCH($C$110,Timing!$F$59:$AE$59,0)),$C$6/Timing!$C$25))))))</f>
        <v>303416.7894564312</v>
      </c>
      <c r="H110" s="23">
        <f>$E$110-$G$110</f>
        <v>14260589.104452271</v>
      </c>
    </row>
    <row r="111">
      <c r="A111" s="23">
        <f>$A$110+1</f>
        <v>99</v>
      </c>
      <c r="B111" s="27">
        <f>EDATE(Timing!$C$6,$A$111)</f>
        <v>49400</v>
      </c>
      <c r="C111" s="25">
        <f>YEAR($B$111)</f>
        <v>2035</v>
      </c>
      <c r="D111" s="23">
        <f>IF(AND($A$111-12*Inputs!$C$76+1&gt;=3,MOD($A$111-12*Inputs!$C$76+1,3)=0),($A$111-12*Inputs!$C$76+1)/3-1,-1)</f>
        <v>-1</v>
      </c>
      <c r="E111" s="23">
        <f>$H$110</f>
        <v>14260589.104452271</v>
      </c>
      <c r="F111" s="23">
        <f>$E$111*Inputs!$C$74/12</f>
        <v>63578.45975734971</v>
      </c>
      <c r="G111" s="23">
        <f>IF($D$111&lt;0,0,IF($D$111=Timing!$C$25-1,$E$111,MAX(0,MIN($E$111,IF(Inputs!$C$77="annuity",$C$7-$E$111*Inputs!$C$74/4,IF(Inputs!$C$77="sculpted",INDEX($F$8:$AE$8,MATCH($C$111,Timing!$F$59:$AE$59,0))/INDEX(Timing!$F$86:$AE$86,MATCH($C$111,Timing!$F$59:$AE$59,0)),$C$6/Timing!$C$25))))))</f>
        <v>0</v>
      </c>
      <c r="H111" s="23">
        <f>$E$111-$G$111</f>
        <v>14260589.104452271</v>
      </c>
    </row>
    <row r="112">
      <c r="A112" s="23">
        <f>$A$111+1</f>
        <v>100</v>
      </c>
      <c r="B112" s="27">
        <f>EDATE(Timing!$C$6,$A$112)</f>
        <v>49430</v>
      </c>
      <c r="C112" s="25">
        <f>YEAR($B$112)</f>
        <v>2035</v>
      </c>
      <c r="D112" s="23">
        <f>IF(AND($A$112-12*Inputs!$C$76+1&gt;=3,MOD($A$112-12*Inputs!$C$76+1,3)=0),($A$112-12*Inputs!$C$76+1)/3-1,-1)</f>
        <v>-1</v>
      </c>
      <c r="E112" s="23">
        <f>$H$111</f>
        <v>14260589.104452271</v>
      </c>
      <c r="F112" s="23">
        <f>$E$112*Inputs!$C$74/12</f>
        <v>63578.45975734971</v>
      </c>
      <c r="G112" s="23">
        <f>IF($D$112&lt;0,0,IF($D$112=Timing!$C$25-1,$E$112,MAX(0,MIN($E$112,IF(Inputs!$C$77="annuity",$C$7-$E$112*Inputs!$C$74/4,IF(Inputs!$C$77="sculpted",INDEX($F$8:$AE$8,MATCH($C$112,Timing!$F$59:$AE$59,0))/INDEX(Timing!$F$86:$AE$86,MATCH($C$112,Timing!$F$59:$AE$59,0)),$C$6/Timing!$C$25))))))</f>
        <v>0</v>
      </c>
      <c r="H112" s="23">
        <f>$E$112-$G$112</f>
        <v>14260589.104452271</v>
      </c>
    </row>
    <row r="113">
      <c r="A113" s="23">
        <f>$A$112+1</f>
        <v>101</v>
      </c>
      <c r="B113" s="27">
        <f>EDATE(Timing!$C$6,$A$113)</f>
        <v>49461</v>
      </c>
      <c r="C113" s="25">
        <f>YEAR($B$113)</f>
        <v>2035</v>
      </c>
      <c r="D113" s="23">
        <f>IF(AND($A$113-12*Inputs!$C$76+1&gt;=3,MOD($A$113-12*Inputs!$C$76+1,3)=0),($A$113-12*Inputs!$C$76+1)/3-1,-1)</f>
        <v>21</v>
      </c>
      <c r="E113" s="23">
        <f>$H$112</f>
        <v>14260589.104452271</v>
      </c>
      <c r="F113" s="23">
        <f>$E$113*Inputs!$C$74/12</f>
        <v>63578.45975734971</v>
      </c>
      <c r="G113" s="23">
        <f>IF($D$113&lt;0,0,IF($D$113=Timing!$C$25-1,$E$113,MAX(0,MIN($E$113,IF(Inputs!$C$77="annuity",$C$7-$E$113*Inputs!$C$74/4,IF(Inputs!$C$77="sculpted",INDEX($F$8:$AE$8,MATCH($C$113,Timing!$F$59:$AE$59,0))/INDEX(Timing!$F$86:$AE$86,MATCH($C$113,Timing!$F$59:$AE$59,0)),$C$6/Timing!$C$25))))))</f>
        <v>303416.7894564312</v>
      </c>
      <c r="H113" s="23">
        <f>$E$113-$G$113</f>
        <v>13957172.31499584</v>
      </c>
    </row>
    <row r="114">
      <c r="A114" s="23">
        <f>$A$113+1</f>
        <v>102</v>
      </c>
      <c r="B114" s="27">
        <f>EDATE(Timing!$C$6,$A$114)</f>
        <v>49491</v>
      </c>
      <c r="C114" s="25">
        <f>YEAR($B$114)</f>
        <v>2035</v>
      </c>
      <c r="D114" s="23">
        <f>IF(AND($A$114-12*Inputs!$C$76+1&gt;=3,MOD($A$114-12*Inputs!$C$76+1,3)=0),($A$114-12*Inputs!$C$76+1)/3-1,-1)</f>
        <v>-1</v>
      </c>
      <c r="E114" s="23">
        <f>$H$113</f>
        <v>13957172.31499584</v>
      </c>
      <c r="F114" s="23">
        <f>$E$114*Inputs!$C$74/12</f>
        <v>62225.726571023115</v>
      </c>
      <c r="G114" s="23">
        <f>IF($D$114&lt;0,0,IF($D$114=Timing!$C$25-1,$E$114,MAX(0,MIN($E$114,IF(Inputs!$C$77="annuity",$C$7-$E$114*Inputs!$C$74/4,IF(Inputs!$C$77="sculpted",INDEX($F$8:$AE$8,MATCH($C$114,Timing!$F$59:$AE$59,0))/INDEX(Timing!$F$86:$AE$86,MATCH($C$114,Timing!$F$59:$AE$59,0)),$C$6/Timing!$C$25))))))</f>
        <v>0</v>
      </c>
      <c r="H114" s="23">
        <f>$E$114-$G$114</f>
        <v>13957172.31499584</v>
      </c>
    </row>
    <row r="115">
      <c r="A115" s="23">
        <f>$A$114+1</f>
        <v>103</v>
      </c>
      <c r="B115" s="27">
        <f>EDATE(Timing!$C$6,$A$115)</f>
        <v>49522</v>
      </c>
      <c r="C115" s="25">
        <f>YEAR($B$115)</f>
        <v>2035</v>
      </c>
      <c r="D115" s="23">
        <f>IF(AND($A$115-12*Inputs!$C$76+1&gt;=3,MOD($A$115-12*Inputs!$C$76+1,3)=0),($A$115-12*Inputs!$C$76+1)/3-1,-1)</f>
        <v>-1</v>
      </c>
      <c r="E115" s="23">
        <f>$H$114</f>
        <v>13957172.31499584</v>
      </c>
      <c r="F115" s="23">
        <f>$E$115*Inputs!$C$74/12</f>
        <v>62225.726571023115</v>
      </c>
      <c r="G115" s="23">
        <f>IF($D$115&lt;0,0,IF($D$115=Timing!$C$25-1,$E$115,MAX(0,MIN($E$115,IF(Inputs!$C$77="annuity",$C$7-$E$115*Inputs!$C$74/4,IF(Inputs!$C$77="sculpted",INDEX($F$8:$AE$8,MATCH($C$115,Timing!$F$59:$AE$59,0))/INDEX(Timing!$F$86:$AE$86,MATCH($C$115,Timing!$F$59:$AE$59,0)),$C$6/Timing!$C$25))))))</f>
        <v>0</v>
      </c>
      <c r="H115" s="23">
        <f>$E$115-$G$115</f>
        <v>13957172.31499584</v>
      </c>
    </row>
    <row r="116">
      <c r="A116" s="23">
        <f>$A$115+1</f>
        <v>104</v>
      </c>
      <c r="B116" s="27">
        <f>EDATE(Timing!$C$6,$A$116)</f>
        <v>49553</v>
      </c>
      <c r="C116" s="25">
        <f>YEAR($B$116)</f>
        <v>2035</v>
      </c>
      <c r="D116" s="23">
        <f>IF(AND($A$116-12*Inputs!$C$76+1&gt;=3,MOD($A$116-12*Inputs!$C$76+1,3)=0),($A$116-12*Inputs!$C$76+1)/3-1,-1)</f>
        <v>22</v>
      </c>
      <c r="E116" s="23">
        <f>$H$115</f>
        <v>13957172.31499584</v>
      </c>
      <c r="F116" s="23">
        <f>$E$116*Inputs!$C$74/12</f>
        <v>62225.726571023115</v>
      </c>
      <c r="G116" s="23">
        <f>IF($D$116&lt;0,0,IF($D$116=Timing!$C$25-1,$E$116,MAX(0,MIN($E$116,IF(Inputs!$C$77="annuity",$C$7-$E$116*Inputs!$C$74/4,IF(Inputs!$C$77="sculpted",INDEX($F$8:$AE$8,MATCH($C$116,Timing!$F$59:$AE$59,0))/INDEX(Timing!$F$86:$AE$86,MATCH($C$116,Timing!$F$59:$AE$59,0)),$C$6/Timing!$C$25))))))</f>
        <v>303416.7894564312</v>
      </c>
      <c r="H116" s="23">
        <f>$E$116-$G$116</f>
        <v>13653755.52553941</v>
      </c>
    </row>
    <row r="117">
      <c r="A117" s="23">
        <f>$A$116+1</f>
        <v>105</v>
      </c>
      <c r="B117" s="27">
        <f>EDATE(Timing!$C$6,$A$117)</f>
        <v>49583</v>
      </c>
      <c r="C117" s="25">
        <f>YEAR($B$117)</f>
        <v>2035</v>
      </c>
      <c r="D117" s="23">
        <f>IF(AND($A$117-12*Inputs!$C$76+1&gt;=3,MOD($A$117-12*Inputs!$C$76+1,3)=0),($A$117-12*Inputs!$C$76+1)/3-1,-1)</f>
        <v>-1</v>
      </c>
      <c r="E117" s="23">
        <f>$H$116</f>
        <v>13653755.52553941</v>
      </c>
      <c r="F117" s="23">
        <f>$E$117*Inputs!$C$74/12</f>
        <v>60872.993384696536</v>
      </c>
      <c r="G117" s="23">
        <f>IF($D$117&lt;0,0,IF($D$117=Timing!$C$25-1,$E$117,MAX(0,MIN($E$117,IF(Inputs!$C$77="annuity",$C$7-$E$117*Inputs!$C$74/4,IF(Inputs!$C$77="sculpted",INDEX($F$8:$AE$8,MATCH($C$117,Timing!$F$59:$AE$59,0))/INDEX(Timing!$F$86:$AE$86,MATCH($C$117,Timing!$F$59:$AE$59,0)),$C$6/Timing!$C$25))))))</f>
        <v>0</v>
      </c>
      <c r="H117" s="23">
        <f>$E$117-$G$117</f>
        <v>13653755.52553941</v>
      </c>
    </row>
    <row r="118">
      <c r="A118" s="23">
        <f>$A$117+1</f>
        <v>106</v>
      </c>
      <c r="B118" s="27">
        <f>EDATE(Timing!$C$6,$A$118)</f>
        <v>49614</v>
      </c>
      <c r="C118" s="25">
        <f>YEAR($B$118)</f>
        <v>2035</v>
      </c>
      <c r="D118" s="23">
        <f>IF(AND($A$118-12*Inputs!$C$76+1&gt;=3,MOD($A$118-12*Inputs!$C$76+1,3)=0),($A$118-12*Inputs!$C$76+1)/3-1,-1)</f>
        <v>-1</v>
      </c>
      <c r="E118" s="23">
        <f>$H$117</f>
        <v>13653755.52553941</v>
      </c>
      <c r="F118" s="23">
        <f>$E$118*Inputs!$C$74/12</f>
        <v>60872.993384696536</v>
      </c>
      <c r="G118" s="23">
        <f>IF($D$118&lt;0,0,IF($D$118=Timing!$C$25-1,$E$118,MAX(0,MIN($E$118,IF(Inputs!$C$77="annuity",$C$7-$E$118*Inputs!$C$74/4,IF(Inputs!$C$77="sculpted",INDEX($F$8:$AE$8,MATCH($C$118,Timing!$F$59:$AE$59,0))/INDEX(Timing!$F$86:$AE$86,MATCH($C$118,Timing!$F$59:$AE$59,0)),$C$6/Timing!$C$25))))))</f>
        <v>0</v>
      </c>
      <c r="H118" s="23">
        <f>$E$118-$G$118</f>
        <v>13653755.52553941</v>
      </c>
    </row>
    <row r="119">
      <c r="A119" s="23">
        <f>$A$118+1</f>
        <v>107</v>
      </c>
      <c r="B119" s="27">
        <f>EDATE(Timing!$C$6,$A$119)</f>
        <v>49644</v>
      </c>
      <c r="C119" s="25">
        <f>YEAR($B$119)</f>
        <v>2035</v>
      </c>
      <c r="D119" s="23">
        <f>IF(AND($A$119-12*Inputs!$C$76+1&gt;=3,MOD($A$119-12*Inputs!$C$76+1,3)=0),($A$119-12*Inputs!$C$76+1)/3-1,-1)</f>
        <v>23</v>
      </c>
      <c r="E119" s="23">
        <f>$H$118</f>
        <v>13653755.52553941</v>
      </c>
      <c r="F119" s="23">
        <f>$E$119*Inputs!$C$74/12</f>
        <v>60872.993384696536</v>
      </c>
      <c r="G119" s="23">
        <f>IF($D$119&lt;0,0,IF($D$119=Timing!$C$25-1,$E$119,MAX(0,MIN($E$119,IF(Inputs!$C$77="annuity",$C$7-$E$119*Inputs!$C$74/4,IF(Inputs!$C$77="sculpted",INDEX($F$8:$AE$8,MATCH($C$119,Timing!$F$59:$AE$59,0))/INDEX(Timing!$F$86:$AE$86,MATCH($C$119,Timing!$F$59:$AE$59,0)),$C$6/Timing!$C$25))))))</f>
        <v>303416.7894564312</v>
      </c>
      <c r="H119" s="23">
        <f>$E$119-$G$119</f>
        <v>13350338.736082979</v>
      </c>
    </row>
    <row r="120">
      <c r="A120" s="23">
        <f>$A$119+1</f>
        <v>108</v>
      </c>
      <c r="B120" s="27">
        <f>EDATE(Timing!$C$6,$A$120)</f>
        <v>49675</v>
      </c>
      <c r="C120" s="25">
        <f>YEAR($B$120)</f>
        <v>2036</v>
      </c>
      <c r="D120" s="23">
        <f>IF(AND($A$120-12*Inputs!$C$76+1&gt;=3,MOD($A$120-12*Inputs!$C$76+1,3)=0),($A$120-12*Inputs!$C$76+1)/3-1,-1)</f>
        <v>-1</v>
      </c>
      <c r="E120" s="23">
        <f>$H$119</f>
        <v>13350338.736082979</v>
      </c>
      <c r="F120" s="23">
        <f>$E$120*Inputs!$C$74/12</f>
        <v>59520.26019836994</v>
      </c>
      <c r="G120" s="23">
        <f>IF($D$120&lt;0,0,IF($D$120=Timing!$C$25-1,$E$120,MAX(0,MIN($E$120,IF(Inputs!$C$77="annuity",$C$7-$E$120*Inputs!$C$74/4,IF(Inputs!$C$77="sculpted",INDEX($F$8:$AE$8,MATCH($C$120,Timing!$F$59:$AE$59,0))/INDEX(Timing!$F$86:$AE$86,MATCH($C$120,Timing!$F$59:$AE$59,0)),$C$6/Timing!$C$25))))))</f>
        <v>0</v>
      </c>
      <c r="H120" s="23">
        <f>$E$120-$G$120</f>
        <v>13350338.736082979</v>
      </c>
    </row>
    <row r="121">
      <c r="A121" s="23">
        <f>$A$120+1</f>
        <v>109</v>
      </c>
      <c r="B121" s="27">
        <f>EDATE(Timing!$C$6,$A$121)</f>
        <v>49706</v>
      </c>
      <c r="C121" s="25">
        <f>YEAR($B$121)</f>
        <v>2036</v>
      </c>
      <c r="D121" s="23">
        <f>IF(AND($A$121-12*Inputs!$C$76+1&gt;=3,MOD($A$121-12*Inputs!$C$76+1,3)=0),($A$121-12*Inputs!$C$76+1)/3-1,-1)</f>
        <v>-1</v>
      </c>
      <c r="E121" s="23">
        <f>$H$120</f>
        <v>13350338.736082979</v>
      </c>
      <c r="F121" s="23">
        <f>$E$121*Inputs!$C$74/12</f>
        <v>59520.26019836994</v>
      </c>
      <c r="G121" s="23">
        <f>IF($D$121&lt;0,0,IF($D$121=Timing!$C$25-1,$E$121,MAX(0,MIN($E$121,IF(Inputs!$C$77="annuity",$C$7-$E$121*Inputs!$C$74/4,IF(Inputs!$C$77="sculpted",INDEX($F$8:$AE$8,MATCH($C$121,Timing!$F$59:$AE$59,0))/INDEX(Timing!$F$86:$AE$86,MATCH($C$121,Timing!$F$59:$AE$59,0)),$C$6/Timing!$C$25))))))</f>
        <v>0</v>
      </c>
      <c r="H121" s="23">
        <f>$E$121-$G$121</f>
        <v>13350338.736082979</v>
      </c>
    </row>
    <row r="122">
      <c r="A122" s="23">
        <f>$A$121+1</f>
        <v>110</v>
      </c>
      <c r="B122" s="27">
        <f>EDATE(Timing!$C$6,$A$122)</f>
        <v>49735</v>
      </c>
      <c r="C122" s="25">
        <f>YEAR($B$122)</f>
        <v>2036</v>
      </c>
      <c r="D122" s="23">
        <f>IF(AND($A$122-12*Inputs!$C$76+1&gt;=3,MOD($A$122-12*Inputs!$C$76+1,3)=0),($A$122-12*Inputs!$C$76+1)/3-1,-1)</f>
        <v>24</v>
      </c>
      <c r="E122" s="23">
        <f>$H$121</f>
        <v>13350338.736082979</v>
      </c>
      <c r="F122" s="23">
        <f>$E$122*Inputs!$C$74/12</f>
        <v>59520.26019836994</v>
      </c>
      <c r="G122" s="23">
        <f>IF($D$122&lt;0,0,IF($D$122=Timing!$C$25-1,$E$122,MAX(0,MIN($E$122,IF(Inputs!$C$77="annuity",$C$7-$E$122*Inputs!$C$74/4,IF(Inputs!$C$77="sculpted",INDEX($F$8:$AE$8,MATCH($C$122,Timing!$F$59:$AE$59,0))/INDEX(Timing!$F$86:$AE$86,MATCH($C$122,Timing!$F$59:$AE$59,0)),$C$6/Timing!$C$25))))))</f>
        <v>303416.7894564312</v>
      </c>
      <c r="H122" s="23">
        <f>$E$122-$G$122</f>
        <v>13046921.946626548</v>
      </c>
    </row>
    <row r="123">
      <c r="A123" s="23">
        <f>$A$122+1</f>
        <v>111</v>
      </c>
      <c r="B123" s="27">
        <f>EDATE(Timing!$C$6,$A$123)</f>
        <v>49766</v>
      </c>
      <c r="C123" s="25">
        <f>YEAR($B$123)</f>
        <v>2036</v>
      </c>
      <c r="D123" s="23">
        <f>IF(AND($A$123-12*Inputs!$C$76+1&gt;=3,MOD($A$123-12*Inputs!$C$76+1,3)=0),($A$123-12*Inputs!$C$76+1)/3-1,-1)</f>
        <v>-1</v>
      </c>
      <c r="E123" s="23">
        <f>$H$122</f>
        <v>13046921.946626548</v>
      </c>
      <c r="F123" s="23">
        <f>$E$123*Inputs!$C$74/12</f>
        <v>58167.52701204336</v>
      </c>
      <c r="G123" s="23">
        <f>IF($D$123&lt;0,0,IF($D$123=Timing!$C$25-1,$E$123,MAX(0,MIN($E$123,IF(Inputs!$C$77="annuity",$C$7-$E$123*Inputs!$C$74/4,IF(Inputs!$C$77="sculpted",INDEX($F$8:$AE$8,MATCH($C$123,Timing!$F$59:$AE$59,0))/INDEX(Timing!$F$86:$AE$86,MATCH($C$123,Timing!$F$59:$AE$59,0)),$C$6/Timing!$C$25))))))</f>
        <v>0</v>
      </c>
      <c r="H123" s="23">
        <f>$E$123-$G$123</f>
        <v>13046921.946626548</v>
      </c>
    </row>
    <row r="124">
      <c r="A124" s="23">
        <f>$A$123+1</f>
        <v>112</v>
      </c>
      <c r="B124" s="27">
        <f>EDATE(Timing!$C$6,$A$124)</f>
        <v>49796</v>
      </c>
      <c r="C124" s="25">
        <f>YEAR($B$124)</f>
        <v>2036</v>
      </c>
      <c r="D124" s="23">
        <f>IF(AND($A$124-12*Inputs!$C$76+1&gt;=3,MOD($A$124-12*Inputs!$C$76+1,3)=0),($A$124-12*Inputs!$C$76+1)/3-1,-1)</f>
        <v>-1</v>
      </c>
      <c r="E124" s="23">
        <f>$H$123</f>
        <v>13046921.946626548</v>
      </c>
      <c r="F124" s="23">
        <f>$E$124*Inputs!$C$74/12</f>
        <v>58167.52701204336</v>
      </c>
      <c r="G124" s="23">
        <f>IF($D$124&lt;0,0,IF($D$124=Timing!$C$25-1,$E$124,MAX(0,MIN($E$124,IF(Inputs!$C$77="annuity",$C$7-$E$124*Inputs!$C$74/4,IF(Inputs!$C$77="sculpted",INDEX($F$8:$AE$8,MATCH($C$124,Timing!$F$59:$AE$59,0))/INDEX(Timing!$F$86:$AE$86,MATCH($C$124,Timing!$F$59:$AE$59,0)),$C$6/Timing!$C$25))))))</f>
        <v>0</v>
      </c>
      <c r="H124" s="23">
        <f>$E$124-$G$124</f>
        <v>13046921.946626548</v>
      </c>
    </row>
    <row r="125">
      <c r="A125" s="23">
        <f>$A$124+1</f>
        <v>113</v>
      </c>
      <c r="B125" s="27">
        <f>EDATE(Timing!$C$6,$A$125)</f>
        <v>49827</v>
      </c>
      <c r="C125" s="25">
        <f>YEAR($B$125)</f>
        <v>2036</v>
      </c>
      <c r="D125" s="23">
        <f>IF(AND($A$125-12*Inputs!$C$76+1&gt;=3,MOD($A$125-12*Inputs!$C$76+1,3)=0),($A$125-12*Inputs!$C$76+1)/3-1,-1)</f>
        <v>25</v>
      </c>
      <c r="E125" s="23">
        <f>$H$124</f>
        <v>13046921.946626548</v>
      </c>
      <c r="F125" s="23">
        <f>$E$125*Inputs!$C$74/12</f>
        <v>58167.52701204336</v>
      </c>
      <c r="G125" s="23">
        <f>IF($D$125&lt;0,0,IF($D$125=Timing!$C$25-1,$E$125,MAX(0,MIN($E$125,IF(Inputs!$C$77="annuity",$C$7-$E$125*Inputs!$C$74/4,IF(Inputs!$C$77="sculpted",INDEX($F$8:$AE$8,MATCH($C$125,Timing!$F$59:$AE$59,0))/INDEX(Timing!$F$86:$AE$86,MATCH($C$125,Timing!$F$59:$AE$59,0)),$C$6/Timing!$C$25))))))</f>
        <v>303416.7894564312</v>
      </c>
      <c r="H125" s="23">
        <f>$E$125-$G$125</f>
        <v>12743505.157170117</v>
      </c>
    </row>
    <row r="126">
      <c r="A126" s="23">
        <f>$A$125+1</f>
        <v>114</v>
      </c>
      <c r="B126" s="27">
        <f>EDATE(Timing!$C$6,$A$126)</f>
        <v>49857</v>
      </c>
      <c r="C126" s="25">
        <f>YEAR($B$126)</f>
        <v>2036</v>
      </c>
      <c r="D126" s="23">
        <f>IF(AND($A$126-12*Inputs!$C$76+1&gt;=3,MOD($A$126-12*Inputs!$C$76+1,3)=0),($A$126-12*Inputs!$C$76+1)/3-1,-1)</f>
        <v>-1</v>
      </c>
      <c r="E126" s="23">
        <f>$H$125</f>
        <v>12743505.157170117</v>
      </c>
      <c r="F126" s="23">
        <f>$E$126*Inputs!$C$74/12</f>
        <v>56814.79382571677</v>
      </c>
      <c r="G126" s="23">
        <f>IF($D$126&lt;0,0,IF($D$126=Timing!$C$25-1,$E$126,MAX(0,MIN($E$126,IF(Inputs!$C$77="annuity",$C$7-$E$126*Inputs!$C$74/4,IF(Inputs!$C$77="sculpted",INDEX($F$8:$AE$8,MATCH($C$126,Timing!$F$59:$AE$59,0))/INDEX(Timing!$F$86:$AE$86,MATCH($C$126,Timing!$F$59:$AE$59,0)),$C$6/Timing!$C$25))))))</f>
        <v>0</v>
      </c>
      <c r="H126" s="23">
        <f>$E$126-$G$126</f>
        <v>12743505.157170117</v>
      </c>
    </row>
    <row r="127">
      <c r="A127" s="23">
        <f>$A$126+1</f>
        <v>115</v>
      </c>
      <c r="B127" s="27">
        <f>EDATE(Timing!$C$6,$A$127)</f>
        <v>49888</v>
      </c>
      <c r="C127" s="25">
        <f>YEAR($B$127)</f>
        <v>2036</v>
      </c>
      <c r="D127" s="23">
        <f>IF(AND($A$127-12*Inputs!$C$76+1&gt;=3,MOD($A$127-12*Inputs!$C$76+1,3)=0),($A$127-12*Inputs!$C$76+1)/3-1,-1)</f>
        <v>-1</v>
      </c>
      <c r="E127" s="23">
        <f>$H$126</f>
        <v>12743505.157170117</v>
      </c>
      <c r="F127" s="23">
        <f>$E$127*Inputs!$C$74/12</f>
        <v>56814.79382571677</v>
      </c>
      <c r="G127" s="23">
        <f>IF($D$127&lt;0,0,IF($D$127=Timing!$C$25-1,$E$127,MAX(0,MIN($E$127,IF(Inputs!$C$77="annuity",$C$7-$E$127*Inputs!$C$74/4,IF(Inputs!$C$77="sculpted",INDEX($F$8:$AE$8,MATCH($C$127,Timing!$F$59:$AE$59,0))/INDEX(Timing!$F$86:$AE$86,MATCH($C$127,Timing!$F$59:$AE$59,0)),$C$6/Timing!$C$25))))))</f>
        <v>0</v>
      </c>
      <c r="H127" s="23">
        <f>$E$127-$G$127</f>
        <v>12743505.157170117</v>
      </c>
    </row>
    <row r="128">
      <c r="A128" s="23">
        <f>$A$127+1</f>
        <v>116</v>
      </c>
      <c r="B128" s="27">
        <f>EDATE(Timing!$C$6,$A$128)</f>
        <v>49919</v>
      </c>
      <c r="C128" s="25">
        <f>YEAR($B$128)</f>
        <v>2036</v>
      </c>
      <c r="D128" s="23">
        <f>IF(AND($A$128-12*Inputs!$C$76+1&gt;=3,MOD($A$128-12*Inputs!$C$76+1,3)=0),($A$128-12*Inputs!$C$76+1)/3-1,-1)</f>
        <v>26</v>
      </c>
      <c r="E128" s="23">
        <f>$H$127</f>
        <v>12743505.157170117</v>
      </c>
      <c r="F128" s="23">
        <f>$E$128*Inputs!$C$74/12</f>
        <v>56814.79382571677</v>
      </c>
      <c r="G128" s="23">
        <f>IF($D$128&lt;0,0,IF($D$128=Timing!$C$25-1,$E$128,MAX(0,MIN($E$128,IF(Inputs!$C$77="annuity",$C$7-$E$128*Inputs!$C$74/4,IF(Inputs!$C$77="sculpted",INDEX($F$8:$AE$8,MATCH($C$128,Timing!$F$59:$AE$59,0))/INDEX(Timing!$F$86:$AE$86,MATCH($C$128,Timing!$F$59:$AE$59,0)),$C$6/Timing!$C$25))))))</f>
        <v>303416.7894564312</v>
      </c>
      <c r="H128" s="23">
        <f>$E$128-$G$128</f>
        <v>12440088.367713686</v>
      </c>
    </row>
    <row r="129">
      <c r="A129" s="23">
        <f>$A$128+1</f>
        <v>117</v>
      </c>
      <c r="B129" s="27">
        <f>EDATE(Timing!$C$6,$A$129)</f>
        <v>49949</v>
      </c>
      <c r="C129" s="25">
        <f>YEAR($B$129)</f>
        <v>2036</v>
      </c>
      <c r="D129" s="23">
        <f>IF(AND($A$129-12*Inputs!$C$76+1&gt;=3,MOD($A$129-12*Inputs!$C$76+1,3)=0),($A$129-12*Inputs!$C$76+1)/3-1,-1)</f>
        <v>-1</v>
      </c>
      <c r="E129" s="23">
        <f>$H$128</f>
        <v>12440088.367713686</v>
      </c>
      <c r="F129" s="23">
        <f>$E$129*Inputs!$C$74/12</f>
        <v>55462.060639390176</v>
      </c>
      <c r="G129" s="23">
        <f>IF($D$129&lt;0,0,IF($D$129=Timing!$C$25-1,$E$129,MAX(0,MIN($E$129,IF(Inputs!$C$77="annuity",$C$7-$E$129*Inputs!$C$74/4,IF(Inputs!$C$77="sculpted",INDEX($F$8:$AE$8,MATCH($C$129,Timing!$F$59:$AE$59,0))/INDEX(Timing!$F$86:$AE$86,MATCH($C$129,Timing!$F$59:$AE$59,0)),$C$6/Timing!$C$25))))))</f>
        <v>0</v>
      </c>
      <c r="H129" s="23">
        <f>$E$129-$G$129</f>
        <v>12440088.367713686</v>
      </c>
    </row>
    <row r="130">
      <c r="A130" s="23">
        <f>$A$129+1</f>
        <v>118</v>
      </c>
      <c r="B130" s="27">
        <f>EDATE(Timing!$C$6,$A$130)</f>
        <v>49980</v>
      </c>
      <c r="C130" s="25">
        <f>YEAR($B$130)</f>
        <v>2036</v>
      </c>
      <c r="D130" s="23">
        <f>IF(AND($A$130-12*Inputs!$C$76+1&gt;=3,MOD($A$130-12*Inputs!$C$76+1,3)=0),($A$130-12*Inputs!$C$76+1)/3-1,-1)</f>
        <v>-1</v>
      </c>
      <c r="E130" s="23">
        <f>$H$129</f>
        <v>12440088.367713686</v>
      </c>
      <c r="F130" s="23">
        <f>$E$130*Inputs!$C$74/12</f>
        <v>55462.060639390176</v>
      </c>
      <c r="G130" s="23">
        <f>IF($D$130&lt;0,0,IF($D$130=Timing!$C$25-1,$E$130,MAX(0,MIN($E$130,IF(Inputs!$C$77="annuity",$C$7-$E$130*Inputs!$C$74/4,IF(Inputs!$C$77="sculpted",INDEX($F$8:$AE$8,MATCH($C$130,Timing!$F$59:$AE$59,0))/INDEX(Timing!$F$86:$AE$86,MATCH($C$130,Timing!$F$59:$AE$59,0)),$C$6/Timing!$C$25))))))</f>
        <v>0</v>
      </c>
      <c r="H130" s="23">
        <f>$E$130-$G$130</f>
        <v>12440088.367713686</v>
      </c>
    </row>
    <row r="131">
      <c r="A131" s="23">
        <f>$A$130+1</f>
        <v>119</v>
      </c>
      <c r="B131" s="27">
        <f>EDATE(Timing!$C$6,$A$131)</f>
        <v>50010</v>
      </c>
      <c r="C131" s="25">
        <f>YEAR($B$131)</f>
        <v>2036</v>
      </c>
      <c r="D131" s="23">
        <f>IF(AND($A$131-12*Inputs!$C$76+1&gt;=3,MOD($A$131-12*Inputs!$C$76+1,3)=0),($A$131-12*Inputs!$C$76+1)/3-1,-1)</f>
        <v>27</v>
      </c>
      <c r="E131" s="23">
        <f>$H$130</f>
        <v>12440088.367713686</v>
      </c>
      <c r="F131" s="23">
        <f>$E$131*Inputs!$C$74/12</f>
        <v>55462.060639390176</v>
      </c>
      <c r="G131" s="23">
        <f>IF($D$131&lt;0,0,IF($D$131=Timing!$C$25-1,$E$131,MAX(0,MIN($E$131,IF(Inputs!$C$77="annuity",$C$7-$E$131*Inputs!$C$74/4,IF(Inputs!$C$77="sculpted",INDEX($F$8:$AE$8,MATCH($C$131,Timing!$F$59:$AE$59,0))/INDEX(Timing!$F$86:$AE$86,MATCH($C$131,Timing!$F$59:$AE$59,0)),$C$6/Timing!$C$25))))))</f>
        <v>303416.7894564312</v>
      </c>
      <c r="H131" s="23">
        <f>$E$131-$G$131</f>
        <v>12136671.578257255</v>
      </c>
    </row>
    <row r="132">
      <c r="A132" s="23">
        <f>$A$131+1</f>
        <v>120</v>
      </c>
      <c r="B132" s="27">
        <f>EDATE(Timing!$C$6,$A$132)</f>
        <v>50041</v>
      </c>
      <c r="C132" s="25">
        <f>YEAR($B$132)</f>
        <v>2037</v>
      </c>
      <c r="D132" s="23">
        <f>IF(AND($A$132-12*Inputs!$C$76+1&gt;=3,MOD($A$132-12*Inputs!$C$76+1,3)=0),($A$132-12*Inputs!$C$76+1)/3-1,-1)</f>
        <v>-1</v>
      </c>
      <c r="E132" s="23">
        <f>$H$131</f>
        <v>12136671.578257255</v>
      </c>
      <c r="F132" s="23">
        <f>$E$132*Inputs!$C$74/12</f>
        <v>54109.3274530636</v>
      </c>
      <c r="G132" s="23">
        <f>IF($D$132&lt;0,0,IF($D$132=Timing!$C$25-1,$E$132,MAX(0,MIN($E$132,IF(Inputs!$C$77="annuity",$C$7-$E$132*Inputs!$C$74/4,IF(Inputs!$C$77="sculpted",INDEX($F$8:$AE$8,MATCH($C$132,Timing!$F$59:$AE$59,0))/INDEX(Timing!$F$86:$AE$86,MATCH($C$132,Timing!$F$59:$AE$59,0)),$C$6/Timing!$C$25))))))</f>
        <v>0</v>
      </c>
      <c r="H132" s="23">
        <f>$E$132-$G$132</f>
        <v>12136671.578257255</v>
      </c>
    </row>
    <row r="133">
      <c r="A133" s="23">
        <f>$A$132+1</f>
        <v>121</v>
      </c>
      <c r="B133" s="27">
        <f>EDATE(Timing!$C$6,$A$133)</f>
        <v>50072</v>
      </c>
      <c r="C133" s="25">
        <f>YEAR($B$133)</f>
        <v>2037</v>
      </c>
      <c r="D133" s="23">
        <f>IF(AND($A$133-12*Inputs!$C$76+1&gt;=3,MOD($A$133-12*Inputs!$C$76+1,3)=0),($A$133-12*Inputs!$C$76+1)/3-1,-1)</f>
        <v>-1</v>
      </c>
      <c r="E133" s="23">
        <f>$H$132</f>
        <v>12136671.578257255</v>
      </c>
      <c r="F133" s="23">
        <f>$E$133*Inputs!$C$74/12</f>
        <v>54109.3274530636</v>
      </c>
      <c r="G133" s="23">
        <f>IF($D$133&lt;0,0,IF($D$133=Timing!$C$25-1,$E$133,MAX(0,MIN($E$133,IF(Inputs!$C$77="annuity",$C$7-$E$133*Inputs!$C$74/4,IF(Inputs!$C$77="sculpted",INDEX($F$8:$AE$8,MATCH($C$133,Timing!$F$59:$AE$59,0))/INDEX(Timing!$F$86:$AE$86,MATCH($C$133,Timing!$F$59:$AE$59,0)),$C$6/Timing!$C$25))))))</f>
        <v>0</v>
      </c>
      <c r="H133" s="23">
        <f>$E$133-$G$133</f>
        <v>12136671.578257255</v>
      </c>
    </row>
    <row r="134">
      <c r="A134" s="23">
        <f>$A$133+1</f>
        <v>122</v>
      </c>
      <c r="B134" s="27">
        <f>EDATE(Timing!$C$6,$A$134)</f>
        <v>50100</v>
      </c>
      <c r="C134" s="25">
        <f>YEAR($B$134)</f>
        <v>2037</v>
      </c>
      <c r="D134" s="23">
        <f>IF(AND($A$134-12*Inputs!$C$76+1&gt;=3,MOD($A$134-12*Inputs!$C$76+1,3)=0),($A$134-12*Inputs!$C$76+1)/3-1,-1)</f>
        <v>28</v>
      </c>
      <c r="E134" s="23">
        <f>$H$133</f>
        <v>12136671.578257255</v>
      </c>
      <c r="F134" s="23">
        <f>$E$134*Inputs!$C$74/12</f>
        <v>54109.3274530636</v>
      </c>
      <c r="G134" s="23">
        <f>IF($D$134&lt;0,0,IF($D$134=Timing!$C$25-1,$E$134,MAX(0,MIN($E$134,IF(Inputs!$C$77="annuity",$C$7-$E$134*Inputs!$C$74/4,IF(Inputs!$C$77="sculpted",INDEX($F$8:$AE$8,MATCH($C$134,Timing!$F$59:$AE$59,0))/INDEX(Timing!$F$86:$AE$86,MATCH($C$134,Timing!$F$59:$AE$59,0)),$C$6/Timing!$C$25))))))</f>
        <v>303416.7894564312</v>
      </c>
      <c r="H134" s="23">
        <f>$E$134-$G$134</f>
        <v>11833254.788800824</v>
      </c>
    </row>
    <row r="135">
      <c r="A135" s="23">
        <f>$A$134+1</f>
        <v>123</v>
      </c>
      <c r="B135" s="27">
        <f>EDATE(Timing!$C$6,$A$135)</f>
        <v>50131</v>
      </c>
      <c r="C135" s="25">
        <f>YEAR($B$135)</f>
        <v>2037</v>
      </c>
      <c r="D135" s="23">
        <f>IF(AND($A$135-12*Inputs!$C$76+1&gt;=3,MOD($A$135-12*Inputs!$C$76+1,3)=0),($A$135-12*Inputs!$C$76+1)/3-1,-1)</f>
        <v>-1</v>
      </c>
      <c r="E135" s="23">
        <f>$H$134</f>
        <v>11833254.788800824</v>
      </c>
      <c r="F135" s="23">
        <f>$E$135*Inputs!$C$74/12</f>
        <v>52756.594266737</v>
      </c>
      <c r="G135" s="23">
        <f>IF($D$135&lt;0,0,IF($D$135=Timing!$C$25-1,$E$135,MAX(0,MIN($E$135,IF(Inputs!$C$77="annuity",$C$7-$E$135*Inputs!$C$74/4,IF(Inputs!$C$77="sculpted",INDEX($F$8:$AE$8,MATCH($C$135,Timing!$F$59:$AE$59,0))/INDEX(Timing!$F$86:$AE$86,MATCH($C$135,Timing!$F$59:$AE$59,0)),$C$6/Timing!$C$25))))))</f>
        <v>0</v>
      </c>
      <c r="H135" s="23">
        <f>$E$135-$G$135</f>
        <v>11833254.788800824</v>
      </c>
    </row>
    <row r="136">
      <c r="A136" s="23">
        <f>$A$135+1</f>
        <v>124</v>
      </c>
      <c r="B136" s="27">
        <f>EDATE(Timing!$C$6,$A$136)</f>
        <v>50161</v>
      </c>
      <c r="C136" s="25">
        <f>YEAR($B$136)</f>
        <v>2037</v>
      </c>
      <c r="D136" s="23">
        <f>IF(AND($A$136-12*Inputs!$C$76+1&gt;=3,MOD($A$136-12*Inputs!$C$76+1,3)=0),($A$136-12*Inputs!$C$76+1)/3-1,-1)</f>
        <v>-1</v>
      </c>
      <c r="E136" s="23">
        <f>$H$135</f>
        <v>11833254.788800824</v>
      </c>
      <c r="F136" s="23">
        <f>$E$136*Inputs!$C$74/12</f>
        <v>52756.594266737</v>
      </c>
      <c r="G136" s="23">
        <f>IF($D$136&lt;0,0,IF($D$136=Timing!$C$25-1,$E$136,MAX(0,MIN($E$136,IF(Inputs!$C$77="annuity",$C$7-$E$136*Inputs!$C$74/4,IF(Inputs!$C$77="sculpted",INDEX($F$8:$AE$8,MATCH($C$136,Timing!$F$59:$AE$59,0))/INDEX(Timing!$F$86:$AE$86,MATCH($C$136,Timing!$F$59:$AE$59,0)),$C$6/Timing!$C$25))))))</f>
        <v>0</v>
      </c>
      <c r="H136" s="23">
        <f>$E$136-$G$136</f>
        <v>11833254.788800824</v>
      </c>
    </row>
    <row r="137">
      <c r="A137" s="23">
        <f>$A$136+1</f>
        <v>125</v>
      </c>
      <c r="B137" s="27">
        <f>EDATE(Timing!$C$6,$A$137)</f>
        <v>50192</v>
      </c>
      <c r="C137" s="25">
        <f>YEAR($B$137)</f>
        <v>2037</v>
      </c>
      <c r="D137" s="23">
        <f>IF(AND($A$137-12*Inputs!$C$76+1&gt;=3,MOD($A$137-12*Inputs!$C$76+1,3)=0),($A$137-12*Inputs!$C$76+1)/3-1,-1)</f>
        <v>29</v>
      </c>
      <c r="E137" s="23">
        <f>$H$136</f>
        <v>11833254.788800824</v>
      </c>
      <c r="F137" s="23">
        <f>$E$137*Inputs!$C$74/12</f>
        <v>52756.594266737</v>
      </c>
      <c r="G137" s="23">
        <f>IF($D$137&lt;0,0,IF($D$137=Timing!$C$25-1,$E$137,MAX(0,MIN($E$137,IF(Inputs!$C$77="annuity",$C$7-$E$137*Inputs!$C$74/4,IF(Inputs!$C$77="sculpted",INDEX($F$8:$AE$8,MATCH($C$137,Timing!$F$59:$AE$59,0))/INDEX(Timing!$F$86:$AE$86,MATCH($C$137,Timing!$F$59:$AE$59,0)),$C$6/Timing!$C$25))))))</f>
        <v>303416.7894564312</v>
      </c>
      <c r="H137" s="23">
        <f>$E$137-$G$137</f>
        <v>11529837.999344394</v>
      </c>
    </row>
    <row r="138">
      <c r="A138" s="23">
        <f>$A$137+1</f>
        <v>126</v>
      </c>
      <c r="B138" s="27">
        <f>EDATE(Timing!$C$6,$A$138)</f>
        <v>50222</v>
      </c>
      <c r="C138" s="25">
        <f>YEAR($B$138)</f>
        <v>2037</v>
      </c>
      <c r="D138" s="23">
        <f>IF(AND($A$138-12*Inputs!$C$76+1&gt;=3,MOD($A$138-12*Inputs!$C$76+1,3)=0),($A$138-12*Inputs!$C$76+1)/3-1,-1)</f>
        <v>-1</v>
      </c>
      <c r="E138" s="23">
        <f>$H$137</f>
        <v>11529837.999344394</v>
      </c>
      <c r="F138" s="23">
        <f>$E$138*Inputs!$C$74/12</f>
        <v>51403.861080410425</v>
      </c>
      <c r="G138" s="23">
        <f>IF($D$138&lt;0,0,IF($D$138=Timing!$C$25-1,$E$138,MAX(0,MIN($E$138,IF(Inputs!$C$77="annuity",$C$7-$E$138*Inputs!$C$74/4,IF(Inputs!$C$77="sculpted",INDEX($F$8:$AE$8,MATCH($C$138,Timing!$F$59:$AE$59,0))/INDEX(Timing!$F$86:$AE$86,MATCH($C$138,Timing!$F$59:$AE$59,0)),$C$6/Timing!$C$25))))))</f>
        <v>0</v>
      </c>
      <c r="H138" s="23">
        <f>$E$138-$G$138</f>
        <v>11529837.999344394</v>
      </c>
    </row>
    <row r="139">
      <c r="A139" s="23">
        <f>$A$138+1</f>
        <v>127</v>
      </c>
      <c r="B139" s="27">
        <f>EDATE(Timing!$C$6,$A$139)</f>
        <v>50253</v>
      </c>
      <c r="C139" s="25">
        <f>YEAR($B$139)</f>
        <v>2037</v>
      </c>
      <c r="D139" s="23">
        <f>IF(AND($A$139-12*Inputs!$C$76+1&gt;=3,MOD($A$139-12*Inputs!$C$76+1,3)=0),($A$139-12*Inputs!$C$76+1)/3-1,-1)</f>
        <v>-1</v>
      </c>
      <c r="E139" s="23">
        <f>$H$138</f>
        <v>11529837.999344394</v>
      </c>
      <c r="F139" s="23">
        <f>$E$139*Inputs!$C$74/12</f>
        <v>51403.861080410425</v>
      </c>
      <c r="G139" s="23">
        <f>IF($D$139&lt;0,0,IF($D$139=Timing!$C$25-1,$E$139,MAX(0,MIN($E$139,IF(Inputs!$C$77="annuity",$C$7-$E$139*Inputs!$C$74/4,IF(Inputs!$C$77="sculpted",INDEX($F$8:$AE$8,MATCH($C$139,Timing!$F$59:$AE$59,0))/INDEX(Timing!$F$86:$AE$86,MATCH($C$139,Timing!$F$59:$AE$59,0)),$C$6/Timing!$C$25))))))</f>
        <v>0</v>
      </c>
      <c r="H139" s="23">
        <f>$E$139-$G$139</f>
        <v>11529837.999344394</v>
      </c>
    </row>
    <row r="140">
      <c r="A140" s="23">
        <f>$A$139+1</f>
        <v>128</v>
      </c>
      <c r="B140" s="27">
        <f>EDATE(Timing!$C$6,$A$140)</f>
        <v>50284</v>
      </c>
      <c r="C140" s="25">
        <f>YEAR($B$140)</f>
        <v>2037</v>
      </c>
      <c r="D140" s="23">
        <f>IF(AND($A$140-12*Inputs!$C$76+1&gt;=3,MOD($A$140-12*Inputs!$C$76+1,3)=0),($A$140-12*Inputs!$C$76+1)/3-1,-1)</f>
        <v>30</v>
      </c>
      <c r="E140" s="23">
        <f>$H$139</f>
        <v>11529837.999344394</v>
      </c>
      <c r="F140" s="23">
        <f>$E$140*Inputs!$C$74/12</f>
        <v>51403.861080410425</v>
      </c>
      <c r="G140" s="23">
        <f>IF($D$140&lt;0,0,IF($D$140=Timing!$C$25-1,$E$140,MAX(0,MIN($E$140,IF(Inputs!$C$77="annuity",$C$7-$E$140*Inputs!$C$74/4,IF(Inputs!$C$77="sculpted",INDEX($F$8:$AE$8,MATCH($C$140,Timing!$F$59:$AE$59,0))/INDEX(Timing!$F$86:$AE$86,MATCH($C$140,Timing!$F$59:$AE$59,0)),$C$6/Timing!$C$25))))))</f>
        <v>303416.7894564312</v>
      </c>
      <c r="H140" s="23">
        <f>$E$140-$G$140</f>
        <v>11226421.209887963</v>
      </c>
    </row>
    <row r="141">
      <c r="A141" s="23">
        <f>$A$140+1</f>
        <v>129</v>
      </c>
      <c r="B141" s="27">
        <f>EDATE(Timing!$C$6,$A$141)</f>
        <v>50314</v>
      </c>
      <c r="C141" s="25">
        <f>YEAR($B$141)</f>
        <v>2037</v>
      </c>
      <c r="D141" s="23">
        <f>IF(AND($A$141-12*Inputs!$C$76+1&gt;=3,MOD($A$141-12*Inputs!$C$76+1,3)=0),($A$141-12*Inputs!$C$76+1)/3-1,-1)</f>
        <v>-1</v>
      </c>
      <c r="E141" s="23">
        <f>$H$140</f>
        <v>11226421.209887963</v>
      </c>
      <c r="F141" s="23">
        <f>$E$141*Inputs!$C$74/12</f>
        <v>50051.12789408383</v>
      </c>
      <c r="G141" s="23">
        <f>IF($D$141&lt;0,0,IF($D$141=Timing!$C$25-1,$E$141,MAX(0,MIN($E$141,IF(Inputs!$C$77="annuity",$C$7-$E$141*Inputs!$C$74/4,IF(Inputs!$C$77="sculpted",INDEX($F$8:$AE$8,MATCH($C$141,Timing!$F$59:$AE$59,0))/INDEX(Timing!$F$86:$AE$86,MATCH($C$141,Timing!$F$59:$AE$59,0)),$C$6/Timing!$C$25))))))</f>
        <v>0</v>
      </c>
      <c r="H141" s="23">
        <f>$E$141-$G$141</f>
        <v>11226421.209887963</v>
      </c>
    </row>
    <row r="142">
      <c r="A142" s="23">
        <f>$A$141+1</f>
        <v>130</v>
      </c>
      <c r="B142" s="27">
        <f>EDATE(Timing!$C$6,$A$142)</f>
        <v>50345</v>
      </c>
      <c r="C142" s="25">
        <f>YEAR($B$142)</f>
        <v>2037</v>
      </c>
      <c r="D142" s="23">
        <f>IF(AND($A$142-12*Inputs!$C$76+1&gt;=3,MOD($A$142-12*Inputs!$C$76+1,3)=0),($A$142-12*Inputs!$C$76+1)/3-1,-1)</f>
        <v>-1</v>
      </c>
      <c r="E142" s="23">
        <f>$H$141</f>
        <v>11226421.209887963</v>
      </c>
      <c r="F142" s="23">
        <f>$E$142*Inputs!$C$74/12</f>
        <v>50051.12789408383</v>
      </c>
      <c r="G142" s="23">
        <f>IF($D$142&lt;0,0,IF($D$142=Timing!$C$25-1,$E$142,MAX(0,MIN($E$142,IF(Inputs!$C$77="annuity",$C$7-$E$142*Inputs!$C$74/4,IF(Inputs!$C$77="sculpted",INDEX($F$8:$AE$8,MATCH($C$142,Timing!$F$59:$AE$59,0))/INDEX(Timing!$F$86:$AE$86,MATCH($C$142,Timing!$F$59:$AE$59,0)),$C$6/Timing!$C$25))))))</f>
        <v>0</v>
      </c>
      <c r="H142" s="23">
        <f>$E$142-$G$142</f>
        <v>11226421.209887963</v>
      </c>
    </row>
    <row r="143">
      <c r="A143" s="23">
        <f>$A$142+1</f>
        <v>131</v>
      </c>
      <c r="B143" s="27">
        <f>EDATE(Timing!$C$6,$A$143)</f>
        <v>50375</v>
      </c>
      <c r="C143" s="25">
        <f>YEAR($B$143)</f>
        <v>2037</v>
      </c>
      <c r="D143" s="23">
        <f>IF(AND($A$143-12*Inputs!$C$76+1&gt;=3,MOD($A$143-12*Inputs!$C$76+1,3)=0),($A$143-12*Inputs!$C$76+1)/3-1,-1)</f>
        <v>31</v>
      </c>
      <c r="E143" s="23">
        <f>$H$142</f>
        <v>11226421.209887963</v>
      </c>
      <c r="F143" s="23">
        <f>$E$143*Inputs!$C$74/12</f>
        <v>50051.12789408383</v>
      </c>
      <c r="G143" s="23">
        <f>IF($D$143&lt;0,0,IF($D$143=Timing!$C$25-1,$E$143,MAX(0,MIN($E$143,IF(Inputs!$C$77="annuity",$C$7-$E$143*Inputs!$C$74/4,IF(Inputs!$C$77="sculpted",INDEX($F$8:$AE$8,MATCH($C$143,Timing!$F$59:$AE$59,0))/INDEX(Timing!$F$86:$AE$86,MATCH($C$143,Timing!$F$59:$AE$59,0)),$C$6/Timing!$C$25))))))</f>
        <v>303416.7894564312</v>
      </c>
      <c r="H143" s="23">
        <f>$E$143-$G$143</f>
        <v>10923004.420431532</v>
      </c>
    </row>
    <row r="144">
      <c r="A144" s="23">
        <f>$A$143+1</f>
        <v>132</v>
      </c>
      <c r="B144" s="27">
        <f>EDATE(Timing!$C$6,$A$144)</f>
        <v>50406</v>
      </c>
      <c r="C144" s="25">
        <f>YEAR($B$144)</f>
        <v>2038</v>
      </c>
      <c r="D144" s="23">
        <f>IF(AND($A$144-12*Inputs!$C$76+1&gt;=3,MOD($A$144-12*Inputs!$C$76+1,3)=0),($A$144-12*Inputs!$C$76+1)/3-1,-1)</f>
        <v>-1</v>
      </c>
      <c r="E144" s="23">
        <f>$H$143</f>
        <v>10923004.420431532</v>
      </c>
      <c r="F144" s="23">
        <f>$E$144*Inputs!$C$74/12</f>
        <v>48698.394707757245</v>
      </c>
      <c r="G144" s="23">
        <f>IF($D$144&lt;0,0,IF($D$144=Timing!$C$25-1,$E$144,MAX(0,MIN($E$144,IF(Inputs!$C$77="annuity",$C$7-$E$144*Inputs!$C$74/4,IF(Inputs!$C$77="sculpted",INDEX($F$8:$AE$8,MATCH($C$144,Timing!$F$59:$AE$59,0))/INDEX(Timing!$F$86:$AE$86,MATCH($C$144,Timing!$F$59:$AE$59,0)),$C$6/Timing!$C$25))))))</f>
        <v>0</v>
      </c>
      <c r="H144" s="23">
        <f>$E$144-$G$144</f>
        <v>10923004.420431532</v>
      </c>
    </row>
    <row r="145">
      <c r="A145" s="23">
        <f>$A$144+1</f>
        <v>133</v>
      </c>
      <c r="B145" s="27">
        <f>EDATE(Timing!$C$6,$A$145)</f>
        <v>50437</v>
      </c>
      <c r="C145" s="25">
        <f>YEAR($B$145)</f>
        <v>2038</v>
      </c>
      <c r="D145" s="23">
        <f>IF(AND($A$145-12*Inputs!$C$76+1&gt;=3,MOD($A$145-12*Inputs!$C$76+1,3)=0),($A$145-12*Inputs!$C$76+1)/3-1,-1)</f>
        <v>-1</v>
      </c>
      <c r="E145" s="23">
        <f>$H$144</f>
        <v>10923004.420431532</v>
      </c>
      <c r="F145" s="23">
        <f>$E$145*Inputs!$C$74/12</f>
        <v>48698.394707757245</v>
      </c>
      <c r="G145" s="23">
        <f>IF($D$145&lt;0,0,IF($D$145=Timing!$C$25-1,$E$145,MAX(0,MIN($E$145,IF(Inputs!$C$77="annuity",$C$7-$E$145*Inputs!$C$74/4,IF(Inputs!$C$77="sculpted",INDEX($F$8:$AE$8,MATCH($C$145,Timing!$F$59:$AE$59,0))/INDEX(Timing!$F$86:$AE$86,MATCH($C$145,Timing!$F$59:$AE$59,0)),$C$6/Timing!$C$25))))))</f>
        <v>0</v>
      </c>
      <c r="H145" s="23">
        <f>$E$145-$G$145</f>
        <v>10923004.420431532</v>
      </c>
    </row>
    <row r="146">
      <c r="A146" s="23">
        <f>$A$145+1</f>
        <v>134</v>
      </c>
      <c r="B146" s="27">
        <f>EDATE(Timing!$C$6,$A$146)</f>
        <v>50465</v>
      </c>
      <c r="C146" s="25">
        <f>YEAR($B$146)</f>
        <v>2038</v>
      </c>
      <c r="D146" s="23">
        <f>IF(AND($A$146-12*Inputs!$C$76+1&gt;=3,MOD($A$146-12*Inputs!$C$76+1,3)=0),($A$146-12*Inputs!$C$76+1)/3-1,-1)</f>
        <v>32</v>
      </c>
      <c r="E146" s="23">
        <f>$H$145</f>
        <v>10923004.420431532</v>
      </c>
      <c r="F146" s="23">
        <f>$E$146*Inputs!$C$74/12</f>
        <v>48698.394707757245</v>
      </c>
      <c r="G146" s="23">
        <f>IF($D$146&lt;0,0,IF($D$146=Timing!$C$25-1,$E$146,MAX(0,MIN($E$146,IF(Inputs!$C$77="annuity",$C$7-$E$146*Inputs!$C$74/4,IF(Inputs!$C$77="sculpted",INDEX($F$8:$AE$8,MATCH($C$146,Timing!$F$59:$AE$59,0))/INDEX(Timing!$F$86:$AE$86,MATCH($C$146,Timing!$F$59:$AE$59,0)),$C$6/Timing!$C$25))))))</f>
        <v>303416.7894564312</v>
      </c>
      <c r="H146" s="23">
        <f>$E$146-$G$146</f>
        <v>10619587.630975101</v>
      </c>
    </row>
    <row r="147">
      <c r="A147" s="23">
        <f>$A$146+1</f>
        <v>135</v>
      </c>
      <c r="B147" s="27">
        <f>EDATE(Timing!$C$6,$A$147)</f>
        <v>50496</v>
      </c>
      <c r="C147" s="25">
        <f>YEAR($B$147)</f>
        <v>2038</v>
      </c>
      <c r="D147" s="23">
        <f>IF(AND($A$147-12*Inputs!$C$76+1&gt;=3,MOD($A$147-12*Inputs!$C$76+1,3)=0),($A$147-12*Inputs!$C$76+1)/3-1,-1)</f>
        <v>-1</v>
      </c>
      <c r="E147" s="23">
        <f>$H$146</f>
        <v>10619587.630975101</v>
      </c>
      <c r="F147" s="23">
        <f>$E$147*Inputs!$C$74/12</f>
        <v>47345.66152143066</v>
      </c>
      <c r="G147" s="23">
        <f>IF($D$147&lt;0,0,IF($D$147=Timing!$C$25-1,$E$147,MAX(0,MIN($E$147,IF(Inputs!$C$77="annuity",$C$7-$E$147*Inputs!$C$74/4,IF(Inputs!$C$77="sculpted",INDEX($F$8:$AE$8,MATCH($C$147,Timing!$F$59:$AE$59,0))/INDEX(Timing!$F$86:$AE$86,MATCH($C$147,Timing!$F$59:$AE$59,0)),$C$6/Timing!$C$25))))))</f>
        <v>0</v>
      </c>
      <c r="H147" s="23">
        <f>$E$147-$G$147</f>
        <v>10619587.630975101</v>
      </c>
    </row>
    <row r="148">
      <c r="A148" s="23">
        <f>$A$147+1</f>
        <v>136</v>
      </c>
      <c r="B148" s="27">
        <f>EDATE(Timing!$C$6,$A$148)</f>
        <v>50526</v>
      </c>
      <c r="C148" s="25">
        <f>YEAR($B$148)</f>
        <v>2038</v>
      </c>
      <c r="D148" s="23">
        <f>IF(AND($A$148-12*Inputs!$C$76+1&gt;=3,MOD($A$148-12*Inputs!$C$76+1,3)=0),($A$148-12*Inputs!$C$76+1)/3-1,-1)</f>
        <v>-1</v>
      </c>
      <c r="E148" s="23">
        <f>$H$147</f>
        <v>10619587.630975101</v>
      </c>
      <c r="F148" s="23">
        <f>$E$148*Inputs!$C$74/12</f>
        <v>47345.66152143066</v>
      </c>
      <c r="G148" s="23">
        <f>IF($D$148&lt;0,0,IF($D$148=Timing!$C$25-1,$E$148,MAX(0,MIN($E$148,IF(Inputs!$C$77="annuity",$C$7-$E$148*Inputs!$C$74/4,IF(Inputs!$C$77="sculpted",INDEX($F$8:$AE$8,MATCH($C$148,Timing!$F$59:$AE$59,0))/INDEX(Timing!$F$86:$AE$86,MATCH($C$148,Timing!$F$59:$AE$59,0)),$C$6/Timing!$C$25))))))</f>
        <v>0</v>
      </c>
      <c r="H148" s="23">
        <f>$E$148-$G$148</f>
        <v>10619587.630975101</v>
      </c>
    </row>
    <row r="149">
      <c r="A149" s="23">
        <f>$A$148+1</f>
        <v>137</v>
      </c>
      <c r="B149" s="27">
        <f>EDATE(Timing!$C$6,$A$149)</f>
        <v>50557</v>
      </c>
      <c r="C149" s="25">
        <f>YEAR($B$149)</f>
        <v>2038</v>
      </c>
      <c r="D149" s="23">
        <f>IF(AND($A$149-12*Inputs!$C$76+1&gt;=3,MOD($A$149-12*Inputs!$C$76+1,3)=0),($A$149-12*Inputs!$C$76+1)/3-1,-1)</f>
        <v>33</v>
      </c>
      <c r="E149" s="23">
        <f>$H$148</f>
        <v>10619587.630975101</v>
      </c>
      <c r="F149" s="23">
        <f>$E$149*Inputs!$C$74/12</f>
        <v>47345.66152143066</v>
      </c>
      <c r="G149" s="23">
        <f>IF($D$149&lt;0,0,IF($D$149=Timing!$C$25-1,$E$149,MAX(0,MIN($E$149,IF(Inputs!$C$77="annuity",$C$7-$E$149*Inputs!$C$74/4,IF(Inputs!$C$77="sculpted",INDEX($F$8:$AE$8,MATCH($C$149,Timing!$F$59:$AE$59,0))/INDEX(Timing!$F$86:$AE$86,MATCH($C$149,Timing!$F$59:$AE$59,0)),$C$6/Timing!$C$25))))))</f>
        <v>303416.7894564312</v>
      </c>
      <c r="H149" s="23">
        <f>$E$149-$G$149</f>
        <v>10316170.84151867</v>
      </c>
    </row>
    <row r="150">
      <c r="A150" s="23">
        <f>$A$149+1</f>
        <v>138</v>
      </c>
      <c r="B150" s="27">
        <f>EDATE(Timing!$C$6,$A$150)</f>
        <v>50587</v>
      </c>
      <c r="C150" s="25">
        <f>YEAR($B$150)</f>
        <v>2038</v>
      </c>
      <c r="D150" s="23">
        <f>IF(AND($A$150-12*Inputs!$C$76+1&gt;=3,MOD($A$150-12*Inputs!$C$76+1,3)=0),($A$150-12*Inputs!$C$76+1)/3-1,-1)</f>
        <v>-1</v>
      </c>
      <c r="E150" s="23">
        <f>$H$149</f>
        <v>10316170.84151867</v>
      </c>
      <c r="F150" s="23">
        <f>$E$150*Inputs!$C$74/12</f>
        <v>45992.92833510407</v>
      </c>
      <c r="G150" s="23">
        <f>IF($D$150&lt;0,0,IF($D$150=Timing!$C$25-1,$E$150,MAX(0,MIN($E$150,IF(Inputs!$C$77="annuity",$C$7-$E$150*Inputs!$C$74/4,IF(Inputs!$C$77="sculpted",INDEX($F$8:$AE$8,MATCH($C$150,Timing!$F$59:$AE$59,0))/INDEX(Timing!$F$86:$AE$86,MATCH($C$150,Timing!$F$59:$AE$59,0)),$C$6/Timing!$C$25))))))</f>
        <v>0</v>
      </c>
      <c r="H150" s="23">
        <f>$E$150-$G$150</f>
        <v>10316170.84151867</v>
      </c>
    </row>
    <row r="151">
      <c r="A151" s="23">
        <f>$A$150+1</f>
        <v>139</v>
      </c>
      <c r="B151" s="27">
        <f>EDATE(Timing!$C$6,$A$151)</f>
        <v>50618</v>
      </c>
      <c r="C151" s="25">
        <f>YEAR($B$151)</f>
        <v>2038</v>
      </c>
      <c r="D151" s="23">
        <f>IF(AND($A$151-12*Inputs!$C$76+1&gt;=3,MOD($A$151-12*Inputs!$C$76+1,3)=0),($A$151-12*Inputs!$C$76+1)/3-1,-1)</f>
        <v>-1</v>
      </c>
      <c r="E151" s="23">
        <f>$H$150</f>
        <v>10316170.84151867</v>
      </c>
      <c r="F151" s="23">
        <f>$E$151*Inputs!$C$74/12</f>
        <v>45992.92833510407</v>
      </c>
      <c r="G151" s="23">
        <f>IF($D$151&lt;0,0,IF($D$151=Timing!$C$25-1,$E$151,MAX(0,MIN($E$151,IF(Inputs!$C$77="annuity",$C$7-$E$151*Inputs!$C$74/4,IF(Inputs!$C$77="sculpted",INDEX($F$8:$AE$8,MATCH($C$151,Timing!$F$59:$AE$59,0))/INDEX(Timing!$F$86:$AE$86,MATCH($C$151,Timing!$F$59:$AE$59,0)),$C$6/Timing!$C$25))))))</f>
        <v>0</v>
      </c>
      <c r="H151" s="23">
        <f>$E$151-$G$151</f>
        <v>10316170.84151867</v>
      </c>
    </row>
    <row r="152">
      <c r="A152" s="23">
        <f>$A$151+1</f>
        <v>140</v>
      </c>
      <c r="B152" s="27">
        <f>EDATE(Timing!$C$6,$A$152)</f>
        <v>50649</v>
      </c>
      <c r="C152" s="25">
        <f>YEAR($B$152)</f>
        <v>2038</v>
      </c>
      <c r="D152" s="23">
        <f>IF(AND($A$152-12*Inputs!$C$76+1&gt;=3,MOD($A$152-12*Inputs!$C$76+1,3)=0),($A$152-12*Inputs!$C$76+1)/3-1,-1)</f>
        <v>34</v>
      </c>
      <c r="E152" s="23">
        <f>$H$151</f>
        <v>10316170.84151867</v>
      </c>
      <c r="F152" s="23">
        <f>$E$152*Inputs!$C$74/12</f>
        <v>45992.92833510407</v>
      </c>
      <c r="G152" s="23">
        <f>IF($D$152&lt;0,0,IF($D$152=Timing!$C$25-1,$E$152,MAX(0,MIN($E$152,IF(Inputs!$C$77="annuity",$C$7-$E$152*Inputs!$C$74/4,IF(Inputs!$C$77="sculpted",INDEX($F$8:$AE$8,MATCH($C$152,Timing!$F$59:$AE$59,0))/INDEX(Timing!$F$86:$AE$86,MATCH($C$152,Timing!$F$59:$AE$59,0)),$C$6/Timing!$C$25))))))</f>
        <v>303416.7894564312</v>
      </c>
      <c r="H152" s="23">
        <f>$E$152-$G$152</f>
        <v>10012754.05206224</v>
      </c>
    </row>
    <row r="153">
      <c r="A153" s="23">
        <f>$A$152+1</f>
        <v>141</v>
      </c>
      <c r="B153" s="27">
        <f>EDATE(Timing!$C$6,$A$153)</f>
        <v>50679</v>
      </c>
      <c r="C153" s="25">
        <f>YEAR($B$153)</f>
        <v>2038</v>
      </c>
      <c r="D153" s="23">
        <f>IF(AND($A$153-12*Inputs!$C$76+1&gt;=3,MOD($A$153-12*Inputs!$C$76+1,3)=0),($A$153-12*Inputs!$C$76+1)/3-1,-1)</f>
        <v>-1</v>
      </c>
      <c r="E153" s="23">
        <f>$H$152</f>
        <v>10012754.05206224</v>
      </c>
      <c r="F153" s="23">
        <f>$E$153*Inputs!$C$74/12</f>
        <v>44640.195148777486</v>
      </c>
      <c r="G153" s="23">
        <f>IF($D$153&lt;0,0,IF($D$153=Timing!$C$25-1,$E$153,MAX(0,MIN($E$153,IF(Inputs!$C$77="annuity",$C$7-$E$153*Inputs!$C$74/4,IF(Inputs!$C$77="sculpted",INDEX($F$8:$AE$8,MATCH($C$153,Timing!$F$59:$AE$59,0))/INDEX(Timing!$F$86:$AE$86,MATCH($C$153,Timing!$F$59:$AE$59,0)),$C$6/Timing!$C$25))))))</f>
        <v>0</v>
      </c>
      <c r="H153" s="23">
        <f>$E$153-$G$153</f>
        <v>10012754.05206224</v>
      </c>
    </row>
    <row r="154">
      <c r="A154" s="23">
        <f>$A$153+1</f>
        <v>142</v>
      </c>
      <c r="B154" s="27">
        <f>EDATE(Timing!$C$6,$A$154)</f>
        <v>50710</v>
      </c>
      <c r="C154" s="25">
        <f>YEAR($B$154)</f>
        <v>2038</v>
      </c>
      <c r="D154" s="23">
        <f>IF(AND($A$154-12*Inputs!$C$76+1&gt;=3,MOD($A$154-12*Inputs!$C$76+1,3)=0),($A$154-12*Inputs!$C$76+1)/3-1,-1)</f>
        <v>-1</v>
      </c>
      <c r="E154" s="23">
        <f>$H$153</f>
        <v>10012754.05206224</v>
      </c>
      <c r="F154" s="23">
        <f>$E$154*Inputs!$C$74/12</f>
        <v>44640.195148777486</v>
      </c>
      <c r="G154" s="23">
        <f>IF($D$154&lt;0,0,IF($D$154=Timing!$C$25-1,$E$154,MAX(0,MIN($E$154,IF(Inputs!$C$77="annuity",$C$7-$E$154*Inputs!$C$74/4,IF(Inputs!$C$77="sculpted",INDEX($F$8:$AE$8,MATCH($C$154,Timing!$F$59:$AE$59,0))/INDEX(Timing!$F$86:$AE$86,MATCH($C$154,Timing!$F$59:$AE$59,0)),$C$6/Timing!$C$25))))))</f>
        <v>0</v>
      </c>
      <c r="H154" s="23">
        <f>$E$154-$G$154</f>
        <v>10012754.05206224</v>
      </c>
    </row>
    <row r="155">
      <c r="A155" s="23">
        <f>$A$154+1</f>
        <v>143</v>
      </c>
      <c r="B155" s="27">
        <f>EDATE(Timing!$C$6,$A$155)</f>
        <v>50740</v>
      </c>
      <c r="C155" s="25">
        <f>YEAR($B$155)</f>
        <v>2038</v>
      </c>
      <c r="D155" s="23">
        <f>IF(AND($A$155-12*Inputs!$C$76+1&gt;=3,MOD($A$155-12*Inputs!$C$76+1,3)=0),($A$155-12*Inputs!$C$76+1)/3-1,-1)</f>
        <v>35</v>
      </c>
      <c r="E155" s="23">
        <f>$H$154</f>
        <v>10012754.05206224</v>
      </c>
      <c r="F155" s="23">
        <f>$E$155*Inputs!$C$74/12</f>
        <v>44640.195148777486</v>
      </c>
      <c r="G155" s="23">
        <f>IF($D$155&lt;0,0,IF($D$155=Timing!$C$25-1,$E$155,MAX(0,MIN($E$155,IF(Inputs!$C$77="annuity",$C$7-$E$155*Inputs!$C$74/4,IF(Inputs!$C$77="sculpted",INDEX($F$8:$AE$8,MATCH($C$155,Timing!$F$59:$AE$59,0))/INDEX(Timing!$F$86:$AE$86,MATCH($C$155,Timing!$F$59:$AE$59,0)),$C$6/Timing!$C$25))))))</f>
        <v>303416.7894564312</v>
      </c>
      <c r="H155" s="23">
        <f>$E$155-$G$155</f>
        <v>9709337.262605809</v>
      </c>
    </row>
    <row r="156">
      <c r="A156" s="23">
        <f>$A$155+1</f>
        <v>144</v>
      </c>
      <c r="B156" s="27">
        <f>EDATE(Timing!$C$6,$A$156)</f>
        <v>50771</v>
      </c>
      <c r="C156" s="25">
        <f>YEAR($B$156)</f>
        <v>2039</v>
      </c>
      <c r="D156" s="23">
        <f>IF(AND($A$156-12*Inputs!$C$76+1&gt;=3,MOD($A$156-12*Inputs!$C$76+1,3)=0),($A$156-12*Inputs!$C$76+1)/3-1,-1)</f>
        <v>-1</v>
      </c>
      <c r="E156" s="23">
        <f>$H$155</f>
        <v>9709337.262605809</v>
      </c>
      <c r="F156" s="23">
        <f>$E$156*Inputs!$C$74/12</f>
        <v>43287.4619624509</v>
      </c>
      <c r="G156" s="23">
        <f>IF($D$156&lt;0,0,IF($D$156=Timing!$C$25-1,$E$156,MAX(0,MIN($E$156,IF(Inputs!$C$77="annuity",$C$7-$E$156*Inputs!$C$74/4,IF(Inputs!$C$77="sculpted",INDEX($F$8:$AE$8,MATCH($C$156,Timing!$F$59:$AE$59,0))/INDEX(Timing!$F$86:$AE$86,MATCH($C$156,Timing!$F$59:$AE$59,0)),$C$6/Timing!$C$25))))))</f>
        <v>0</v>
      </c>
      <c r="H156" s="23">
        <f>$E$156-$G$156</f>
        <v>9709337.262605809</v>
      </c>
    </row>
    <row r="157">
      <c r="A157" s="23">
        <f>$A$156+1</f>
        <v>145</v>
      </c>
      <c r="B157" s="27">
        <f>EDATE(Timing!$C$6,$A$157)</f>
        <v>50802</v>
      </c>
      <c r="C157" s="25">
        <f>YEAR($B$157)</f>
        <v>2039</v>
      </c>
      <c r="D157" s="23">
        <f>IF(AND($A$157-12*Inputs!$C$76+1&gt;=3,MOD($A$157-12*Inputs!$C$76+1,3)=0),($A$157-12*Inputs!$C$76+1)/3-1,-1)</f>
        <v>-1</v>
      </c>
      <c r="E157" s="23">
        <f>$H$156</f>
        <v>9709337.262605809</v>
      </c>
      <c r="F157" s="23">
        <f>$E$157*Inputs!$C$74/12</f>
        <v>43287.4619624509</v>
      </c>
      <c r="G157" s="23">
        <f>IF($D$157&lt;0,0,IF($D$157=Timing!$C$25-1,$E$157,MAX(0,MIN($E$157,IF(Inputs!$C$77="annuity",$C$7-$E$157*Inputs!$C$74/4,IF(Inputs!$C$77="sculpted",INDEX($F$8:$AE$8,MATCH($C$157,Timing!$F$59:$AE$59,0))/INDEX(Timing!$F$86:$AE$86,MATCH($C$157,Timing!$F$59:$AE$59,0)),$C$6/Timing!$C$25))))))</f>
        <v>0</v>
      </c>
      <c r="H157" s="23">
        <f>$E$157-$G$157</f>
        <v>9709337.262605809</v>
      </c>
    </row>
    <row r="158">
      <c r="A158" s="23">
        <f>$A$157+1</f>
        <v>146</v>
      </c>
      <c r="B158" s="27">
        <f>EDATE(Timing!$C$6,$A$158)</f>
        <v>50830</v>
      </c>
      <c r="C158" s="25">
        <f>YEAR($B$158)</f>
        <v>2039</v>
      </c>
      <c r="D158" s="23">
        <f>IF(AND($A$158-12*Inputs!$C$76+1&gt;=3,MOD($A$158-12*Inputs!$C$76+1,3)=0),($A$158-12*Inputs!$C$76+1)/3-1,-1)</f>
        <v>36</v>
      </c>
      <c r="E158" s="23">
        <f>$H$157</f>
        <v>9709337.262605809</v>
      </c>
      <c r="F158" s="23">
        <f>$E$158*Inputs!$C$74/12</f>
        <v>43287.4619624509</v>
      </c>
      <c r="G158" s="23">
        <f>IF($D$158&lt;0,0,IF($D$158=Timing!$C$25-1,$E$158,MAX(0,MIN($E$158,IF(Inputs!$C$77="annuity",$C$7-$E$158*Inputs!$C$74/4,IF(Inputs!$C$77="sculpted",INDEX($F$8:$AE$8,MATCH($C$158,Timing!$F$59:$AE$59,0))/INDEX(Timing!$F$86:$AE$86,MATCH($C$158,Timing!$F$59:$AE$59,0)),$C$6/Timing!$C$25))))))</f>
        <v>303416.7894564312</v>
      </c>
      <c r="H158" s="23">
        <f>$E$158-$G$158</f>
        <v>9405920.473149378</v>
      </c>
    </row>
    <row r="159">
      <c r="A159" s="23">
        <f>$A$158+1</f>
        <v>147</v>
      </c>
      <c r="B159" s="27">
        <f>EDATE(Timing!$C$6,$A$159)</f>
        <v>50861</v>
      </c>
      <c r="C159" s="25">
        <f>YEAR($B$159)</f>
        <v>2039</v>
      </c>
      <c r="D159" s="23">
        <f>IF(AND($A$159-12*Inputs!$C$76+1&gt;=3,MOD($A$159-12*Inputs!$C$76+1,3)=0),($A$159-12*Inputs!$C$76+1)/3-1,-1)</f>
        <v>-1</v>
      </c>
      <c r="E159" s="23">
        <f>$H$158</f>
        <v>9405920.473149378</v>
      </c>
      <c r="F159" s="23">
        <f>$E$159*Inputs!$C$74/12</f>
        <v>41934.72877612431</v>
      </c>
      <c r="G159" s="23">
        <f>IF($D$159&lt;0,0,IF($D$159=Timing!$C$25-1,$E$159,MAX(0,MIN($E$159,IF(Inputs!$C$77="annuity",$C$7-$E$159*Inputs!$C$74/4,IF(Inputs!$C$77="sculpted",INDEX($F$8:$AE$8,MATCH($C$159,Timing!$F$59:$AE$59,0))/INDEX(Timing!$F$86:$AE$86,MATCH($C$159,Timing!$F$59:$AE$59,0)),$C$6/Timing!$C$25))))))</f>
        <v>0</v>
      </c>
      <c r="H159" s="23">
        <f>$E$159-$G$159</f>
        <v>9405920.473149378</v>
      </c>
    </row>
    <row r="160">
      <c r="A160" s="23">
        <f>$A$159+1</f>
        <v>148</v>
      </c>
      <c r="B160" s="27">
        <f>EDATE(Timing!$C$6,$A$160)</f>
        <v>50891</v>
      </c>
      <c r="C160" s="25">
        <f>YEAR($B$160)</f>
        <v>2039</v>
      </c>
      <c r="D160" s="23">
        <f>IF(AND($A$160-12*Inputs!$C$76+1&gt;=3,MOD($A$160-12*Inputs!$C$76+1,3)=0),($A$160-12*Inputs!$C$76+1)/3-1,-1)</f>
        <v>-1</v>
      </c>
      <c r="E160" s="23">
        <f>$H$159</f>
        <v>9405920.473149378</v>
      </c>
      <c r="F160" s="23">
        <f>$E$160*Inputs!$C$74/12</f>
        <v>41934.72877612431</v>
      </c>
      <c r="G160" s="23">
        <f>IF($D$160&lt;0,0,IF($D$160=Timing!$C$25-1,$E$160,MAX(0,MIN($E$160,IF(Inputs!$C$77="annuity",$C$7-$E$160*Inputs!$C$74/4,IF(Inputs!$C$77="sculpted",INDEX($F$8:$AE$8,MATCH($C$160,Timing!$F$59:$AE$59,0))/INDEX(Timing!$F$86:$AE$86,MATCH($C$160,Timing!$F$59:$AE$59,0)),$C$6/Timing!$C$25))))))</f>
        <v>0</v>
      </c>
      <c r="H160" s="23">
        <f>$E$160-$G$160</f>
        <v>9405920.473149378</v>
      </c>
    </row>
    <row r="161">
      <c r="A161" s="23">
        <f>$A$160+1</f>
        <v>149</v>
      </c>
      <c r="B161" s="27">
        <f>EDATE(Timing!$C$6,$A$161)</f>
        <v>50922</v>
      </c>
      <c r="C161" s="25">
        <f>YEAR($B$161)</f>
        <v>2039</v>
      </c>
      <c r="D161" s="23">
        <f>IF(AND($A$161-12*Inputs!$C$76+1&gt;=3,MOD($A$161-12*Inputs!$C$76+1,3)=0),($A$161-12*Inputs!$C$76+1)/3-1,-1)</f>
        <v>37</v>
      </c>
      <c r="E161" s="23">
        <f>$H$160</f>
        <v>9405920.473149378</v>
      </c>
      <c r="F161" s="23">
        <f>$E$161*Inputs!$C$74/12</f>
        <v>41934.72877612431</v>
      </c>
      <c r="G161" s="23">
        <f>IF($D$161&lt;0,0,IF($D$161=Timing!$C$25-1,$E$161,MAX(0,MIN($E$161,IF(Inputs!$C$77="annuity",$C$7-$E$161*Inputs!$C$74/4,IF(Inputs!$C$77="sculpted",INDEX($F$8:$AE$8,MATCH($C$161,Timing!$F$59:$AE$59,0))/INDEX(Timing!$F$86:$AE$86,MATCH($C$161,Timing!$F$59:$AE$59,0)),$C$6/Timing!$C$25))))))</f>
        <v>303416.7894564312</v>
      </c>
      <c r="H161" s="23">
        <f>$E$161-$G$161</f>
        <v>9102503.683692947</v>
      </c>
    </row>
    <row r="162">
      <c r="A162" s="23">
        <f>$A$161+1</f>
        <v>150</v>
      </c>
      <c r="B162" s="27">
        <f>EDATE(Timing!$C$6,$A$162)</f>
        <v>50952</v>
      </c>
      <c r="C162" s="25">
        <f>YEAR($B$162)</f>
        <v>2039</v>
      </c>
      <c r="D162" s="23">
        <f>IF(AND($A$162-12*Inputs!$C$76+1&gt;=3,MOD($A$162-12*Inputs!$C$76+1,3)=0),($A$162-12*Inputs!$C$76+1)/3-1,-1)</f>
        <v>-1</v>
      </c>
      <c r="E162" s="23">
        <f>$H$161</f>
        <v>9102503.683692947</v>
      </c>
      <c r="F162" s="23">
        <f>$E$162*Inputs!$C$74/12</f>
        <v>40581.99558979772</v>
      </c>
      <c r="G162" s="23">
        <f>IF($D$162&lt;0,0,IF($D$162=Timing!$C$25-1,$E$162,MAX(0,MIN($E$162,IF(Inputs!$C$77="annuity",$C$7-$E$162*Inputs!$C$74/4,IF(Inputs!$C$77="sculpted",INDEX($F$8:$AE$8,MATCH($C$162,Timing!$F$59:$AE$59,0))/INDEX(Timing!$F$86:$AE$86,MATCH($C$162,Timing!$F$59:$AE$59,0)),$C$6/Timing!$C$25))))))</f>
        <v>0</v>
      </c>
      <c r="H162" s="23">
        <f>$E$162-$G$162</f>
        <v>9102503.683692947</v>
      </c>
    </row>
    <row r="163">
      <c r="A163" s="23">
        <f>$A$162+1</f>
        <v>151</v>
      </c>
      <c r="B163" s="27">
        <f>EDATE(Timing!$C$6,$A$163)</f>
        <v>50983</v>
      </c>
      <c r="C163" s="25">
        <f>YEAR($B$163)</f>
        <v>2039</v>
      </c>
      <c r="D163" s="23">
        <f>IF(AND($A$163-12*Inputs!$C$76+1&gt;=3,MOD($A$163-12*Inputs!$C$76+1,3)=0),($A$163-12*Inputs!$C$76+1)/3-1,-1)</f>
        <v>-1</v>
      </c>
      <c r="E163" s="23">
        <f>$H$162</f>
        <v>9102503.683692947</v>
      </c>
      <c r="F163" s="23">
        <f>$E$163*Inputs!$C$74/12</f>
        <v>40581.99558979772</v>
      </c>
      <c r="G163" s="23">
        <f>IF($D$163&lt;0,0,IF($D$163=Timing!$C$25-1,$E$163,MAX(0,MIN($E$163,IF(Inputs!$C$77="annuity",$C$7-$E$163*Inputs!$C$74/4,IF(Inputs!$C$77="sculpted",INDEX($F$8:$AE$8,MATCH($C$163,Timing!$F$59:$AE$59,0))/INDEX(Timing!$F$86:$AE$86,MATCH($C$163,Timing!$F$59:$AE$59,0)),$C$6/Timing!$C$25))))))</f>
        <v>0</v>
      </c>
      <c r="H163" s="23">
        <f>$E$163-$G$163</f>
        <v>9102503.683692947</v>
      </c>
    </row>
    <row r="164">
      <c r="A164" s="23">
        <f>$A$163+1</f>
        <v>152</v>
      </c>
      <c r="B164" s="27">
        <f>EDATE(Timing!$C$6,$A$164)</f>
        <v>51014</v>
      </c>
      <c r="C164" s="25">
        <f>YEAR($B$164)</f>
        <v>2039</v>
      </c>
      <c r="D164" s="23">
        <f>IF(AND($A$164-12*Inputs!$C$76+1&gt;=3,MOD($A$164-12*Inputs!$C$76+1,3)=0),($A$164-12*Inputs!$C$76+1)/3-1,-1)</f>
        <v>38</v>
      </c>
      <c r="E164" s="23">
        <f>$H$163</f>
        <v>9102503.683692947</v>
      </c>
      <c r="F164" s="23">
        <f>$E$164*Inputs!$C$74/12</f>
        <v>40581.99558979772</v>
      </c>
      <c r="G164" s="23">
        <f>IF($D$164&lt;0,0,IF($D$164=Timing!$C$25-1,$E$164,MAX(0,MIN($E$164,IF(Inputs!$C$77="annuity",$C$7-$E$164*Inputs!$C$74/4,IF(Inputs!$C$77="sculpted",INDEX($F$8:$AE$8,MATCH($C$164,Timing!$F$59:$AE$59,0))/INDEX(Timing!$F$86:$AE$86,MATCH($C$164,Timing!$F$59:$AE$59,0)),$C$6/Timing!$C$25))))))</f>
        <v>303416.7894564312</v>
      </c>
      <c r="H164" s="23">
        <f>$E$164-$G$164</f>
        <v>8799086.894236516</v>
      </c>
    </row>
    <row r="165">
      <c r="A165" s="23">
        <f>$A$164+1</f>
        <v>153</v>
      </c>
      <c r="B165" s="27">
        <f>EDATE(Timing!$C$6,$A$165)</f>
        <v>51044</v>
      </c>
      <c r="C165" s="25">
        <f>YEAR($B$165)</f>
        <v>2039</v>
      </c>
      <c r="D165" s="23">
        <f>IF(AND($A$165-12*Inputs!$C$76+1&gt;=3,MOD($A$165-12*Inputs!$C$76+1,3)=0),($A$165-12*Inputs!$C$76+1)/3-1,-1)</f>
        <v>-1</v>
      </c>
      <c r="E165" s="23">
        <f>$H$164</f>
        <v>8799086.894236516</v>
      </c>
      <c r="F165" s="23">
        <f>$E$165*Inputs!$C$74/12</f>
        <v>39229.26240347113</v>
      </c>
      <c r="G165" s="23">
        <f>IF($D$165&lt;0,0,IF($D$165=Timing!$C$25-1,$E$165,MAX(0,MIN($E$165,IF(Inputs!$C$77="annuity",$C$7-$E$165*Inputs!$C$74/4,IF(Inputs!$C$77="sculpted",INDEX($F$8:$AE$8,MATCH($C$165,Timing!$F$59:$AE$59,0))/INDEX(Timing!$F$86:$AE$86,MATCH($C$165,Timing!$F$59:$AE$59,0)),$C$6/Timing!$C$25))))))</f>
        <v>0</v>
      </c>
      <c r="H165" s="23">
        <f>$E$165-$G$165</f>
        <v>8799086.894236516</v>
      </c>
    </row>
    <row r="166">
      <c r="A166" s="23">
        <f>$A$165+1</f>
        <v>154</v>
      </c>
      <c r="B166" s="27">
        <f>EDATE(Timing!$C$6,$A$166)</f>
        <v>51075</v>
      </c>
      <c r="C166" s="25">
        <f>YEAR($B$166)</f>
        <v>2039</v>
      </c>
      <c r="D166" s="23">
        <f>IF(AND($A$166-12*Inputs!$C$76+1&gt;=3,MOD($A$166-12*Inputs!$C$76+1,3)=0),($A$166-12*Inputs!$C$76+1)/3-1,-1)</f>
        <v>-1</v>
      </c>
      <c r="E166" s="23">
        <f>$H$165</f>
        <v>8799086.894236516</v>
      </c>
      <c r="F166" s="23">
        <f>$E$166*Inputs!$C$74/12</f>
        <v>39229.26240347113</v>
      </c>
      <c r="G166" s="23">
        <f>IF($D$166&lt;0,0,IF($D$166=Timing!$C$25-1,$E$166,MAX(0,MIN($E$166,IF(Inputs!$C$77="annuity",$C$7-$E$166*Inputs!$C$74/4,IF(Inputs!$C$77="sculpted",INDEX($F$8:$AE$8,MATCH($C$166,Timing!$F$59:$AE$59,0))/INDEX(Timing!$F$86:$AE$86,MATCH($C$166,Timing!$F$59:$AE$59,0)),$C$6/Timing!$C$25))))))</f>
        <v>0</v>
      </c>
      <c r="H166" s="23">
        <f>$E$166-$G$166</f>
        <v>8799086.894236516</v>
      </c>
    </row>
    <row r="167">
      <c r="A167" s="23">
        <f>$A$166+1</f>
        <v>155</v>
      </c>
      <c r="B167" s="27">
        <f>EDATE(Timing!$C$6,$A$167)</f>
        <v>51105</v>
      </c>
      <c r="C167" s="25">
        <f>YEAR($B$167)</f>
        <v>2039</v>
      </c>
      <c r="D167" s="23">
        <f>IF(AND($A$167-12*Inputs!$C$76+1&gt;=3,MOD($A$167-12*Inputs!$C$76+1,3)=0),($A$167-12*Inputs!$C$76+1)/3-1,-1)</f>
        <v>39</v>
      </c>
      <c r="E167" s="23">
        <f>$H$166</f>
        <v>8799086.894236516</v>
      </c>
      <c r="F167" s="23">
        <f>$E$167*Inputs!$C$74/12</f>
        <v>39229.26240347113</v>
      </c>
      <c r="G167" s="23">
        <f>IF($D$167&lt;0,0,IF($D$167=Timing!$C$25-1,$E$167,MAX(0,MIN($E$167,IF(Inputs!$C$77="annuity",$C$7-$E$167*Inputs!$C$74/4,IF(Inputs!$C$77="sculpted",INDEX($F$8:$AE$8,MATCH($C$167,Timing!$F$59:$AE$59,0))/INDEX(Timing!$F$86:$AE$86,MATCH($C$167,Timing!$F$59:$AE$59,0)),$C$6/Timing!$C$25))))))</f>
        <v>303416.7894564312</v>
      </c>
      <c r="H167" s="23">
        <f>$E$167-$G$167</f>
        <v>8495670.104780085</v>
      </c>
    </row>
    <row r="168">
      <c r="A168" s="23">
        <f>$A$167+1</f>
        <v>156</v>
      </c>
      <c r="B168" s="27">
        <f>EDATE(Timing!$C$6,$A$168)</f>
        <v>51136</v>
      </c>
      <c r="C168" s="25">
        <f>YEAR($B$168)</f>
        <v>2040</v>
      </c>
      <c r="D168" s="23">
        <f>IF(AND($A$168-12*Inputs!$C$76+1&gt;=3,MOD($A$168-12*Inputs!$C$76+1,3)=0),($A$168-12*Inputs!$C$76+1)/3-1,-1)</f>
        <v>-1</v>
      </c>
      <c r="E168" s="23">
        <f>$H$167</f>
        <v>8495670.104780085</v>
      </c>
      <c r="F168" s="23">
        <f>$E$168*Inputs!$C$74/12</f>
        <v>37876.52921714455</v>
      </c>
      <c r="G168" s="23">
        <f>IF($D$168&lt;0,0,IF($D$168=Timing!$C$25-1,$E$168,MAX(0,MIN($E$168,IF(Inputs!$C$77="annuity",$C$7-$E$168*Inputs!$C$74/4,IF(Inputs!$C$77="sculpted",INDEX($F$8:$AE$8,MATCH($C$168,Timing!$F$59:$AE$59,0))/INDEX(Timing!$F$86:$AE$86,MATCH($C$168,Timing!$F$59:$AE$59,0)),$C$6/Timing!$C$25))))))</f>
        <v>0</v>
      </c>
      <c r="H168" s="23">
        <f>$E$168-$G$168</f>
        <v>8495670.104780085</v>
      </c>
    </row>
    <row r="169">
      <c r="A169" s="23">
        <f>$A$168+1</f>
        <v>157</v>
      </c>
      <c r="B169" s="27">
        <f>EDATE(Timing!$C$6,$A$169)</f>
        <v>51167</v>
      </c>
      <c r="C169" s="25">
        <f>YEAR($B$169)</f>
        <v>2040</v>
      </c>
      <c r="D169" s="23">
        <f>IF(AND($A$169-12*Inputs!$C$76+1&gt;=3,MOD($A$169-12*Inputs!$C$76+1,3)=0),($A$169-12*Inputs!$C$76+1)/3-1,-1)</f>
        <v>-1</v>
      </c>
      <c r="E169" s="23">
        <f>$H$168</f>
        <v>8495670.104780085</v>
      </c>
      <c r="F169" s="23">
        <f>$E$169*Inputs!$C$74/12</f>
        <v>37876.52921714455</v>
      </c>
      <c r="G169" s="23">
        <f>IF($D$169&lt;0,0,IF($D$169=Timing!$C$25-1,$E$169,MAX(0,MIN($E$169,IF(Inputs!$C$77="annuity",$C$7-$E$169*Inputs!$C$74/4,IF(Inputs!$C$77="sculpted",INDEX($F$8:$AE$8,MATCH($C$169,Timing!$F$59:$AE$59,0))/INDEX(Timing!$F$86:$AE$86,MATCH($C$169,Timing!$F$59:$AE$59,0)),$C$6/Timing!$C$25))))))</f>
        <v>0</v>
      </c>
      <c r="H169" s="23">
        <f>$E$169-$G$169</f>
        <v>8495670.104780085</v>
      </c>
    </row>
    <row r="170">
      <c r="A170" s="23">
        <f>$A$169+1</f>
        <v>158</v>
      </c>
      <c r="B170" s="27">
        <f>EDATE(Timing!$C$6,$A$170)</f>
        <v>51196</v>
      </c>
      <c r="C170" s="25">
        <f>YEAR($B$170)</f>
        <v>2040</v>
      </c>
      <c r="D170" s="23">
        <f>IF(AND($A$170-12*Inputs!$C$76+1&gt;=3,MOD($A$170-12*Inputs!$C$76+1,3)=0),($A$170-12*Inputs!$C$76+1)/3-1,-1)</f>
        <v>40</v>
      </c>
      <c r="E170" s="23">
        <f>$H$169</f>
        <v>8495670.104780085</v>
      </c>
      <c r="F170" s="23">
        <f>$E$170*Inputs!$C$74/12</f>
        <v>37876.52921714455</v>
      </c>
      <c r="G170" s="23">
        <f>IF($D$170&lt;0,0,IF($D$170=Timing!$C$25-1,$E$170,MAX(0,MIN($E$170,IF(Inputs!$C$77="annuity",$C$7-$E$170*Inputs!$C$74/4,IF(Inputs!$C$77="sculpted",INDEX($F$8:$AE$8,MATCH($C$170,Timing!$F$59:$AE$59,0))/INDEX(Timing!$F$86:$AE$86,MATCH($C$170,Timing!$F$59:$AE$59,0)),$C$6/Timing!$C$25))))))</f>
        <v>303416.7894564312</v>
      </c>
      <c r="H170" s="23">
        <f>$E$170-$G$170</f>
        <v>8192253.315323655</v>
      </c>
    </row>
    <row r="171">
      <c r="A171" s="23">
        <f>$A$170+1</f>
        <v>159</v>
      </c>
      <c r="B171" s="27">
        <f>EDATE(Timing!$C$6,$A$171)</f>
        <v>51227</v>
      </c>
      <c r="C171" s="25">
        <f>YEAR($B$171)</f>
        <v>2040</v>
      </c>
      <c r="D171" s="23">
        <f>IF(AND($A$171-12*Inputs!$C$76+1&gt;=3,MOD($A$171-12*Inputs!$C$76+1,3)=0),($A$171-12*Inputs!$C$76+1)/3-1,-1)</f>
        <v>-1</v>
      </c>
      <c r="E171" s="23">
        <f>$H$170</f>
        <v>8192253.315323655</v>
      </c>
      <c r="F171" s="23">
        <f>$E$171*Inputs!$C$74/12</f>
        <v>36523.79603081796</v>
      </c>
      <c r="G171" s="23">
        <f>IF($D$171&lt;0,0,IF($D$171=Timing!$C$25-1,$E$171,MAX(0,MIN($E$171,IF(Inputs!$C$77="annuity",$C$7-$E$171*Inputs!$C$74/4,IF(Inputs!$C$77="sculpted",INDEX($F$8:$AE$8,MATCH($C$171,Timing!$F$59:$AE$59,0))/INDEX(Timing!$F$86:$AE$86,MATCH($C$171,Timing!$F$59:$AE$59,0)),$C$6/Timing!$C$25))))))</f>
        <v>0</v>
      </c>
      <c r="H171" s="23">
        <f>$E$171-$G$171</f>
        <v>8192253.315323655</v>
      </c>
    </row>
    <row r="172">
      <c r="A172" s="23">
        <f>$A$171+1</f>
        <v>160</v>
      </c>
      <c r="B172" s="27">
        <f>EDATE(Timing!$C$6,$A$172)</f>
        <v>51257</v>
      </c>
      <c r="C172" s="25">
        <f>YEAR($B$172)</f>
        <v>2040</v>
      </c>
      <c r="D172" s="23">
        <f>IF(AND($A$172-12*Inputs!$C$76+1&gt;=3,MOD($A$172-12*Inputs!$C$76+1,3)=0),($A$172-12*Inputs!$C$76+1)/3-1,-1)</f>
        <v>-1</v>
      </c>
      <c r="E172" s="23">
        <f>$H$171</f>
        <v>8192253.315323655</v>
      </c>
      <c r="F172" s="23">
        <f>$E$172*Inputs!$C$74/12</f>
        <v>36523.79603081796</v>
      </c>
      <c r="G172" s="23">
        <f>IF($D$172&lt;0,0,IF($D$172=Timing!$C$25-1,$E$172,MAX(0,MIN($E$172,IF(Inputs!$C$77="annuity",$C$7-$E$172*Inputs!$C$74/4,IF(Inputs!$C$77="sculpted",INDEX($F$8:$AE$8,MATCH($C$172,Timing!$F$59:$AE$59,0))/INDEX(Timing!$F$86:$AE$86,MATCH($C$172,Timing!$F$59:$AE$59,0)),$C$6/Timing!$C$25))))))</f>
        <v>0</v>
      </c>
      <c r="H172" s="23">
        <f>$E$172-$G$172</f>
        <v>8192253.315323655</v>
      </c>
    </row>
    <row r="173">
      <c r="A173" s="23">
        <f>$A$172+1</f>
        <v>161</v>
      </c>
      <c r="B173" s="27">
        <f>EDATE(Timing!$C$6,$A$173)</f>
        <v>51288</v>
      </c>
      <c r="C173" s="25">
        <f>YEAR($B$173)</f>
        <v>2040</v>
      </c>
      <c r="D173" s="23">
        <f>IF(AND($A$173-12*Inputs!$C$76+1&gt;=3,MOD($A$173-12*Inputs!$C$76+1,3)=0),($A$173-12*Inputs!$C$76+1)/3-1,-1)</f>
        <v>41</v>
      </c>
      <c r="E173" s="23">
        <f>$H$172</f>
        <v>8192253.315323655</v>
      </c>
      <c r="F173" s="23">
        <f>$E$173*Inputs!$C$74/12</f>
        <v>36523.79603081796</v>
      </c>
      <c r="G173" s="23">
        <f>IF($D$173&lt;0,0,IF($D$173=Timing!$C$25-1,$E$173,MAX(0,MIN($E$173,IF(Inputs!$C$77="annuity",$C$7-$E$173*Inputs!$C$74/4,IF(Inputs!$C$77="sculpted",INDEX($F$8:$AE$8,MATCH($C$173,Timing!$F$59:$AE$59,0))/INDEX(Timing!$F$86:$AE$86,MATCH($C$173,Timing!$F$59:$AE$59,0)),$C$6/Timing!$C$25))))))</f>
        <v>303416.7894564312</v>
      </c>
      <c r="H173" s="23">
        <f>$E$173-$G$173</f>
        <v>7888836.525867224</v>
      </c>
    </row>
    <row r="174">
      <c r="A174" s="23">
        <f>$A$173+1</f>
        <v>162</v>
      </c>
      <c r="B174" s="27">
        <f>EDATE(Timing!$C$6,$A$174)</f>
        <v>51318</v>
      </c>
      <c r="C174" s="25">
        <f>YEAR($B$174)</f>
        <v>2040</v>
      </c>
      <c r="D174" s="23">
        <f>IF(AND($A$174-12*Inputs!$C$76+1&gt;=3,MOD($A$174-12*Inputs!$C$76+1,3)=0),($A$174-12*Inputs!$C$76+1)/3-1,-1)</f>
        <v>-1</v>
      </c>
      <c r="E174" s="23">
        <f>$H$173</f>
        <v>7888836.525867224</v>
      </c>
      <c r="F174" s="23">
        <f>$E$174*Inputs!$C$74/12</f>
        <v>35171.06284449137</v>
      </c>
      <c r="G174" s="23">
        <f>IF($D$174&lt;0,0,IF($D$174=Timing!$C$25-1,$E$174,MAX(0,MIN($E$174,IF(Inputs!$C$77="annuity",$C$7-$E$174*Inputs!$C$74/4,IF(Inputs!$C$77="sculpted",INDEX($F$8:$AE$8,MATCH($C$174,Timing!$F$59:$AE$59,0))/INDEX(Timing!$F$86:$AE$86,MATCH($C$174,Timing!$F$59:$AE$59,0)),$C$6/Timing!$C$25))))))</f>
        <v>0</v>
      </c>
      <c r="H174" s="23">
        <f>$E$174-$G$174</f>
        <v>7888836.525867224</v>
      </c>
    </row>
    <row r="175">
      <c r="A175" s="23">
        <f>$A$174+1</f>
        <v>163</v>
      </c>
      <c r="B175" s="27">
        <f>EDATE(Timing!$C$6,$A$175)</f>
        <v>51349</v>
      </c>
      <c r="C175" s="25">
        <f>YEAR($B$175)</f>
        <v>2040</v>
      </c>
      <c r="D175" s="23">
        <f>IF(AND($A$175-12*Inputs!$C$76+1&gt;=3,MOD($A$175-12*Inputs!$C$76+1,3)=0),($A$175-12*Inputs!$C$76+1)/3-1,-1)</f>
        <v>-1</v>
      </c>
      <c r="E175" s="23">
        <f>$H$174</f>
        <v>7888836.525867224</v>
      </c>
      <c r="F175" s="23">
        <f>$E$175*Inputs!$C$74/12</f>
        <v>35171.06284449137</v>
      </c>
      <c r="G175" s="23">
        <f>IF($D$175&lt;0,0,IF($D$175=Timing!$C$25-1,$E$175,MAX(0,MIN($E$175,IF(Inputs!$C$77="annuity",$C$7-$E$175*Inputs!$C$74/4,IF(Inputs!$C$77="sculpted",INDEX($F$8:$AE$8,MATCH($C$175,Timing!$F$59:$AE$59,0))/INDEX(Timing!$F$86:$AE$86,MATCH($C$175,Timing!$F$59:$AE$59,0)),$C$6/Timing!$C$25))))))</f>
        <v>0</v>
      </c>
      <c r="H175" s="23">
        <f>$E$175-$G$175</f>
        <v>7888836.525867224</v>
      </c>
    </row>
    <row r="176">
      <c r="A176" s="23">
        <f>$A$175+1</f>
        <v>164</v>
      </c>
      <c r="B176" s="27">
        <f>EDATE(Timing!$C$6,$A$176)</f>
        <v>51380</v>
      </c>
      <c r="C176" s="25">
        <f>YEAR($B$176)</f>
        <v>2040</v>
      </c>
      <c r="D176" s="23">
        <f>IF(AND($A$176-12*Inputs!$C$76+1&gt;=3,MOD($A$176-12*Inputs!$C$76+1,3)=0),($A$176-12*Inputs!$C$76+1)/3-1,-1)</f>
        <v>42</v>
      </c>
      <c r="E176" s="23">
        <f>$H$175</f>
        <v>7888836.525867224</v>
      </c>
      <c r="F176" s="23">
        <f>$E$176*Inputs!$C$74/12</f>
        <v>35171.06284449137</v>
      </c>
      <c r="G176" s="23">
        <f>IF($D$176&lt;0,0,IF($D$176=Timing!$C$25-1,$E$176,MAX(0,MIN($E$176,IF(Inputs!$C$77="annuity",$C$7-$E$176*Inputs!$C$74/4,IF(Inputs!$C$77="sculpted",INDEX($F$8:$AE$8,MATCH($C$176,Timing!$F$59:$AE$59,0))/INDEX(Timing!$F$86:$AE$86,MATCH($C$176,Timing!$F$59:$AE$59,0)),$C$6/Timing!$C$25))))))</f>
        <v>303416.7894564312</v>
      </c>
      <c r="H176" s="23">
        <f>$E$176-$G$176</f>
        <v>7585419.736410793</v>
      </c>
    </row>
    <row r="177">
      <c r="A177" s="23">
        <f>$A$176+1</f>
        <v>165</v>
      </c>
      <c r="B177" s="27">
        <f>EDATE(Timing!$C$6,$A$177)</f>
        <v>51410</v>
      </c>
      <c r="C177" s="25">
        <f>YEAR($B$177)</f>
        <v>2040</v>
      </c>
      <c r="D177" s="23">
        <f>IF(AND($A$177-12*Inputs!$C$76+1&gt;=3,MOD($A$177-12*Inputs!$C$76+1,3)=0),($A$177-12*Inputs!$C$76+1)/3-1,-1)</f>
        <v>-1</v>
      </c>
      <c r="E177" s="23">
        <f>$H$176</f>
        <v>7585419.736410793</v>
      </c>
      <c r="F177" s="23">
        <f>$E$177*Inputs!$C$74/12</f>
        <v>33818.32965816478</v>
      </c>
      <c r="G177" s="23">
        <f>IF($D$177&lt;0,0,IF($D$177=Timing!$C$25-1,$E$177,MAX(0,MIN($E$177,IF(Inputs!$C$77="annuity",$C$7-$E$177*Inputs!$C$74/4,IF(Inputs!$C$77="sculpted",INDEX($F$8:$AE$8,MATCH($C$177,Timing!$F$59:$AE$59,0))/INDEX(Timing!$F$86:$AE$86,MATCH($C$177,Timing!$F$59:$AE$59,0)),$C$6/Timing!$C$25))))))</f>
        <v>0</v>
      </c>
      <c r="H177" s="23">
        <f>$E$177-$G$177</f>
        <v>7585419.736410793</v>
      </c>
    </row>
    <row r="178">
      <c r="A178" s="23">
        <f>$A$177+1</f>
        <v>166</v>
      </c>
      <c r="B178" s="27">
        <f>EDATE(Timing!$C$6,$A$178)</f>
        <v>51441</v>
      </c>
      <c r="C178" s="25">
        <f>YEAR($B$178)</f>
        <v>2040</v>
      </c>
      <c r="D178" s="23">
        <f>IF(AND($A$178-12*Inputs!$C$76+1&gt;=3,MOD($A$178-12*Inputs!$C$76+1,3)=0),($A$178-12*Inputs!$C$76+1)/3-1,-1)</f>
        <v>-1</v>
      </c>
      <c r="E178" s="23">
        <f>$H$177</f>
        <v>7585419.736410793</v>
      </c>
      <c r="F178" s="23">
        <f>$E$178*Inputs!$C$74/12</f>
        <v>33818.32965816478</v>
      </c>
      <c r="G178" s="23">
        <f>IF($D$178&lt;0,0,IF($D$178=Timing!$C$25-1,$E$178,MAX(0,MIN($E$178,IF(Inputs!$C$77="annuity",$C$7-$E$178*Inputs!$C$74/4,IF(Inputs!$C$77="sculpted",INDEX($F$8:$AE$8,MATCH($C$178,Timing!$F$59:$AE$59,0))/INDEX(Timing!$F$86:$AE$86,MATCH($C$178,Timing!$F$59:$AE$59,0)),$C$6/Timing!$C$25))))))</f>
        <v>0</v>
      </c>
      <c r="H178" s="23">
        <f>$E$178-$G$178</f>
        <v>7585419.736410793</v>
      </c>
    </row>
    <row r="179">
      <c r="A179" s="23">
        <f>$A$178+1</f>
        <v>167</v>
      </c>
      <c r="B179" s="27">
        <f>EDATE(Timing!$C$6,$A$179)</f>
        <v>51471</v>
      </c>
      <c r="C179" s="25">
        <f>YEAR($B$179)</f>
        <v>2040</v>
      </c>
      <c r="D179" s="23">
        <f>IF(AND($A$179-12*Inputs!$C$76+1&gt;=3,MOD($A$179-12*Inputs!$C$76+1,3)=0),($A$179-12*Inputs!$C$76+1)/3-1,-1)</f>
        <v>43</v>
      </c>
      <c r="E179" s="23">
        <f>$H$178</f>
        <v>7585419.736410793</v>
      </c>
      <c r="F179" s="23">
        <f>$E$179*Inputs!$C$74/12</f>
        <v>33818.32965816478</v>
      </c>
      <c r="G179" s="23">
        <f>IF($D$179&lt;0,0,IF($D$179=Timing!$C$25-1,$E$179,MAX(0,MIN($E$179,IF(Inputs!$C$77="annuity",$C$7-$E$179*Inputs!$C$74/4,IF(Inputs!$C$77="sculpted",INDEX($F$8:$AE$8,MATCH($C$179,Timing!$F$59:$AE$59,0))/INDEX(Timing!$F$86:$AE$86,MATCH($C$179,Timing!$F$59:$AE$59,0)),$C$6/Timing!$C$25))))))</f>
        <v>303416.7894564312</v>
      </c>
      <c r="H179" s="23">
        <f>$E$179-$G$179</f>
        <v>7282002.946954362</v>
      </c>
    </row>
    <row r="180">
      <c r="A180" s="23">
        <f>$A$179+1</f>
        <v>168</v>
      </c>
      <c r="B180" s="27">
        <f>EDATE(Timing!$C$6,$A$180)</f>
        <v>51502</v>
      </c>
      <c r="C180" s="25">
        <f>YEAR($B$180)</f>
        <v>2041</v>
      </c>
      <c r="D180" s="23">
        <f>IF(AND($A$180-12*Inputs!$C$76+1&gt;=3,MOD($A$180-12*Inputs!$C$76+1,3)=0),($A$180-12*Inputs!$C$76+1)/3-1,-1)</f>
        <v>-1</v>
      </c>
      <c r="E180" s="23">
        <f>$H$179</f>
        <v>7282002.946954362</v>
      </c>
      <c r="F180" s="23">
        <f>$E$180*Inputs!$C$74/12</f>
        <v>32465.5964718382</v>
      </c>
      <c r="G180" s="23">
        <f>IF($D$180&lt;0,0,IF($D$180=Timing!$C$25-1,$E$180,MAX(0,MIN($E$180,IF(Inputs!$C$77="annuity",$C$7-$E$180*Inputs!$C$74/4,IF(Inputs!$C$77="sculpted",INDEX($F$8:$AE$8,MATCH($C$180,Timing!$F$59:$AE$59,0))/INDEX(Timing!$F$86:$AE$86,MATCH($C$180,Timing!$F$59:$AE$59,0)),$C$6/Timing!$C$25))))))</f>
        <v>0</v>
      </c>
      <c r="H180" s="23">
        <f>$E$180-$G$180</f>
        <v>7282002.946954362</v>
      </c>
    </row>
    <row r="181">
      <c r="A181" s="23">
        <f>$A$180+1</f>
        <v>169</v>
      </c>
      <c r="B181" s="27">
        <f>EDATE(Timing!$C$6,$A$181)</f>
        <v>51533</v>
      </c>
      <c r="C181" s="25">
        <f>YEAR($B$181)</f>
        <v>2041</v>
      </c>
      <c r="D181" s="23">
        <f>IF(AND($A$181-12*Inputs!$C$76+1&gt;=3,MOD($A$181-12*Inputs!$C$76+1,3)=0),($A$181-12*Inputs!$C$76+1)/3-1,-1)</f>
        <v>-1</v>
      </c>
      <c r="E181" s="23">
        <f>$H$180</f>
        <v>7282002.946954362</v>
      </c>
      <c r="F181" s="23">
        <f>$E$181*Inputs!$C$74/12</f>
        <v>32465.5964718382</v>
      </c>
      <c r="G181" s="23">
        <f>IF($D$181&lt;0,0,IF($D$181=Timing!$C$25-1,$E$181,MAX(0,MIN($E$181,IF(Inputs!$C$77="annuity",$C$7-$E$181*Inputs!$C$74/4,IF(Inputs!$C$77="sculpted",INDEX($F$8:$AE$8,MATCH($C$181,Timing!$F$59:$AE$59,0))/INDEX(Timing!$F$86:$AE$86,MATCH($C$181,Timing!$F$59:$AE$59,0)),$C$6/Timing!$C$25))))))</f>
        <v>0</v>
      </c>
      <c r="H181" s="23">
        <f>$E$181-$G$181</f>
        <v>7282002.946954362</v>
      </c>
    </row>
    <row r="182">
      <c r="A182" s="23">
        <f>$A$181+1</f>
        <v>170</v>
      </c>
      <c r="B182" s="27">
        <f>EDATE(Timing!$C$6,$A$182)</f>
        <v>51561</v>
      </c>
      <c r="C182" s="25">
        <f>YEAR($B$182)</f>
        <v>2041</v>
      </c>
      <c r="D182" s="23">
        <f>IF(AND($A$182-12*Inputs!$C$76+1&gt;=3,MOD($A$182-12*Inputs!$C$76+1,3)=0),($A$182-12*Inputs!$C$76+1)/3-1,-1)</f>
        <v>44</v>
      </c>
      <c r="E182" s="23">
        <f>$H$181</f>
        <v>7282002.946954362</v>
      </c>
      <c r="F182" s="23">
        <f>$E$182*Inputs!$C$74/12</f>
        <v>32465.5964718382</v>
      </c>
      <c r="G182" s="23">
        <f>IF($D$182&lt;0,0,IF($D$182=Timing!$C$25-1,$E$182,MAX(0,MIN($E$182,IF(Inputs!$C$77="annuity",$C$7-$E$182*Inputs!$C$74/4,IF(Inputs!$C$77="sculpted",INDEX($F$8:$AE$8,MATCH($C$182,Timing!$F$59:$AE$59,0))/INDEX(Timing!$F$86:$AE$86,MATCH($C$182,Timing!$F$59:$AE$59,0)),$C$6/Timing!$C$25))))))</f>
        <v>303416.7894564312</v>
      </c>
      <c r="H182" s="23">
        <f>$E$182-$G$182</f>
        <v>6978586.157497931</v>
      </c>
    </row>
    <row r="183">
      <c r="A183" s="23">
        <f>$A$182+1</f>
        <v>171</v>
      </c>
      <c r="B183" s="27">
        <f>EDATE(Timing!$C$6,$A$183)</f>
        <v>51592</v>
      </c>
      <c r="C183" s="25">
        <f>YEAR($B$183)</f>
        <v>2041</v>
      </c>
      <c r="D183" s="23">
        <f>IF(AND($A$183-12*Inputs!$C$76+1&gt;=3,MOD($A$183-12*Inputs!$C$76+1,3)=0),($A$183-12*Inputs!$C$76+1)/3-1,-1)</f>
        <v>-1</v>
      </c>
      <c r="E183" s="23">
        <f>$H$182</f>
        <v>6978586.157497931</v>
      </c>
      <c r="F183" s="23">
        <f>$E$183*Inputs!$C$74/12</f>
        <v>31112.863285511612</v>
      </c>
      <c r="G183" s="23">
        <f>IF($D$183&lt;0,0,IF($D$183=Timing!$C$25-1,$E$183,MAX(0,MIN($E$183,IF(Inputs!$C$77="annuity",$C$7-$E$183*Inputs!$C$74/4,IF(Inputs!$C$77="sculpted",INDEX($F$8:$AE$8,MATCH($C$183,Timing!$F$59:$AE$59,0))/INDEX(Timing!$F$86:$AE$86,MATCH($C$183,Timing!$F$59:$AE$59,0)),$C$6/Timing!$C$25))))))</f>
        <v>0</v>
      </c>
      <c r="H183" s="23">
        <f>$E$183-$G$183</f>
        <v>6978586.157497931</v>
      </c>
    </row>
    <row r="184">
      <c r="A184" s="23">
        <f>$A$183+1</f>
        <v>172</v>
      </c>
      <c r="B184" s="27">
        <f>EDATE(Timing!$C$6,$A$184)</f>
        <v>51622</v>
      </c>
      <c r="C184" s="25">
        <f>YEAR($B$184)</f>
        <v>2041</v>
      </c>
      <c r="D184" s="23">
        <f>IF(AND($A$184-12*Inputs!$C$76+1&gt;=3,MOD($A$184-12*Inputs!$C$76+1,3)=0),($A$184-12*Inputs!$C$76+1)/3-1,-1)</f>
        <v>-1</v>
      </c>
      <c r="E184" s="23">
        <f>$H$183</f>
        <v>6978586.157497931</v>
      </c>
      <c r="F184" s="23">
        <f>$E$184*Inputs!$C$74/12</f>
        <v>31112.863285511612</v>
      </c>
      <c r="G184" s="23">
        <f>IF($D$184&lt;0,0,IF($D$184=Timing!$C$25-1,$E$184,MAX(0,MIN($E$184,IF(Inputs!$C$77="annuity",$C$7-$E$184*Inputs!$C$74/4,IF(Inputs!$C$77="sculpted",INDEX($F$8:$AE$8,MATCH($C$184,Timing!$F$59:$AE$59,0))/INDEX(Timing!$F$86:$AE$86,MATCH($C$184,Timing!$F$59:$AE$59,0)),$C$6/Timing!$C$25))))))</f>
        <v>0</v>
      </c>
      <c r="H184" s="23">
        <f>$E$184-$G$184</f>
        <v>6978586.157497931</v>
      </c>
    </row>
    <row r="185">
      <c r="A185" s="23">
        <f>$A$184+1</f>
        <v>173</v>
      </c>
      <c r="B185" s="27">
        <f>EDATE(Timing!$C$6,$A$185)</f>
        <v>51653</v>
      </c>
      <c r="C185" s="25">
        <f>YEAR($B$185)</f>
        <v>2041</v>
      </c>
      <c r="D185" s="23">
        <f>IF(AND($A$185-12*Inputs!$C$76+1&gt;=3,MOD($A$185-12*Inputs!$C$76+1,3)=0),($A$185-12*Inputs!$C$76+1)/3-1,-1)</f>
        <v>45</v>
      </c>
      <c r="E185" s="23">
        <f>$H$184</f>
        <v>6978586.157497931</v>
      </c>
      <c r="F185" s="23">
        <f>$E$185*Inputs!$C$74/12</f>
        <v>31112.863285511612</v>
      </c>
      <c r="G185" s="23">
        <f>IF($D$185&lt;0,0,IF($D$185=Timing!$C$25-1,$E$185,MAX(0,MIN($E$185,IF(Inputs!$C$77="annuity",$C$7-$E$185*Inputs!$C$74/4,IF(Inputs!$C$77="sculpted",INDEX($F$8:$AE$8,MATCH($C$185,Timing!$F$59:$AE$59,0))/INDEX(Timing!$F$86:$AE$86,MATCH($C$185,Timing!$F$59:$AE$59,0)),$C$6/Timing!$C$25))))))</f>
        <v>303416.7894564312</v>
      </c>
      <c r="H185" s="23">
        <f>$E$185-$G$185</f>
        <v>6675169.3680415</v>
      </c>
    </row>
    <row r="186">
      <c r="A186" s="23">
        <f>$A$185+1</f>
        <v>174</v>
      </c>
      <c r="B186" s="27">
        <f>EDATE(Timing!$C$6,$A$186)</f>
        <v>51683</v>
      </c>
      <c r="C186" s="25">
        <f>YEAR($B$186)</f>
        <v>2041</v>
      </c>
      <c r="D186" s="23">
        <f>IF(AND($A$186-12*Inputs!$C$76+1&gt;=3,MOD($A$186-12*Inputs!$C$76+1,3)=0),($A$186-12*Inputs!$C$76+1)/3-1,-1)</f>
        <v>-1</v>
      </c>
      <c r="E186" s="23">
        <f>$H$185</f>
        <v>6675169.3680415</v>
      </c>
      <c r="F186" s="23">
        <f>$E$186*Inputs!$C$74/12</f>
        <v>29760.130099185026</v>
      </c>
      <c r="G186" s="23">
        <f>IF($D$186&lt;0,0,IF($D$186=Timing!$C$25-1,$E$186,MAX(0,MIN($E$186,IF(Inputs!$C$77="annuity",$C$7-$E$186*Inputs!$C$74/4,IF(Inputs!$C$77="sculpted",INDEX($F$8:$AE$8,MATCH($C$186,Timing!$F$59:$AE$59,0))/INDEX(Timing!$F$86:$AE$86,MATCH($C$186,Timing!$F$59:$AE$59,0)),$C$6/Timing!$C$25))))))</f>
        <v>0</v>
      </c>
      <c r="H186" s="23">
        <f>$E$186-$G$186</f>
        <v>6675169.3680415</v>
      </c>
    </row>
    <row r="187">
      <c r="A187" s="23">
        <f>$A$186+1</f>
        <v>175</v>
      </c>
      <c r="B187" s="27">
        <f>EDATE(Timing!$C$6,$A$187)</f>
        <v>51714</v>
      </c>
      <c r="C187" s="25">
        <f>YEAR($B$187)</f>
        <v>2041</v>
      </c>
      <c r="D187" s="23">
        <f>IF(AND($A$187-12*Inputs!$C$76+1&gt;=3,MOD($A$187-12*Inputs!$C$76+1,3)=0),($A$187-12*Inputs!$C$76+1)/3-1,-1)</f>
        <v>-1</v>
      </c>
      <c r="E187" s="23">
        <f>$H$186</f>
        <v>6675169.3680415</v>
      </c>
      <c r="F187" s="23">
        <f>$E$187*Inputs!$C$74/12</f>
        <v>29760.130099185026</v>
      </c>
      <c r="G187" s="23">
        <f>IF($D$187&lt;0,0,IF($D$187=Timing!$C$25-1,$E$187,MAX(0,MIN($E$187,IF(Inputs!$C$77="annuity",$C$7-$E$187*Inputs!$C$74/4,IF(Inputs!$C$77="sculpted",INDEX($F$8:$AE$8,MATCH($C$187,Timing!$F$59:$AE$59,0))/INDEX(Timing!$F$86:$AE$86,MATCH($C$187,Timing!$F$59:$AE$59,0)),$C$6/Timing!$C$25))))))</f>
        <v>0</v>
      </c>
      <c r="H187" s="23">
        <f>$E$187-$G$187</f>
        <v>6675169.3680415</v>
      </c>
    </row>
    <row r="188">
      <c r="A188" s="23">
        <f>$A$187+1</f>
        <v>176</v>
      </c>
      <c r="B188" s="27">
        <f>EDATE(Timing!$C$6,$A$188)</f>
        <v>51745</v>
      </c>
      <c r="C188" s="25">
        <f>YEAR($B$188)</f>
        <v>2041</v>
      </c>
      <c r="D188" s="23">
        <f>IF(AND($A$188-12*Inputs!$C$76+1&gt;=3,MOD($A$188-12*Inputs!$C$76+1,3)=0),($A$188-12*Inputs!$C$76+1)/3-1,-1)</f>
        <v>46</v>
      </c>
      <c r="E188" s="23">
        <f>$H$187</f>
        <v>6675169.3680415</v>
      </c>
      <c r="F188" s="23">
        <f>$E$188*Inputs!$C$74/12</f>
        <v>29760.130099185026</v>
      </c>
      <c r="G188" s="23">
        <f>IF($D$188&lt;0,0,IF($D$188=Timing!$C$25-1,$E$188,MAX(0,MIN($E$188,IF(Inputs!$C$77="annuity",$C$7-$E$188*Inputs!$C$74/4,IF(Inputs!$C$77="sculpted",INDEX($F$8:$AE$8,MATCH($C$188,Timing!$F$59:$AE$59,0))/INDEX(Timing!$F$86:$AE$86,MATCH($C$188,Timing!$F$59:$AE$59,0)),$C$6/Timing!$C$25))))))</f>
        <v>303416.7894564312</v>
      </c>
      <c r="H188" s="23">
        <f>$E$188-$G$188</f>
        <v>6371752.57858507</v>
      </c>
    </row>
    <row r="189">
      <c r="A189" s="23">
        <f>$A$188+1</f>
        <v>177</v>
      </c>
      <c r="B189" s="27">
        <f>EDATE(Timing!$C$6,$A$189)</f>
        <v>51775</v>
      </c>
      <c r="C189" s="25">
        <f>YEAR($B$189)</f>
        <v>2041</v>
      </c>
      <c r="D189" s="23">
        <f>IF(AND($A$189-12*Inputs!$C$76+1&gt;=3,MOD($A$189-12*Inputs!$C$76+1,3)=0),($A$189-12*Inputs!$C$76+1)/3-1,-1)</f>
        <v>-1</v>
      </c>
      <c r="E189" s="23">
        <f>$H$188</f>
        <v>6371752.57858507</v>
      </c>
      <c r="F189" s="23">
        <f>$E$189*Inputs!$C$74/12</f>
        <v>28407.396912858432</v>
      </c>
      <c r="G189" s="23">
        <f>IF($D$189&lt;0,0,IF($D$189=Timing!$C$25-1,$E$189,MAX(0,MIN($E$189,IF(Inputs!$C$77="annuity",$C$7-$E$189*Inputs!$C$74/4,IF(Inputs!$C$77="sculpted",INDEX($F$8:$AE$8,MATCH($C$189,Timing!$F$59:$AE$59,0))/INDEX(Timing!$F$86:$AE$86,MATCH($C$189,Timing!$F$59:$AE$59,0)),$C$6/Timing!$C$25))))))</f>
        <v>0</v>
      </c>
      <c r="H189" s="23">
        <f>$E$189-$G$189</f>
        <v>6371752.57858507</v>
      </c>
    </row>
    <row r="190">
      <c r="A190" s="23">
        <f>$A$189+1</f>
        <v>178</v>
      </c>
      <c r="B190" s="27">
        <f>EDATE(Timing!$C$6,$A$190)</f>
        <v>51806</v>
      </c>
      <c r="C190" s="25">
        <f>YEAR($B$190)</f>
        <v>2041</v>
      </c>
      <c r="D190" s="23">
        <f>IF(AND($A$190-12*Inputs!$C$76+1&gt;=3,MOD($A$190-12*Inputs!$C$76+1,3)=0),($A$190-12*Inputs!$C$76+1)/3-1,-1)</f>
        <v>-1</v>
      </c>
      <c r="E190" s="23">
        <f>$H$189</f>
        <v>6371752.57858507</v>
      </c>
      <c r="F190" s="23">
        <f>$E$190*Inputs!$C$74/12</f>
        <v>28407.396912858432</v>
      </c>
      <c r="G190" s="23">
        <f>IF($D$190&lt;0,0,IF($D$190=Timing!$C$25-1,$E$190,MAX(0,MIN($E$190,IF(Inputs!$C$77="annuity",$C$7-$E$190*Inputs!$C$74/4,IF(Inputs!$C$77="sculpted",INDEX($F$8:$AE$8,MATCH($C$190,Timing!$F$59:$AE$59,0))/INDEX(Timing!$F$86:$AE$86,MATCH($C$190,Timing!$F$59:$AE$59,0)),$C$6/Timing!$C$25))))))</f>
        <v>0</v>
      </c>
      <c r="H190" s="23">
        <f>$E$190-$G$190</f>
        <v>6371752.57858507</v>
      </c>
    </row>
    <row r="191">
      <c r="A191" s="23">
        <f>$A$190+1</f>
        <v>179</v>
      </c>
      <c r="B191" s="27">
        <f>EDATE(Timing!$C$6,$A$191)</f>
        <v>51836</v>
      </c>
      <c r="C191" s="25">
        <f>YEAR($B$191)</f>
        <v>2041</v>
      </c>
      <c r="D191" s="23">
        <f>IF(AND($A$191-12*Inputs!$C$76+1&gt;=3,MOD($A$191-12*Inputs!$C$76+1,3)=0),($A$191-12*Inputs!$C$76+1)/3-1,-1)</f>
        <v>47</v>
      </c>
      <c r="E191" s="23">
        <f>$H$190</f>
        <v>6371752.57858507</v>
      </c>
      <c r="F191" s="23">
        <f>$E$191*Inputs!$C$74/12</f>
        <v>28407.396912858432</v>
      </c>
      <c r="G191" s="23">
        <f>IF($D$191&lt;0,0,IF($D$191=Timing!$C$25-1,$E$191,MAX(0,MIN($E$191,IF(Inputs!$C$77="annuity",$C$7-$E$191*Inputs!$C$74/4,IF(Inputs!$C$77="sculpted",INDEX($F$8:$AE$8,MATCH($C$191,Timing!$F$59:$AE$59,0))/INDEX(Timing!$F$86:$AE$86,MATCH($C$191,Timing!$F$59:$AE$59,0)),$C$6/Timing!$C$25))))))</f>
        <v>303416.7894564312</v>
      </c>
      <c r="H191" s="23">
        <f>$E$191-$G$191</f>
        <v>6068335.789128639</v>
      </c>
    </row>
    <row r="192">
      <c r="A192" s="23">
        <f>$A$191+1</f>
        <v>180</v>
      </c>
      <c r="B192" s="27">
        <f>EDATE(Timing!$C$6,$A$192)</f>
        <v>51867</v>
      </c>
      <c r="C192" s="25">
        <f>YEAR($B$192)</f>
        <v>2042</v>
      </c>
      <c r="D192" s="23">
        <f>IF(AND($A$192-12*Inputs!$C$76+1&gt;=3,MOD($A$192-12*Inputs!$C$76+1,3)=0),($A$192-12*Inputs!$C$76+1)/3-1,-1)</f>
        <v>-1</v>
      </c>
      <c r="E192" s="23">
        <f>$H$191</f>
        <v>6068335.789128639</v>
      </c>
      <c r="F192" s="23">
        <f>$E$192*Inputs!$C$74/12</f>
        <v>27054.663726531846</v>
      </c>
      <c r="G192" s="23">
        <f>IF($D$192&lt;0,0,IF($D$192=Timing!$C$25-1,$E$192,MAX(0,MIN($E$192,IF(Inputs!$C$77="annuity",$C$7-$E$192*Inputs!$C$74/4,IF(Inputs!$C$77="sculpted",INDEX($F$8:$AE$8,MATCH($C$192,Timing!$F$59:$AE$59,0))/INDEX(Timing!$F$86:$AE$86,MATCH($C$192,Timing!$F$59:$AE$59,0)),$C$6/Timing!$C$25))))))</f>
        <v>0</v>
      </c>
      <c r="H192" s="23">
        <f>$E$192-$G$192</f>
        <v>6068335.789128639</v>
      </c>
    </row>
    <row r="193">
      <c r="A193" s="23">
        <f>$A$192+1</f>
        <v>181</v>
      </c>
      <c r="B193" s="27">
        <f>EDATE(Timing!$C$6,$A$193)</f>
        <v>51898</v>
      </c>
      <c r="C193" s="25">
        <f>YEAR($B$193)</f>
        <v>2042</v>
      </c>
      <c r="D193" s="23">
        <f>IF(AND($A$193-12*Inputs!$C$76+1&gt;=3,MOD($A$193-12*Inputs!$C$76+1,3)=0),($A$193-12*Inputs!$C$76+1)/3-1,-1)</f>
        <v>-1</v>
      </c>
      <c r="E193" s="23">
        <f>$H$192</f>
        <v>6068335.789128639</v>
      </c>
      <c r="F193" s="23">
        <f>$E$193*Inputs!$C$74/12</f>
        <v>27054.663726531846</v>
      </c>
      <c r="G193" s="23">
        <f>IF($D$193&lt;0,0,IF($D$193=Timing!$C$25-1,$E$193,MAX(0,MIN($E$193,IF(Inputs!$C$77="annuity",$C$7-$E$193*Inputs!$C$74/4,IF(Inputs!$C$77="sculpted",INDEX($F$8:$AE$8,MATCH($C$193,Timing!$F$59:$AE$59,0))/INDEX(Timing!$F$86:$AE$86,MATCH($C$193,Timing!$F$59:$AE$59,0)),$C$6/Timing!$C$25))))))</f>
        <v>0</v>
      </c>
      <c r="H193" s="23">
        <f>$E$193-$G$193</f>
        <v>6068335.789128639</v>
      </c>
    </row>
    <row r="194">
      <c r="A194" s="23">
        <f>$A$193+1</f>
        <v>182</v>
      </c>
      <c r="B194" s="27">
        <f>EDATE(Timing!$C$6,$A$194)</f>
        <v>51926</v>
      </c>
      <c r="C194" s="25">
        <f>YEAR($B$194)</f>
        <v>2042</v>
      </c>
      <c r="D194" s="23">
        <f>IF(AND($A$194-12*Inputs!$C$76+1&gt;=3,MOD($A$194-12*Inputs!$C$76+1,3)=0),($A$194-12*Inputs!$C$76+1)/3-1,-1)</f>
        <v>48</v>
      </c>
      <c r="E194" s="23">
        <f>$H$193</f>
        <v>6068335.789128639</v>
      </c>
      <c r="F194" s="23">
        <f>$E$194*Inputs!$C$74/12</f>
        <v>27054.663726531846</v>
      </c>
      <c r="G194" s="23">
        <f>IF($D$194&lt;0,0,IF($D$194=Timing!$C$25-1,$E$194,MAX(0,MIN($E$194,IF(Inputs!$C$77="annuity",$C$7-$E$194*Inputs!$C$74/4,IF(Inputs!$C$77="sculpted",INDEX($F$8:$AE$8,MATCH($C$194,Timing!$F$59:$AE$59,0))/INDEX(Timing!$F$86:$AE$86,MATCH($C$194,Timing!$F$59:$AE$59,0)),$C$6/Timing!$C$25))))))</f>
        <v>303416.7894564312</v>
      </c>
      <c r="H194" s="23">
        <f>$E$194-$G$194</f>
        <v>5764918.999672208</v>
      </c>
    </row>
    <row r="195">
      <c r="A195" s="23">
        <f>$A$194+1</f>
        <v>183</v>
      </c>
      <c r="B195" s="27">
        <f>EDATE(Timing!$C$6,$A$195)</f>
        <v>51957</v>
      </c>
      <c r="C195" s="25">
        <f>YEAR($B$195)</f>
        <v>2042</v>
      </c>
      <c r="D195" s="23">
        <f>IF(AND($A$195-12*Inputs!$C$76+1&gt;=3,MOD($A$195-12*Inputs!$C$76+1,3)=0),($A$195-12*Inputs!$C$76+1)/3-1,-1)</f>
        <v>-1</v>
      </c>
      <c r="E195" s="23">
        <f>$H$194</f>
        <v>5764918.999672208</v>
      </c>
      <c r="F195" s="23">
        <f>$E$195*Inputs!$C$74/12</f>
        <v>25701.93054020526</v>
      </c>
      <c r="G195" s="23">
        <f>IF($D$195&lt;0,0,IF($D$195=Timing!$C$25-1,$E$195,MAX(0,MIN($E$195,IF(Inputs!$C$77="annuity",$C$7-$E$195*Inputs!$C$74/4,IF(Inputs!$C$77="sculpted",INDEX($F$8:$AE$8,MATCH($C$195,Timing!$F$59:$AE$59,0))/INDEX(Timing!$F$86:$AE$86,MATCH($C$195,Timing!$F$59:$AE$59,0)),$C$6/Timing!$C$25))))))</f>
        <v>0</v>
      </c>
      <c r="H195" s="23">
        <f>$E$195-$G$195</f>
        <v>5764918.999672208</v>
      </c>
    </row>
    <row r="196">
      <c r="A196" s="23">
        <f>$A$195+1</f>
        <v>184</v>
      </c>
      <c r="B196" s="27">
        <f>EDATE(Timing!$C$6,$A$196)</f>
        <v>51987</v>
      </c>
      <c r="C196" s="25">
        <f>YEAR($B$196)</f>
        <v>2042</v>
      </c>
      <c r="D196" s="23">
        <f>IF(AND($A$196-12*Inputs!$C$76+1&gt;=3,MOD($A$196-12*Inputs!$C$76+1,3)=0),($A$196-12*Inputs!$C$76+1)/3-1,-1)</f>
        <v>-1</v>
      </c>
      <c r="E196" s="23">
        <f>$H$195</f>
        <v>5764918.999672208</v>
      </c>
      <c r="F196" s="23">
        <f>$E$196*Inputs!$C$74/12</f>
        <v>25701.93054020526</v>
      </c>
      <c r="G196" s="23">
        <f>IF($D$196&lt;0,0,IF($D$196=Timing!$C$25-1,$E$196,MAX(0,MIN($E$196,IF(Inputs!$C$77="annuity",$C$7-$E$196*Inputs!$C$74/4,IF(Inputs!$C$77="sculpted",INDEX($F$8:$AE$8,MATCH($C$196,Timing!$F$59:$AE$59,0))/INDEX(Timing!$F$86:$AE$86,MATCH($C$196,Timing!$F$59:$AE$59,0)),$C$6/Timing!$C$25))))))</f>
        <v>0</v>
      </c>
      <c r="H196" s="23">
        <f>$E$196-$G$196</f>
        <v>5764918.999672208</v>
      </c>
    </row>
    <row r="197">
      <c r="A197" s="23">
        <f>$A$196+1</f>
        <v>185</v>
      </c>
      <c r="B197" s="27">
        <f>EDATE(Timing!$C$6,$A$197)</f>
        <v>52018</v>
      </c>
      <c r="C197" s="25">
        <f>YEAR($B$197)</f>
        <v>2042</v>
      </c>
      <c r="D197" s="23">
        <f>IF(AND($A$197-12*Inputs!$C$76+1&gt;=3,MOD($A$197-12*Inputs!$C$76+1,3)=0),($A$197-12*Inputs!$C$76+1)/3-1,-1)</f>
        <v>49</v>
      </c>
      <c r="E197" s="23">
        <f>$H$196</f>
        <v>5764918.999672208</v>
      </c>
      <c r="F197" s="23">
        <f>$E$197*Inputs!$C$74/12</f>
        <v>25701.93054020526</v>
      </c>
      <c r="G197" s="23">
        <f>IF($D$197&lt;0,0,IF($D$197=Timing!$C$25-1,$E$197,MAX(0,MIN($E$197,IF(Inputs!$C$77="annuity",$C$7-$E$197*Inputs!$C$74/4,IF(Inputs!$C$77="sculpted",INDEX($F$8:$AE$8,MATCH($C$197,Timing!$F$59:$AE$59,0))/INDEX(Timing!$F$86:$AE$86,MATCH($C$197,Timing!$F$59:$AE$59,0)),$C$6/Timing!$C$25))))))</f>
        <v>303416.7894564312</v>
      </c>
      <c r="H197" s="23">
        <f>$E$197-$G$197</f>
        <v>5461502.210215777</v>
      </c>
    </row>
    <row r="198">
      <c r="A198" s="23">
        <f>$A$197+1</f>
        <v>186</v>
      </c>
      <c r="B198" s="27">
        <f>EDATE(Timing!$C$6,$A$198)</f>
        <v>52048</v>
      </c>
      <c r="C198" s="25">
        <f>YEAR($B$198)</f>
        <v>2042</v>
      </c>
      <c r="D198" s="23">
        <f>IF(AND($A$198-12*Inputs!$C$76+1&gt;=3,MOD($A$198-12*Inputs!$C$76+1,3)=0),($A$198-12*Inputs!$C$76+1)/3-1,-1)</f>
        <v>-1</v>
      </c>
      <c r="E198" s="23">
        <f>$H$197</f>
        <v>5461502.210215777</v>
      </c>
      <c r="F198" s="23">
        <f>$E$198*Inputs!$C$74/12</f>
        <v>24349.197353878673</v>
      </c>
      <c r="G198" s="23">
        <f>IF($D$198&lt;0,0,IF($D$198=Timing!$C$25-1,$E$198,MAX(0,MIN($E$198,IF(Inputs!$C$77="annuity",$C$7-$E$198*Inputs!$C$74/4,IF(Inputs!$C$77="sculpted",INDEX($F$8:$AE$8,MATCH($C$198,Timing!$F$59:$AE$59,0))/INDEX(Timing!$F$86:$AE$86,MATCH($C$198,Timing!$F$59:$AE$59,0)),$C$6/Timing!$C$25))))))</f>
        <v>0</v>
      </c>
      <c r="H198" s="23">
        <f>$E$198-$G$198</f>
        <v>5461502.210215777</v>
      </c>
    </row>
    <row r="199">
      <c r="A199" s="23">
        <f>$A$198+1</f>
        <v>187</v>
      </c>
      <c r="B199" s="27">
        <f>EDATE(Timing!$C$6,$A$199)</f>
        <v>52079</v>
      </c>
      <c r="C199" s="25">
        <f>YEAR($B$199)</f>
        <v>2042</v>
      </c>
      <c r="D199" s="23">
        <f>IF(AND($A$199-12*Inputs!$C$76+1&gt;=3,MOD($A$199-12*Inputs!$C$76+1,3)=0),($A$199-12*Inputs!$C$76+1)/3-1,-1)</f>
        <v>-1</v>
      </c>
      <c r="E199" s="23">
        <f>$H$198</f>
        <v>5461502.210215777</v>
      </c>
      <c r="F199" s="23">
        <f>$E$199*Inputs!$C$74/12</f>
        <v>24349.197353878673</v>
      </c>
      <c r="G199" s="23">
        <f>IF($D$199&lt;0,0,IF($D$199=Timing!$C$25-1,$E$199,MAX(0,MIN($E$199,IF(Inputs!$C$77="annuity",$C$7-$E$199*Inputs!$C$74/4,IF(Inputs!$C$77="sculpted",INDEX($F$8:$AE$8,MATCH($C$199,Timing!$F$59:$AE$59,0))/INDEX(Timing!$F$86:$AE$86,MATCH($C$199,Timing!$F$59:$AE$59,0)),$C$6/Timing!$C$25))))))</f>
        <v>0</v>
      </c>
      <c r="H199" s="23">
        <f>$E$199-$G$199</f>
        <v>5461502.210215777</v>
      </c>
    </row>
    <row r="200">
      <c r="A200" s="23">
        <f>$A$199+1</f>
        <v>188</v>
      </c>
      <c r="B200" s="27">
        <f>EDATE(Timing!$C$6,$A$200)</f>
        <v>52110</v>
      </c>
      <c r="C200" s="25">
        <f>YEAR($B$200)</f>
        <v>2042</v>
      </c>
      <c r="D200" s="23">
        <f>IF(AND($A$200-12*Inputs!$C$76+1&gt;=3,MOD($A$200-12*Inputs!$C$76+1,3)=0),($A$200-12*Inputs!$C$76+1)/3-1,-1)</f>
        <v>50</v>
      </c>
      <c r="E200" s="23">
        <f>$H$199</f>
        <v>5461502.210215777</v>
      </c>
      <c r="F200" s="23">
        <f>$E$200*Inputs!$C$74/12</f>
        <v>24349.197353878673</v>
      </c>
      <c r="G200" s="23">
        <f>IF($D$200&lt;0,0,IF($D$200=Timing!$C$25-1,$E$200,MAX(0,MIN($E$200,IF(Inputs!$C$77="annuity",$C$7-$E$200*Inputs!$C$74/4,IF(Inputs!$C$77="sculpted",INDEX($F$8:$AE$8,MATCH($C$200,Timing!$F$59:$AE$59,0))/INDEX(Timing!$F$86:$AE$86,MATCH($C$200,Timing!$F$59:$AE$59,0)),$C$6/Timing!$C$25))))))</f>
        <v>303416.7894564312</v>
      </c>
      <c r="H200" s="23">
        <f>$E$200-$G$200</f>
        <v>5158085.420759346</v>
      </c>
    </row>
    <row r="201">
      <c r="A201" s="23">
        <f>$A$200+1</f>
        <v>189</v>
      </c>
      <c r="B201" s="27">
        <f>EDATE(Timing!$C$6,$A$201)</f>
        <v>52140</v>
      </c>
      <c r="C201" s="25">
        <f>YEAR($B$201)</f>
        <v>2042</v>
      </c>
      <c r="D201" s="23">
        <f>IF(AND($A$201-12*Inputs!$C$76+1&gt;=3,MOD($A$201-12*Inputs!$C$76+1,3)=0),($A$201-12*Inputs!$C$76+1)/3-1,-1)</f>
        <v>-1</v>
      </c>
      <c r="E201" s="23">
        <f>$H$200</f>
        <v>5158085.420759346</v>
      </c>
      <c r="F201" s="23">
        <f>$E$201*Inputs!$C$74/12</f>
        <v>22996.464167552083</v>
      </c>
      <c r="G201" s="23">
        <f>IF($D$201&lt;0,0,IF($D$201=Timing!$C$25-1,$E$201,MAX(0,MIN($E$201,IF(Inputs!$C$77="annuity",$C$7-$E$201*Inputs!$C$74/4,IF(Inputs!$C$77="sculpted",INDEX($F$8:$AE$8,MATCH($C$201,Timing!$F$59:$AE$59,0))/INDEX(Timing!$F$86:$AE$86,MATCH($C$201,Timing!$F$59:$AE$59,0)),$C$6/Timing!$C$25))))))</f>
        <v>0</v>
      </c>
      <c r="H201" s="23">
        <f>$E$201-$G$201</f>
        <v>5158085.420759346</v>
      </c>
    </row>
    <row r="202">
      <c r="A202" s="23">
        <f>$A$201+1</f>
        <v>190</v>
      </c>
      <c r="B202" s="27">
        <f>EDATE(Timing!$C$6,$A$202)</f>
        <v>52171</v>
      </c>
      <c r="C202" s="25">
        <f>YEAR($B$202)</f>
        <v>2042</v>
      </c>
      <c r="D202" s="23">
        <f>IF(AND($A$202-12*Inputs!$C$76+1&gt;=3,MOD($A$202-12*Inputs!$C$76+1,3)=0),($A$202-12*Inputs!$C$76+1)/3-1,-1)</f>
        <v>-1</v>
      </c>
      <c r="E202" s="23">
        <f>$H$201</f>
        <v>5158085.420759346</v>
      </c>
      <c r="F202" s="23">
        <f>$E$202*Inputs!$C$74/12</f>
        <v>22996.464167552083</v>
      </c>
      <c r="G202" s="23">
        <f>IF($D$202&lt;0,0,IF($D$202=Timing!$C$25-1,$E$202,MAX(0,MIN($E$202,IF(Inputs!$C$77="annuity",$C$7-$E$202*Inputs!$C$74/4,IF(Inputs!$C$77="sculpted",INDEX($F$8:$AE$8,MATCH($C$202,Timing!$F$59:$AE$59,0))/INDEX(Timing!$F$86:$AE$86,MATCH($C$202,Timing!$F$59:$AE$59,0)),$C$6/Timing!$C$25))))))</f>
        <v>0</v>
      </c>
      <c r="H202" s="23">
        <f>$E$202-$G$202</f>
        <v>5158085.420759346</v>
      </c>
    </row>
    <row r="203">
      <c r="A203" s="23">
        <f>$A$202+1</f>
        <v>191</v>
      </c>
      <c r="B203" s="27">
        <f>EDATE(Timing!$C$6,$A$203)</f>
        <v>52201</v>
      </c>
      <c r="C203" s="25">
        <f>YEAR($B$203)</f>
        <v>2042</v>
      </c>
      <c r="D203" s="23">
        <f>IF(AND($A$203-12*Inputs!$C$76+1&gt;=3,MOD($A$203-12*Inputs!$C$76+1,3)=0),($A$203-12*Inputs!$C$76+1)/3-1,-1)</f>
        <v>51</v>
      </c>
      <c r="E203" s="23">
        <f>$H$202</f>
        <v>5158085.420759346</v>
      </c>
      <c r="F203" s="23">
        <f>$E$203*Inputs!$C$74/12</f>
        <v>22996.464167552083</v>
      </c>
      <c r="G203" s="23">
        <f>IF($D$203&lt;0,0,IF($D$203=Timing!$C$25-1,$E$203,MAX(0,MIN($E$203,IF(Inputs!$C$77="annuity",$C$7-$E$203*Inputs!$C$74/4,IF(Inputs!$C$77="sculpted",INDEX($F$8:$AE$8,MATCH($C$203,Timing!$F$59:$AE$59,0))/INDEX(Timing!$F$86:$AE$86,MATCH($C$203,Timing!$F$59:$AE$59,0)),$C$6/Timing!$C$25))))))</f>
        <v>303416.7894564312</v>
      </c>
      <c r="H203" s="23">
        <f>$E$203-$G$203</f>
        <v>4854668.6313029155</v>
      </c>
    </row>
    <row r="204">
      <c r="A204" s="23">
        <f>$A$203+1</f>
        <v>192</v>
      </c>
      <c r="B204" s="27">
        <f>EDATE(Timing!$C$6,$A$204)</f>
        <v>52232</v>
      </c>
      <c r="C204" s="25">
        <f>YEAR($B$204)</f>
        <v>2043</v>
      </c>
      <c r="D204" s="23">
        <f>IF(AND($A$204-12*Inputs!$C$76+1&gt;=3,MOD($A$204-12*Inputs!$C$76+1,3)=0),($A$204-12*Inputs!$C$76+1)/3-1,-1)</f>
        <v>-1</v>
      </c>
      <c r="E204" s="23">
        <f>$H$203</f>
        <v>4854668.6313029155</v>
      </c>
      <c r="F204" s="23">
        <f>$E$204*Inputs!$C$74/12</f>
        <v>21643.730981225497</v>
      </c>
      <c r="G204" s="23">
        <f>IF($D$204&lt;0,0,IF($D$204=Timing!$C$25-1,$E$204,MAX(0,MIN($E$204,IF(Inputs!$C$77="annuity",$C$7-$E$204*Inputs!$C$74/4,IF(Inputs!$C$77="sculpted",INDEX($F$8:$AE$8,MATCH($C$204,Timing!$F$59:$AE$59,0))/INDEX(Timing!$F$86:$AE$86,MATCH($C$204,Timing!$F$59:$AE$59,0)),$C$6/Timing!$C$25))))))</f>
        <v>0</v>
      </c>
      <c r="H204" s="23">
        <f>$E$204-$G$204</f>
        <v>4854668.6313029155</v>
      </c>
    </row>
    <row r="205">
      <c r="A205" s="23">
        <f>$A$204+1</f>
        <v>193</v>
      </c>
      <c r="B205" s="27">
        <f>EDATE(Timing!$C$6,$A$205)</f>
        <v>52263</v>
      </c>
      <c r="C205" s="25">
        <f>YEAR($B$205)</f>
        <v>2043</v>
      </c>
      <c r="D205" s="23">
        <f>IF(AND($A$205-12*Inputs!$C$76+1&gt;=3,MOD($A$205-12*Inputs!$C$76+1,3)=0),($A$205-12*Inputs!$C$76+1)/3-1,-1)</f>
        <v>-1</v>
      </c>
      <c r="E205" s="23">
        <f>$H$204</f>
        <v>4854668.6313029155</v>
      </c>
      <c r="F205" s="23">
        <f>$E$205*Inputs!$C$74/12</f>
        <v>21643.730981225497</v>
      </c>
      <c r="G205" s="23">
        <f>IF($D$205&lt;0,0,IF($D$205=Timing!$C$25-1,$E$205,MAX(0,MIN($E$205,IF(Inputs!$C$77="annuity",$C$7-$E$205*Inputs!$C$74/4,IF(Inputs!$C$77="sculpted",INDEX($F$8:$AE$8,MATCH($C$205,Timing!$F$59:$AE$59,0))/INDEX(Timing!$F$86:$AE$86,MATCH($C$205,Timing!$F$59:$AE$59,0)),$C$6/Timing!$C$25))))))</f>
        <v>0</v>
      </c>
      <c r="H205" s="23">
        <f>$E$205-$G$205</f>
        <v>4854668.6313029155</v>
      </c>
    </row>
    <row r="206">
      <c r="A206" s="23">
        <f>$A$205+1</f>
        <v>194</v>
      </c>
      <c r="B206" s="27">
        <f>EDATE(Timing!$C$6,$A$206)</f>
        <v>52291</v>
      </c>
      <c r="C206" s="25">
        <f>YEAR($B$206)</f>
        <v>2043</v>
      </c>
      <c r="D206" s="23">
        <f>IF(AND($A$206-12*Inputs!$C$76+1&gt;=3,MOD($A$206-12*Inputs!$C$76+1,3)=0),($A$206-12*Inputs!$C$76+1)/3-1,-1)</f>
        <v>52</v>
      </c>
      <c r="E206" s="23">
        <f>$H$205</f>
        <v>4854668.6313029155</v>
      </c>
      <c r="F206" s="23">
        <f>$E$206*Inputs!$C$74/12</f>
        <v>21643.730981225497</v>
      </c>
      <c r="G206" s="23">
        <f>IF($D$206&lt;0,0,IF($D$206=Timing!$C$25-1,$E$206,MAX(0,MIN($E$206,IF(Inputs!$C$77="annuity",$C$7-$E$206*Inputs!$C$74/4,IF(Inputs!$C$77="sculpted",INDEX($F$8:$AE$8,MATCH($C$206,Timing!$F$59:$AE$59,0))/INDEX(Timing!$F$86:$AE$86,MATCH($C$206,Timing!$F$59:$AE$59,0)),$C$6/Timing!$C$25))))))</f>
        <v>303416.7894564312</v>
      </c>
      <c r="H206" s="23">
        <f>$E$206-$G$206</f>
        <v>4551251.841846485</v>
      </c>
    </row>
    <row r="207">
      <c r="A207" s="23">
        <f>$A$206+1</f>
        <v>195</v>
      </c>
      <c r="B207" s="27">
        <f>EDATE(Timing!$C$6,$A$207)</f>
        <v>52322</v>
      </c>
      <c r="C207" s="25">
        <f>YEAR($B$207)</f>
        <v>2043</v>
      </c>
      <c r="D207" s="23">
        <f>IF(AND($A$207-12*Inputs!$C$76+1&gt;=3,MOD($A$207-12*Inputs!$C$76+1,3)=0),($A$207-12*Inputs!$C$76+1)/3-1,-1)</f>
        <v>-1</v>
      </c>
      <c r="E207" s="23">
        <f>$H$206</f>
        <v>4551251.841846485</v>
      </c>
      <c r="F207" s="23">
        <f>$E$207*Inputs!$C$74/12</f>
        <v>20290.99779489891</v>
      </c>
      <c r="G207" s="23">
        <f>IF($D$207&lt;0,0,IF($D$207=Timing!$C$25-1,$E$207,MAX(0,MIN($E$207,IF(Inputs!$C$77="annuity",$C$7-$E$207*Inputs!$C$74/4,IF(Inputs!$C$77="sculpted",INDEX($F$8:$AE$8,MATCH($C$207,Timing!$F$59:$AE$59,0))/INDEX(Timing!$F$86:$AE$86,MATCH($C$207,Timing!$F$59:$AE$59,0)),$C$6/Timing!$C$25))))))</f>
        <v>0</v>
      </c>
      <c r="H207" s="23">
        <f>$E$207-$G$207</f>
        <v>4551251.841846485</v>
      </c>
    </row>
    <row r="208">
      <c r="A208" s="23">
        <f>$A$207+1</f>
        <v>196</v>
      </c>
      <c r="B208" s="27">
        <f>EDATE(Timing!$C$6,$A$208)</f>
        <v>52352</v>
      </c>
      <c r="C208" s="25">
        <f>YEAR($B$208)</f>
        <v>2043</v>
      </c>
      <c r="D208" s="23">
        <f>IF(AND($A$208-12*Inputs!$C$76+1&gt;=3,MOD($A$208-12*Inputs!$C$76+1,3)=0),($A$208-12*Inputs!$C$76+1)/3-1,-1)</f>
        <v>-1</v>
      </c>
      <c r="E208" s="23">
        <f>$H$207</f>
        <v>4551251.841846485</v>
      </c>
      <c r="F208" s="23">
        <f>$E$208*Inputs!$C$74/12</f>
        <v>20290.99779489891</v>
      </c>
      <c r="G208" s="23">
        <f>IF($D$208&lt;0,0,IF($D$208=Timing!$C$25-1,$E$208,MAX(0,MIN($E$208,IF(Inputs!$C$77="annuity",$C$7-$E$208*Inputs!$C$74/4,IF(Inputs!$C$77="sculpted",INDEX($F$8:$AE$8,MATCH($C$208,Timing!$F$59:$AE$59,0))/INDEX(Timing!$F$86:$AE$86,MATCH($C$208,Timing!$F$59:$AE$59,0)),$C$6/Timing!$C$25))))))</f>
        <v>0</v>
      </c>
      <c r="H208" s="23">
        <f>$E$208-$G$208</f>
        <v>4551251.841846485</v>
      </c>
    </row>
    <row r="209">
      <c r="A209" s="23">
        <f>$A$208+1</f>
        <v>197</v>
      </c>
      <c r="B209" s="27">
        <f>EDATE(Timing!$C$6,$A$209)</f>
        <v>52383</v>
      </c>
      <c r="C209" s="25">
        <f>YEAR($B$209)</f>
        <v>2043</v>
      </c>
      <c r="D209" s="23">
        <f>IF(AND($A$209-12*Inputs!$C$76+1&gt;=3,MOD($A$209-12*Inputs!$C$76+1,3)=0),($A$209-12*Inputs!$C$76+1)/3-1,-1)</f>
        <v>53</v>
      </c>
      <c r="E209" s="23">
        <f>$H$208</f>
        <v>4551251.841846485</v>
      </c>
      <c r="F209" s="23">
        <f>$E$209*Inputs!$C$74/12</f>
        <v>20290.99779489891</v>
      </c>
      <c r="G209" s="23">
        <f>IF($D$209&lt;0,0,IF($D$209=Timing!$C$25-1,$E$209,MAX(0,MIN($E$209,IF(Inputs!$C$77="annuity",$C$7-$E$209*Inputs!$C$74/4,IF(Inputs!$C$77="sculpted",INDEX($F$8:$AE$8,MATCH($C$209,Timing!$F$59:$AE$59,0))/INDEX(Timing!$F$86:$AE$86,MATCH($C$209,Timing!$F$59:$AE$59,0)),$C$6/Timing!$C$25))))))</f>
        <v>303416.7894564312</v>
      </c>
      <c r="H209" s="23">
        <f>$E$209-$G$209</f>
        <v>4247835.052390054</v>
      </c>
    </row>
    <row r="210">
      <c r="A210" s="23">
        <f>$A$209+1</f>
        <v>198</v>
      </c>
      <c r="B210" s="27">
        <f>EDATE(Timing!$C$6,$A$210)</f>
        <v>52413</v>
      </c>
      <c r="C210" s="25">
        <f>YEAR($B$210)</f>
        <v>2043</v>
      </c>
      <c r="D210" s="23">
        <f>IF(AND($A$210-12*Inputs!$C$76+1&gt;=3,MOD($A$210-12*Inputs!$C$76+1,3)=0),($A$210-12*Inputs!$C$76+1)/3-1,-1)</f>
        <v>-1</v>
      </c>
      <c r="E210" s="23">
        <f>$H$209</f>
        <v>4247835.052390054</v>
      </c>
      <c r="F210" s="23">
        <f>$E$210*Inputs!$C$74/12</f>
        <v>18938.26460857232</v>
      </c>
      <c r="G210" s="23">
        <f>IF($D$210&lt;0,0,IF($D$210=Timing!$C$25-1,$E$210,MAX(0,MIN($E$210,IF(Inputs!$C$77="annuity",$C$7-$E$210*Inputs!$C$74/4,IF(Inputs!$C$77="sculpted",INDEX($F$8:$AE$8,MATCH($C$210,Timing!$F$59:$AE$59,0))/INDEX(Timing!$F$86:$AE$86,MATCH($C$210,Timing!$F$59:$AE$59,0)),$C$6/Timing!$C$25))))))</f>
        <v>0</v>
      </c>
      <c r="H210" s="23">
        <f>$E$210-$G$210</f>
        <v>4247835.052390054</v>
      </c>
    </row>
    <row r="211">
      <c r="A211" s="23">
        <f>$A$210+1</f>
        <v>199</v>
      </c>
      <c r="B211" s="27">
        <f>EDATE(Timing!$C$6,$A$211)</f>
        <v>52444</v>
      </c>
      <c r="C211" s="25">
        <f>YEAR($B$211)</f>
        <v>2043</v>
      </c>
      <c r="D211" s="23">
        <f>IF(AND($A$211-12*Inputs!$C$76+1&gt;=3,MOD($A$211-12*Inputs!$C$76+1,3)=0),($A$211-12*Inputs!$C$76+1)/3-1,-1)</f>
        <v>-1</v>
      </c>
      <c r="E211" s="23">
        <f>$H$210</f>
        <v>4247835.052390054</v>
      </c>
      <c r="F211" s="23">
        <f>$E$211*Inputs!$C$74/12</f>
        <v>18938.26460857232</v>
      </c>
      <c r="G211" s="23">
        <f>IF($D$211&lt;0,0,IF($D$211=Timing!$C$25-1,$E$211,MAX(0,MIN($E$211,IF(Inputs!$C$77="annuity",$C$7-$E$211*Inputs!$C$74/4,IF(Inputs!$C$77="sculpted",INDEX($F$8:$AE$8,MATCH($C$211,Timing!$F$59:$AE$59,0))/INDEX(Timing!$F$86:$AE$86,MATCH($C$211,Timing!$F$59:$AE$59,0)),$C$6/Timing!$C$25))))))</f>
        <v>0</v>
      </c>
      <c r="H211" s="23">
        <f>$E$211-$G$211</f>
        <v>4247835.052390054</v>
      </c>
    </row>
    <row r="212">
      <c r="A212" s="23">
        <f>$A$211+1</f>
        <v>200</v>
      </c>
      <c r="B212" s="27">
        <f>EDATE(Timing!$C$6,$A$212)</f>
        <v>52475</v>
      </c>
      <c r="C212" s="25">
        <f>YEAR($B$212)</f>
        <v>2043</v>
      </c>
      <c r="D212" s="23">
        <f>IF(AND($A$212-12*Inputs!$C$76+1&gt;=3,MOD($A$212-12*Inputs!$C$76+1,3)=0),($A$212-12*Inputs!$C$76+1)/3-1,-1)</f>
        <v>54</v>
      </c>
      <c r="E212" s="23">
        <f>$H$211</f>
        <v>4247835.052390054</v>
      </c>
      <c r="F212" s="23">
        <f>$E$212*Inputs!$C$74/12</f>
        <v>18938.26460857232</v>
      </c>
      <c r="G212" s="23">
        <f>IF($D$212&lt;0,0,IF($D$212=Timing!$C$25-1,$E$212,MAX(0,MIN($E$212,IF(Inputs!$C$77="annuity",$C$7-$E$212*Inputs!$C$74/4,IF(Inputs!$C$77="sculpted",INDEX($F$8:$AE$8,MATCH($C$212,Timing!$F$59:$AE$59,0))/INDEX(Timing!$F$86:$AE$86,MATCH($C$212,Timing!$F$59:$AE$59,0)),$C$6/Timing!$C$25))))))</f>
        <v>303416.7894564312</v>
      </c>
      <c r="H212" s="23">
        <f>$E$212-$G$212</f>
        <v>3944418.2629336226</v>
      </c>
    </row>
    <row r="213">
      <c r="A213" s="23">
        <f>$A$212+1</f>
        <v>201</v>
      </c>
      <c r="B213" s="27">
        <f>EDATE(Timing!$C$6,$A$213)</f>
        <v>52505</v>
      </c>
      <c r="C213" s="25">
        <f>YEAR($B$213)</f>
        <v>2043</v>
      </c>
      <c r="D213" s="23">
        <f>IF(AND($A$213-12*Inputs!$C$76+1&gt;=3,MOD($A$213-12*Inputs!$C$76+1,3)=0),($A$213-12*Inputs!$C$76+1)/3-1,-1)</f>
        <v>-1</v>
      </c>
      <c r="E213" s="23">
        <f>$H$212</f>
        <v>3944418.2629336226</v>
      </c>
      <c r="F213" s="23">
        <f>$E$213*Inputs!$C$74/12</f>
        <v>17585.531422245735</v>
      </c>
      <c r="G213" s="23">
        <f>IF($D$213&lt;0,0,IF($D$213=Timing!$C$25-1,$E$213,MAX(0,MIN($E$213,IF(Inputs!$C$77="annuity",$C$7-$E$213*Inputs!$C$74/4,IF(Inputs!$C$77="sculpted",INDEX($F$8:$AE$8,MATCH($C$213,Timing!$F$59:$AE$59,0))/INDEX(Timing!$F$86:$AE$86,MATCH($C$213,Timing!$F$59:$AE$59,0)),$C$6/Timing!$C$25))))))</f>
        <v>0</v>
      </c>
      <c r="H213" s="23">
        <f>$E$213-$G$213</f>
        <v>3944418.2629336226</v>
      </c>
    </row>
    <row r="214">
      <c r="A214" s="23">
        <f>$A$213+1</f>
        <v>202</v>
      </c>
      <c r="B214" s="27">
        <f>EDATE(Timing!$C$6,$A$214)</f>
        <v>52536</v>
      </c>
      <c r="C214" s="25">
        <f>YEAR($B$214)</f>
        <v>2043</v>
      </c>
      <c r="D214" s="23">
        <f>IF(AND($A$214-12*Inputs!$C$76+1&gt;=3,MOD($A$214-12*Inputs!$C$76+1,3)=0),($A$214-12*Inputs!$C$76+1)/3-1,-1)</f>
        <v>-1</v>
      </c>
      <c r="E214" s="23">
        <f>$H$213</f>
        <v>3944418.2629336226</v>
      </c>
      <c r="F214" s="23">
        <f>$E$214*Inputs!$C$74/12</f>
        <v>17585.531422245735</v>
      </c>
      <c r="G214" s="23">
        <f>IF($D$214&lt;0,0,IF($D$214=Timing!$C$25-1,$E$214,MAX(0,MIN($E$214,IF(Inputs!$C$77="annuity",$C$7-$E$214*Inputs!$C$74/4,IF(Inputs!$C$77="sculpted",INDEX($F$8:$AE$8,MATCH($C$214,Timing!$F$59:$AE$59,0))/INDEX(Timing!$F$86:$AE$86,MATCH($C$214,Timing!$F$59:$AE$59,0)),$C$6/Timing!$C$25))))))</f>
        <v>0</v>
      </c>
      <c r="H214" s="23">
        <f>$E$214-$G$214</f>
        <v>3944418.2629336226</v>
      </c>
    </row>
    <row r="215">
      <c r="A215" s="23">
        <f>$A$214+1</f>
        <v>203</v>
      </c>
      <c r="B215" s="27">
        <f>EDATE(Timing!$C$6,$A$215)</f>
        <v>52566</v>
      </c>
      <c r="C215" s="25">
        <f>YEAR($B$215)</f>
        <v>2043</v>
      </c>
      <c r="D215" s="23">
        <f>IF(AND($A$215-12*Inputs!$C$76+1&gt;=3,MOD($A$215-12*Inputs!$C$76+1,3)=0),($A$215-12*Inputs!$C$76+1)/3-1,-1)</f>
        <v>55</v>
      </c>
      <c r="E215" s="23">
        <f>$H$214</f>
        <v>3944418.2629336226</v>
      </c>
      <c r="F215" s="23">
        <f>$E$215*Inputs!$C$74/12</f>
        <v>17585.531422245735</v>
      </c>
      <c r="G215" s="23">
        <f>IF($D$215&lt;0,0,IF($D$215=Timing!$C$25-1,$E$215,MAX(0,MIN($E$215,IF(Inputs!$C$77="annuity",$C$7-$E$215*Inputs!$C$74/4,IF(Inputs!$C$77="sculpted",INDEX($F$8:$AE$8,MATCH($C$215,Timing!$F$59:$AE$59,0))/INDEX(Timing!$F$86:$AE$86,MATCH($C$215,Timing!$F$59:$AE$59,0)),$C$6/Timing!$C$25))))))</f>
        <v>303416.7894564312</v>
      </c>
      <c r="H215" s="23">
        <f>$E$215-$G$215</f>
        <v>3641001.4734771913</v>
      </c>
    </row>
    <row r="216">
      <c r="A216" s="23">
        <f>$A$215+1</f>
        <v>204</v>
      </c>
      <c r="B216" s="27">
        <f>EDATE(Timing!$C$6,$A$216)</f>
        <v>52597</v>
      </c>
      <c r="C216" s="25">
        <f>YEAR($B$216)</f>
        <v>2044</v>
      </c>
      <c r="D216" s="23">
        <f>IF(AND($A$216-12*Inputs!$C$76+1&gt;=3,MOD($A$216-12*Inputs!$C$76+1,3)=0),($A$216-12*Inputs!$C$76+1)/3-1,-1)</f>
        <v>-1</v>
      </c>
      <c r="E216" s="23">
        <f>$H$215</f>
        <v>3641001.4734771913</v>
      </c>
      <c r="F216" s="23">
        <f>$E$216*Inputs!$C$74/12</f>
        <v>16232.798235919145</v>
      </c>
      <c r="G216" s="23">
        <f>IF($D$216&lt;0,0,IF($D$216=Timing!$C$25-1,$E$216,MAX(0,MIN($E$216,IF(Inputs!$C$77="annuity",$C$7-$E$216*Inputs!$C$74/4,IF(Inputs!$C$77="sculpted",INDEX($F$8:$AE$8,MATCH($C$216,Timing!$F$59:$AE$59,0))/INDEX(Timing!$F$86:$AE$86,MATCH($C$216,Timing!$F$59:$AE$59,0)),$C$6/Timing!$C$25))))))</f>
        <v>0</v>
      </c>
      <c r="H216" s="23">
        <f>$E$216-$G$216</f>
        <v>3641001.4734771913</v>
      </c>
    </row>
    <row r="217">
      <c r="A217" s="23">
        <f>$A$216+1</f>
        <v>205</v>
      </c>
      <c r="B217" s="27">
        <f>EDATE(Timing!$C$6,$A$217)</f>
        <v>52628</v>
      </c>
      <c r="C217" s="25">
        <f>YEAR($B$217)</f>
        <v>2044</v>
      </c>
      <c r="D217" s="23">
        <f>IF(AND($A$217-12*Inputs!$C$76+1&gt;=3,MOD($A$217-12*Inputs!$C$76+1,3)=0),($A$217-12*Inputs!$C$76+1)/3-1,-1)</f>
        <v>-1</v>
      </c>
      <c r="E217" s="23">
        <f>$H$216</f>
        <v>3641001.4734771913</v>
      </c>
      <c r="F217" s="23">
        <f>$E$217*Inputs!$C$74/12</f>
        <v>16232.798235919145</v>
      </c>
      <c r="G217" s="23">
        <f>IF($D$217&lt;0,0,IF($D$217=Timing!$C$25-1,$E$217,MAX(0,MIN($E$217,IF(Inputs!$C$77="annuity",$C$7-$E$217*Inputs!$C$74/4,IF(Inputs!$C$77="sculpted",INDEX($F$8:$AE$8,MATCH($C$217,Timing!$F$59:$AE$59,0))/INDEX(Timing!$F$86:$AE$86,MATCH($C$217,Timing!$F$59:$AE$59,0)),$C$6/Timing!$C$25))))))</f>
        <v>0</v>
      </c>
      <c r="H217" s="23">
        <f>$E$217-$G$217</f>
        <v>3641001.4734771913</v>
      </c>
    </row>
    <row r="218">
      <c r="A218" s="23">
        <f>$A$217+1</f>
        <v>206</v>
      </c>
      <c r="B218" s="27">
        <f>EDATE(Timing!$C$6,$A$218)</f>
        <v>52657</v>
      </c>
      <c r="C218" s="25">
        <f>YEAR($B$218)</f>
        <v>2044</v>
      </c>
      <c r="D218" s="23">
        <f>IF(AND($A$218-12*Inputs!$C$76+1&gt;=3,MOD($A$218-12*Inputs!$C$76+1,3)=0),($A$218-12*Inputs!$C$76+1)/3-1,-1)</f>
        <v>56</v>
      </c>
      <c r="E218" s="23">
        <f>$H$217</f>
        <v>3641001.4734771913</v>
      </c>
      <c r="F218" s="23">
        <f>$E$218*Inputs!$C$74/12</f>
        <v>16232.798235919145</v>
      </c>
      <c r="G218" s="23">
        <f>IF($D$218&lt;0,0,IF($D$218=Timing!$C$25-1,$E$218,MAX(0,MIN($E$218,IF(Inputs!$C$77="annuity",$C$7-$E$218*Inputs!$C$74/4,IF(Inputs!$C$77="sculpted",INDEX($F$8:$AE$8,MATCH($C$218,Timing!$F$59:$AE$59,0))/INDEX(Timing!$F$86:$AE$86,MATCH($C$218,Timing!$F$59:$AE$59,0)),$C$6/Timing!$C$25))))))</f>
        <v>303416.7894564312</v>
      </c>
      <c r="H218" s="23">
        <f>$E$218-$G$218</f>
        <v>3337584.68402076</v>
      </c>
    </row>
    <row r="219">
      <c r="A219" s="23">
        <f>$A$218+1</f>
        <v>207</v>
      </c>
      <c r="B219" s="27">
        <f>EDATE(Timing!$C$6,$A$219)</f>
        <v>52688</v>
      </c>
      <c r="C219" s="25">
        <f>YEAR($B$219)</f>
        <v>2044</v>
      </c>
      <c r="D219" s="23">
        <f>IF(AND($A$219-12*Inputs!$C$76+1&gt;=3,MOD($A$219-12*Inputs!$C$76+1,3)=0),($A$219-12*Inputs!$C$76+1)/3-1,-1)</f>
        <v>-1</v>
      </c>
      <c r="E219" s="23">
        <f>$H$218</f>
        <v>3337584.68402076</v>
      </c>
      <c r="F219" s="23">
        <f>$E$219*Inputs!$C$74/12</f>
        <v>14880.065049592557</v>
      </c>
      <c r="G219" s="23">
        <f>IF($D$219&lt;0,0,IF($D$219=Timing!$C$25-1,$E$219,MAX(0,MIN($E$219,IF(Inputs!$C$77="annuity",$C$7-$E$219*Inputs!$C$74/4,IF(Inputs!$C$77="sculpted",INDEX($F$8:$AE$8,MATCH($C$219,Timing!$F$59:$AE$59,0))/INDEX(Timing!$F$86:$AE$86,MATCH($C$219,Timing!$F$59:$AE$59,0)),$C$6/Timing!$C$25))))))</f>
        <v>0</v>
      </c>
      <c r="H219" s="23">
        <f>$E$219-$G$219</f>
        <v>3337584.68402076</v>
      </c>
    </row>
    <row r="220">
      <c r="A220" s="23">
        <f>$A$219+1</f>
        <v>208</v>
      </c>
      <c r="B220" s="27">
        <f>EDATE(Timing!$C$6,$A$220)</f>
        <v>52718</v>
      </c>
      <c r="C220" s="25">
        <f>YEAR($B$220)</f>
        <v>2044</v>
      </c>
      <c r="D220" s="23">
        <f>IF(AND($A$220-12*Inputs!$C$76+1&gt;=3,MOD($A$220-12*Inputs!$C$76+1,3)=0),($A$220-12*Inputs!$C$76+1)/3-1,-1)</f>
        <v>-1</v>
      </c>
      <c r="E220" s="23">
        <f>$H$219</f>
        <v>3337584.68402076</v>
      </c>
      <c r="F220" s="23">
        <f>$E$220*Inputs!$C$74/12</f>
        <v>14880.065049592557</v>
      </c>
      <c r="G220" s="23">
        <f>IF($D$220&lt;0,0,IF($D$220=Timing!$C$25-1,$E$220,MAX(0,MIN($E$220,IF(Inputs!$C$77="annuity",$C$7-$E$220*Inputs!$C$74/4,IF(Inputs!$C$77="sculpted",INDEX($F$8:$AE$8,MATCH($C$220,Timing!$F$59:$AE$59,0))/INDEX(Timing!$F$86:$AE$86,MATCH($C$220,Timing!$F$59:$AE$59,0)),$C$6/Timing!$C$25))))))</f>
        <v>0</v>
      </c>
      <c r="H220" s="23">
        <f>$E$220-$G$220</f>
        <v>3337584.68402076</v>
      </c>
    </row>
    <row r="221">
      <c r="A221" s="23">
        <f>$A$220+1</f>
        <v>209</v>
      </c>
      <c r="B221" s="27">
        <f>EDATE(Timing!$C$6,$A$221)</f>
        <v>52749</v>
      </c>
      <c r="C221" s="25">
        <f>YEAR($B$221)</f>
        <v>2044</v>
      </c>
      <c r="D221" s="23">
        <f>IF(AND($A$221-12*Inputs!$C$76+1&gt;=3,MOD($A$221-12*Inputs!$C$76+1,3)=0),($A$221-12*Inputs!$C$76+1)/3-1,-1)</f>
        <v>57</v>
      </c>
      <c r="E221" s="23">
        <f>$H$220</f>
        <v>3337584.68402076</v>
      </c>
      <c r="F221" s="23">
        <f>$E$221*Inputs!$C$74/12</f>
        <v>14880.065049592557</v>
      </c>
      <c r="G221" s="23">
        <f>IF($D$221&lt;0,0,IF($D$221=Timing!$C$25-1,$E$221,MAX(0,MIN($E$221,IF(Inputs!$C$77="annuity",$C$7-$E$221*Inputs!$C$74/4,IF(Inputs!$C$77="sculpted",INDEX($F$8:$AE$8,MATCH($C$221,Timing!$F$59:$AE$59,0))/INDEX(Timing!$F$86:$AE$86,MATCH($C$221,Timing!$F$59:$AE$59,0)),$C$6/Timing!$C$25))))))</f>
        <v>303416.7894564312</v>
      </c>
      <c r="H221" s="23">
        <f>$E$221-$G$221</f>
        <v>3034167.8945643287</v>
      </c>
    </row>
    <row r="222">
      <c r="A222" s="23">
        <f>$A$221+1</f>
        <v>210</v>
      </c>
      <c r="B222" s="27">
        <f>EDATE(Timing!$C$6,$A$222)</f>
        <v>52779</v>
      </c>
      <c r="C222" s="25">
        <f>YEAR($B$222)</f>
        <v>2044</v>
      </c>
      <c r="D222" s="23">
        <f>IF(AND($A$222-12*Inputs!$C$76+1&gt;=3,MOD($A$222-12*Inputs!$C$76+1,3)=0),($A$222-12*Inputs!$C$76+1)/3-1,-1)</f>
        <v>-1</v>
      </c>
      <c r="E222" s="23">
        <f>$H$221</f>
        <v>3034167.8945643287</v>
      </c>
      <c r="F222" s="23">
        <f>$E$222*Inputs!$C$74/12</f>
        <v>13527.331863265965</v>
      </c>
      <c r="G222" s="23">
        <f>IF($D$222&lt;0,0,IF($D$222=Timing!$C$25-1,$E$222,MAX(0,MIN($E$222,IF(Inputs!$C$77="annuity",$C$7-$E$222*Inputs!$C$74/4,IF(Inputs!$C$77="sculpted",INDEX($F$8:$AE$8,MATCH($C$222,Timing!$F$59:$AE$59,0))/INDEX(Timing!$F$86:$AE$86,MATCH($C$222,Timing!$F$59:$AE$59,0)),$C$6/Timing!$C$25))))))</f>
        <v>0</v>
      </c>
      <c r="H222" s="23">
        <f>$E$222-$G$222</f>
        <v>3034167.8945643287</v>
      </c>
    </row>
    <row r="223">
      <c r="A223" s="23">
        <f>$A$222+1</f>
        <v>211</v>
      </c>
      <c r="B223" s="27">
        <f>EDATE(Timing!$C$6,$A$223)</f>
        <v>52810</v>
      </c>
      <c r="C223" s="25">
        <f>YEAR($B$223)</f>
        <v>2044</v>
      </c>
      <c r="D223" s="23">
        <f>IF(AND($A$223-12*Inputs!$C$76+1&gt;=3,MOD($A$223-12*Inputs!$C$76+1,3)=0),($A$223-12*Inputs!$C$76+1)/3-1,-1)</f>
        <v>-1</v>
      </c>
      <c r="E223" s="23">
        <f>$H$222</f>
        <v>3034167.8945643287</v>
      </c>
      <c r="F223" s="23">
        <f>$E$223*Inputs!$C$74/12</f>
        <v>13527.331863265965</v>
      </c>
      <c r="G223" s="23">
        <f>IF($D$223&lt;0,0,IF($D$223=Timing!$C$25-1,$E$223,MAX(0,MIN($E$223,IF(Inputs!$C$77="annuity",$C$7-$E$223*Inputs!$C$74/4,IF(Inputs!$C$77="sculpted",INDEX($F$8:$AE$8,MATCH($C$223,Timing!$F$59:$AE$59,0))/INDEX(Timing!$F$86:$AE$86,MATCH($C$223,Timing!$F$59:$AE$59,0)),$C$6/Timing!$C$25))))))</f>
        <v>0</v>
      </c>
      <c r="H223" s="23">
        <f>$E$223-$G$223</f>
        <v>3034167.8945643287</v>
      </c>
    </row>
    <row r="224">
      <c r="A224" s="23">
        <f>$A$223+1</f>
        <v>212</v>
      </c>
      <c r="B224" s="27">
        <f>EDATE(Timing!$C$6,$A$224)</f>
        <v>52841</v>
      </c>
      <c r="C224" s="25">
        <f>YEAR($B$224)</f>
        <v>2044</v>
      </c>
      <c r="D224" s="23">
        <f>IF(AND($A$224-12*Inputs!$C$76+1&gt;=3,MOD($A$224-12*Inputs!$C$76+1,3)=0),($A$224-12*Inputs!$C$76+1)/3-1,-1)</f>
        <v>58</v>
      </c>
      <c r="E224" s="23">
        <f>$H$223</f>
        <v>3034167.8945643287</v>
      </c>
      <c r="F224" s="23">
        <f>$E$224*Inputs!$C$74/12</f>
        <v>13527.331863265965</v>
      </c>
      <c r="G224" s="23">
        <f>IF($D$224&lt;0,0,IF($D$224=Timing!$C$25-1,$E$224,MAX(0,MIN($E$224,IF(Inputs!$C$77="annuity",$C$7-$E$224*Inputs!$C$74/4,IF(Inputs!$C$77="sculpted",INDEX($F$8:$AE$8,MATCH($C$224,Timing!$F$59:$AE$59,0))/INDEX(Timing!$F$86:$AE$86,MATCH($C$224,Timing!$F$59:$AE$59,0)),$C$6/Timing!$C$25))))))</f>
        <v>303416.7894564312</v>
      </c>
      <c r="H224" s="23">
        <f>$E$224-$G$224</f>
        <v>2730751.1051078974</v>
      </c>
    </row>
    <row r="225">
      <c r="A225" s="23">
        <f>$A$224+1</f>
        <v>213</v>
      </c>
      <c r="B225" s="27">
        <f>EDATE(Timing!$C$6,$A$225)</f>
        <v>52871</v>
      </c>
      <c r="C225" s="25">
        <f>YEAR($B$225)</f>
        <v>2044</v>
      </c>
      <c r="D225" s="23">
        <f>IF(AND($A$225-12*Inputs!$C$76+1&gt;=3,MOD($A$225-12*Inputs!$C$76+1,3)=0),($A$225-12*Inputs!$C$76+1)/3-1,-1)</f>
        <v>-1</v>
      </c>
      <c r="E225" s="23">
        <f>$H$224</f>
        <v>2730751.1051078974</v>
      </c>
      <c r="F225" s="23">
        <f>$E$225*Inputs!$C$74/12</f>
        <v>12174.598676939377</v>
      </c>
      <c r="G225" s="23">
        <f>IF($D$225&lt;0,0,IF($D$225=Timing!$C$25-1,$E$225,MAX(0,MIN($E$225,IF(Inputs!$C$77="annuity",$C$7-$E$225*Inputs!$C$74/4,IF(Inputs!$C$77="sculpted",INDEX($F$8:$AE$8,MATCH($C$225,Timing!$F$59:$AE$59,0))/INDEX(Timing!$F$86:$AE$86,MATCH($C$225,Timing!$F$59:$AE$59,0)),$C$6/Timing!$C$25))))))</f>
        <v>0</v>
      </c>
      <c r="H225" s="23">
        <f>$E$225-$G$225</f>
        <v>2730751.1051078974</v>
      </c>
    </row>
    <row r="226">
      <c r="A226" s="23">
        <f>$A$225+1</f>
        <v>214</v>
      </c>
      <c r="B226" s="27">
        <f>EDATE(Timing!$C$6,$A$226)</f>
        <v>52902</v>
      </c>
      <c r="C226" s="25">
        <f>YEAR($B$226)</f>
        <v>2044</v>
      </c>
      <c r="D226" s="23">
        <f>IF(AND($A$226-12*Inputs!$C$76+1&gt;=3,MOD($A$226-12*Inputs!$C$76+1,3)=0),($A$226-12*Inputs!$C$76+1)/3-1,-1)</f>
        <v>-1</v>
      </c>
      <c r="E226" s="23">
        <f>$H$225</f>
        <v>2730751.1051078974</v>
      </c>
      <c r="F226" s="23">
        <f>$E$226*Inputs!$C$74/12</f>
        <v>12174.598676939377</v>
      </c>
      <c r="G226" s="23">
        <f>IF($D$226&lt;0,0,IF($D$226=Timing!$C$25-1,$E$226,MAX(0,MIN($E$226,IF(Inputs!$C$77="annuity",$C$7-$E$226*Inputs!$C$74/4,IF(Inputs!$C$77="sculpted",INDEX($F$8:$AE$8,MATCH($C$226,Timing!$F$59:$AE$59,0))/INDEX(Timing!$F$86:$AE$86,MATCH($C$226,Timing!$F$59:$AE$59,0)),$C$6/Timing!$C$25))))))</f>
        <v>0</v>
      </c>
      <c r="H226" s="23">
        <f>$E$226-$G$226</f>
        <v>2730751.1051078974</v>
      </c>
    </row>
    <row r="227">
      <c r="A227" s="23">
        <f>$A$226+1</f>
        <v>215</v>
      </c>
      <c r="B227" s="27">
        <f>EDATE(Timing!$C$6,$A$227)</f>
        <v>52932</v>
      </c>
      <c r="C227" s="25">
        <f>YEAR($B$227)</f>
        <v>2044</v>
      </c>
      <c r="D227" s="23">
        <f>IF(AND($A$227-12*Inputs!$C$76+1&gt;=3,MOD($A$227-12*Inputs!$C$76+1,3)=0),($A$227-12*Inputs!$C$76+1)/3-1,-1)</f>
        <v>59</v>
      </c>
      <c r="E227" s="23">
        <f>$H$226</f>
        <v>2730751.1051078974</v>
      </c>
      <c r="F227" s="23">
        <f>$E$227*Inputs!$C$74/12</f>
        <v>12174.598676939377</v>
      </c>
      <c r="G227" s="23">
        <f>IF($D$227&lt;0,0,IF($D$227=Timing!$C$25-1,$E$227,MAX(0,MIN($E$227,IF(Inputs!$C$77="annuity",$C$7-$E$227*Inputs!$C$74/4,IF(Inputs!$C$77="sculpted",INDEX($F$8:$AE$8,MATCH($C$227,Timing!$F$59:$AE$59,0))/INDEX(Timing!$F$86:$AE$86,MATCH($C$227,Timing!$F$59:$AE$59,0)),$C$6/Timing!$C$25))))))</f>
        <v>303416.7894564312</v>
      </c>
      <c r="H227" s="23">
        <f>$E$227-$G$227</f>
        <v>2427334.315651466</v>
      </c>
    </row>
    <row r="228">
      <c r="A228" s="23">
        <f>$A$227+1</f>
        <v>216</v>
      </c>
      <c r="B228" s="27">
        <f>EDATE(Timing!$C$6,$A$228)</f>
        <v>52963</v>
      </c>
      <c r="C228" s="25">
        <f>YEAR($B$228)</f>
        <v>2045</v>
      </c>
      <c r="D228" s="23">
        <f>IF(AND($A$228-12*Inputs!$C$76+1&gt;=3,MOD($A$228-12*Inputs!$C$76+1,3)=0),($A$228-12*Inputs!$C$76+1)/3-1,-1)</f>
        <v>-1</v>
      </c>
      <c r="E228" s="23">
        <f>$H$227</f>
        <v>2427334.315651466</v>
      </c>
      <c r="F228" s="23">
        <f>$E$228*Inputs!$C$74/12</f>
        <v>10821.865490612787</v>
      </c>
      <c r="G228" s="23">
        <f>IF($D$228&lt;0,0,IF($D$228=Timing!$C$25-1,$E$228,MAX(0,MIN($E$228,IF(Inputs!$C$77="annuity",$C$7-$E$228*Inputs!$C$74/4,IF(Inputs!$C$77="sculpted",INDEX($F$8:$AE$8,MATCH($C$228,Timing!$F$59:$AE$59,0))/INDEX(Timing!$F$86:$AE$86,MATCH($C$228,Timing!$F$59:$AE$59,0)),$C$6/Timing!$C$25))))))</f>
        <v>0</v>
      </c>
      <c r="H228" s="23">
        <f>$E$228-$G$228</f>
        <v>2427334.315651466</v>
      </c>
    </row>
    <row r="229">
      <c r="A229" s="23">
        <f>$A$228+1</f>
        <v>217</v>
      </c>
      <c r="B229" s="27">
        <f>EDATE(Timing!$C$6,$A$229)</f>
        <v>52994</v>
      </c>
      <c r="C229" s="25">
        <f>YEAR($B$229)</f>
        <v>2045</v>
      </c>
      <c r="D229" s="23">
        <f>IF(AND($A$229-12*Inputs!$C$76+1&gt;=3,MOD($A$229-12*Inputs!$C$76+1,3)=0),($A$229-12*Inputs!$C$76+1)/3-1,-1)</f>
        <v>-1</v>
      </c>
      <c r="E229" s="23">
        <f>$H$228</f>
        <v>2427334.315651466</v>
      </c>
      <c r="F229" s="23">
        <f>$E$229*Inputs!$C$74/12</f>
        <v>10821.865490612787</v>
      </c>
      <c r="G229" s="23">
        <f>IF($D$229&lt;0,0,IF($D$229=Timing!$C$25-1,$E$229,MAX(0,MIN($E$229,IF(Inputs!$C$77="annuity",$C$7-$E$229*Inputs!$C$74/4,IF(Inputs!$C$77="sculpted",INDEX($F$8:$AE$8,MATCH($C$229,Timing!$F$59:$AE$59,0))/INDEX(Timing!$F$86:$AE$86,MATCH($C$229,Timing!$F$59:$AE$59,0)),$C$6/Timing!$C$25))))))</f>
        <v>0</v>
      </c>
      <c r="H229" s="23">
        <f>$E$229-$G$229</f>
        <v>2427334.315651466</v>
      </c>
    </row>
    <row r="230">
      <c r="A230" s="23">
        <f>$A$229+1</f>
        <v>218</v>
      </c>
      <c r="B230" s="27">
        <f>EDATE(Timing!$C$6,$A$230)</f>
        <v>53022</v>
      </c>
      <c r="C230" s="25">
        <f>YEAR($B$230)</f>
        <v>2045</v>
      </c>
      <c r="D230" s="23">
        <f>IF(AND($A$230-12*Inputs!$C$76+1&gt;=3,MOD($A$230-12*Inputs!$C$76+1,3)=0),($A$230-12*Inputs!$C$76+1)/3-1,-1)</f>
        <v>60</v>
      </c>
      <c r="E230" s="23">
        <f>$H$229</f>
        <v>2427334.315651466</v>
      </c>
      <c r="F230" s="23">
        <f>$E$230*Inputs!$C$74/12</f>
        <v>10821.865490612787</v>
      </c>
      <c r="G230" s="23">
        <f>IF($D$230&lt;0,0,IF($D$230=Timing!$C$25-1,$E$230,MAX(0,MIN($E$230,IF(Inputs!$C$77="annuity",$C$7-$E$230*Inputs!$C$74/4,IF(Inputs!$C$77="sculpted",INDEX($F$8:$AE$8,MATCH($C$230,Timing!$F$59:$AE$59,0))/INDEX(Timing!$F$86:$AE$86,MATCH($C$230,Timing!$F$59:$AE$59,0)),$C$6/Timing!$C$25))))))</f>
        <v>303416.7894564312</v>
      </c>
      <c r="H230" s="23">
        <f>$E$230-$G$230</f>
        <v>2123917.526195035</v>
      </c>
    </row>
    <row r="231">
      <c r="A231" s="23">
        <f>$A$230+1</f>
        <v>219</v>
      </c>
      <c r="B231" s="27">
        <f>EDATE(Timing!$C$6,$A$231)</f>
        <v>53053</v>
      </c>
      <c r="C231" s="25">
        <f>YEAR($B$231)</f>
        <v>2045</v>
      </c>
      <c r="D231" s="23">
        <f>IF(AND($A$231-12*Inputs!$C$76+1&gt;=3,MOD($A$231-12*Inputs!$C$76+1,3)=0),($A$231-12*Inputs!$C$76+1)/3-1,-1)</f>
        <v>-1</v>
      </c>
      <c r="E231" s="23">
        <f>$H$230</f>
        <v>2123917.526195035</v>
      </c>
      <c r="F231" s="23">
        <f>$E$231*Inputs!$C$74/12</f>
        <v>9469.132304286197</v>
      </c>
      <c r="G231" s="23">
        <f>IF($D$231&lt;0,0,IF($D$231=Timing!$C$25-1,$E$231,MAX(0,MIN($E$231,IF(Inputs!$C$77="annuity",$C$7-$E$231*Inputs!$C$74/4,IF(Inputs!$C$77="sculpted",INDEX($F$8:$AE$8,MATCH($C$231,Timing!$F$59:$AE$59,0))/INDEX(Timing!$F$86:$AE$86,MATCH($C$231,Timing!$F$59:$AE$59,0)),$C$6/Timing!$C$25))))))</f>
        <v>0</v>
      </c>
      <c r="H231" s="23">
        <f>$E$231-$G$231</f>
        <v>2123917.526195035</v>
      </c>
    </row>
    <row r="232">
      <c r="A232" s="23">
        <f>$A$231+1</f>
        <v>220</v>
      </c>
      <c r="B232" s="27">
        <f>EDATE(Timing!$C$6,$A$232)</f>
        <v>53083</v>
      </c>
      <c r="C232" s="25">
        <f>YEAR($B$232)</f>
        <v>2045</v>
      </c>
      <c r="D232" s="23">
        <f>IF(AND($A$232-12*Inputs!$C$76+1&gt;=3,MOD($A$232-12*Inputs!$C$76+1,3)=0),($A$232-12*Inputs!$C$76+1)/3-1,-1)</f>
        <v>-1</v>
      </c>
      <c r="E232" s="23">
        <f>$H$231</f>
        <v>2123917.526195035</v>
      </c>
      <c r="F232" s="23">
        <f>$E$232*Inputs!$C$74/12</f>
        <v>9469.132304286197</v>
      </c>
      <c r="G232" s="23">
        <f>IF($D$232&lt;0,0,IF($D$232=Timing!$C$25-1,$E$232,MAX(0,MIN($E$232,IF(Inputs!$C$77="annuity",$C$7-$E$232*Inputs!$C$74/4,IF(Inputs!$C$77="sculpted",INDEX($F$8:$AE$8,MATCH($C$232,Timing!$F$59:$AE$59,0))/INDEX(Timing!$F$86:$AE$86,MATCH($C$232,Timing!$F$59:$AE$59,0)),$C$6/Timing!$C$25))))))</f>
        <v>0</v>
      </c>
      <c r="H232" s="23">
        <f>$E$232-$G$232</f>
        <v>2123917.526195035</v>
      </c>
    </row>
    <row r="233">
      <c r="A233" s="23">
        <f>$A$232+1</f>
        <v>221</v>
      </c>
      <c r="B233" s="27">
        <f>EDATE(Timing!$C$6,$A$233)</f>
        <v>53114</v>
      </c>
      <c r="C233" s="25">
        <f>YEAR($B$233)</f>
        <v>2045</v>
      </c>
      <c r="D233" s="23">
        <f>IF(AND($A$233-12*Inputs!$C$76+1&gt;=3,MOD($A$233-12*Inputs!$C$76+1,3)=0),($A$233-12*Inputs!$C$76+1)/3-1,-1)</f>
        <v>61</v>
      </c>
      <c r="E233" s="23">
        <f>$H$232</f>
        <v>2123917.526195035</v>
      </c>
      <c r="F233" s="23">
        <f>$E$233*Inputs!$C$74/12</f>
        <v>9469.132304286197</v>
      </c>
      <c r="G233" s="23">
        <f>IF($D$233&lt;0,0,IF($D$233=Timing!$C$25-1,$E$233,MAX(0,MIN($E$233,IF(Inputs!$C$77="annuity",$C$7-$E$233*Inputs!$C$74/4,IF(Inputs!$C$77="sculpted",INDEX($F$8:$AE$8,MATCH($C$233,Timing!$F$59:$AE$59,0))/INDEX(Timing!$F$86:$AE$86,MATCH($C$233,Timing!$F$59:$AE$59,0)),$C$6/Timing!$C$25))))))</f>
        <v>303416.7894564312</v>
      </c>
      <c r="H233" s="23">
        <f>$E$233-$G$233</f>
        <v>1820500.7367386036</v>
      </c>
    </row>
    <row r="234">
      <c r="A234" s="23">
        <f>$A$233+1</f>
        <v>222</v>
      </c>
      <c r="B234" s="27">
        <f>EDATE(Timing!$C$6,$A$234)</f>
        <v>53144</v>
      </c>
      <c r="C234" s="25">
        <f>YEAR($B$234)</f>
        <v>2045</v>
      </c>
      <c r="D234" s="23">
        <f>IF(AND($A$234-12*Inputs!$C$76+1&gt;=3,MOD($A$234-12*Inputs!$C$76+1,3)=0),($A$234-12*Inputs!$C$76+1)/3-1,-1)</f>
        <v>-1</v>
      </c>
      <c r="E234" s="23">
        <f>$H$233</f>
        <v>1820500.7367386036</v>
      </c>
      <c r="F234" s="23">
        <f>$E$234*Inputs!$C$74/12</f>
        <v>8116.399117959608</v>
      </c>
      <c r="G234" s="23">
        <f>IF($D$234&lt;0,0,IF($D$234=Timing!$C$25-1,$E$234,MAX(0,MIN($E$234,IF(Inputs!$C$77="annuity",$C$7-$E$234*Inputs!$C$74/4,IF(Inputs!$C$77="sculpted",INDEX($F$8:$AE$8,MATCH($C$234,Timing!$F$59:$AE$59,0))/INDEX(Timing!$F$86:$AE$86,MATCH($C$234,Timing!$F$59:$AE$59,0)),$C$6/Timing!$C$25))))))</f>
        <v>0</v>
      </c>
      <c r="H234" s="23">
        <f>$E$234-$G$234</f>
        <v>1820500.7367386036</v>
      </c>
    </row>
    <row r="235">
      <c r="A235" s="23">
        <f>$A$234+1</f>
        <v>223</v>
      </c>
      <c r="B235" s="27">
        <f>EDATE(Timing!$C$6,$A$235)</f>
        <v>53175</v>
      </c>
      <c r="C235" s="25">
        <f>YEAR($B$235)</f>
        <v>2045</v>
      </c>
      <c r="D235" s="23">
        <f>IF(AND($A$235-12*Inputs!$C$76+1&gt;=3,MOD($A$235-12*Inputs!$C$76+1,3)=0),($A$235-12*Inputs!$C$76+1)/3-1,-1)</f>
        <v>-1</v>
      </c>
      <c r="E235" s="23">
        <f>$H$234</f>
        <v>1820500.7367386036</v>
      </c>
      <c r="F235" s="23">
        <f>$E$235*Inputs!$C$74/12</f>
        <v>8116.399117959608</v>
      </c>
      <c r="G235" s="23">
        <f>IF($D$235&lt;0,0,IF($D$235=Timing!$C$25-1,$E$235,MAX(0,MIN($E$235,IF(Inputs!$C$77="annuity",$C$7-$E$235*Inputs!$C$74/4,IF(Inputs!$C$77="sculpted",INDEX($F$8:$AE$8,MATCH($C$235,Timing!$F$59:$AE$59,0))/INDEX(Timing!$F$86:$AE$86,MATCH($C$235,Timing!$F$59:$AE$59,0)),$C$6/Timing!$C$25))))))</f>
        <v>0</v>
      </c>
      <c r="H235" s="23">
        <f>$E$235-$G$235</f>
        <v>1820500.7367386036</v>
      </c>
    </row>
    <row r="236">
      <c r="A236" s="23">
        <f>$A$235+1</f>
        <v>224</v>
      </c>
      <c r="B236" s="27">
        <f>EDATE(Timing!$C$6,$A$236)</f>
        <v>53206</v>
      </c>
      <c r="C236" s="25">
        <f>YEAR($B$236)</f>
        <v>2045</v>
      </c>
      <c r="D236" s="23">
        <f>IF(AND($A$236-12*Inputs!$C$76+1&gt;=3,MOD($A$236-12*Inputs!$C$76+1,3)=0),($A$236-12*Inputs!$C$76+1)/3-1,-1)</f>
        <v>62</v>
      </c>
      <c r="E236" s="23">
        <f>$H$235</f>
        <v>1820500.7367386036</v>
      </c>
      <c r="F236" s="23">
        <f>$E$236*Inputs!$C$74/12</f>
        <v>8116.399117959608</v>
      </c>
      <c r="G236" s="23">
        <f>IF($D$236&lt;0,0,IF($D$236=Timing!$C$25-1,$E$236,MAX(0,MIN($E$236,IF(Inputs!$C$77="annuity",$C$7-$E$236*Inputs!$C$74/4,IF(Inputs!$C$77="sculpted",INDEX($F$8:$AE$8,MATCH($C$236,Timing!$F$59:$AE$59,0))/INDEX(Timing!$F$86:$AE$86,MATCH($C$236,Timing!$F$59:$AE$59,0)),$C$6/Timing!$C$25))))))</f>
        <v>303416.7894564312</v>
      </c>
      <c r="H236" s="23">
        <f>$E$236-$G$236</f>
        <v>1517083.9472821723</v>
      </c>
    </row>
    <row r="237">
      <c r="A237" s="23">
        <f>$A$236+1</f>
        <v>225</v>
      </c>
      <c r="B237" s="27">
        <f>EDATE(Timing!$C$6,$A$237)</f>
        <v>53236</v>
      </c>
      <c r="C237" s="25">
        <f>YEAR($B$237)</f>
        <v>2045</v>
      </c>
      <c r="D237" s="23">
        <f>IF(AND($A$237-12*Inputs!$C$76+1&gt;=3,MOD($A$237-12*Inputs!$C$76+1,3)=0),($A$237-12*Inputs!$C$76+1)/3-1,-1)</f>
        <v>-1</v>
      </c>
      <c r="E237" s="23">
        <f>$H$236</f>
        <v>1517083.9472821723</v>
      </c>
      <c r="F237" s="23">
        <f>$E$237*Inputs!$C$74/12</f>
        <v>6763.665931633018</v>
      </c>
      <c r="G237" s="23">
        <f>IF($D$237&lt;0,0,IF($D$237=Timing!$C$25-1,$E$237,MAX(0,MIN($E$237,IF(Inputs!$C$77="annuity",$C$7-$E$237*Inputs!$C$74/4,IF(Inputs!$C$77="sculpted",INDEX($F$8:$AE$8,MATCH($C$237,Timing!$F$59:$AE$59,0))/INDEX(Timing!$F$86:$AE$86,MATCH($C$237,Timing!$F$59:$AE$59,0)),$C$6/Timing!$C$25))))))</f>
        <v>0</v>
      </c>
      <c r="H237" s="23">
        <f>$E$237-$G$237</f>
        <v>1517083.9472821723</v>
      </c>
    </row>
    <row r="238">
      <c r="A238" s="23">
        <f>$A$237+1</f>
        <v>226</v>
      </c>
      <c r="B238" s="27">
        <f>EDATE(Timing!$C$6,$A$238)</f>
        <v>53267</v>
      </c>
      <c r="C238" s="25">
        <f>YEAR($B$238)</f>
        <v>2045</v>
      </c>
      <c r="D238" s="23">
        <f>IF(AND($A$238-12*Inputs!$C$76+1&gt;=3,MOD($A$238-12*Inputs!$C$76+1,3)=0),($A$238-12*Inputs!$C$76+1)/3-1,-1)</f>
        <v>-1</v>
      </c>
      <c r="E238" s="23">
        <f>$H$237</f>
        <v>1517083.9472821723</v>
      </c>
      <c r="F238" s="23">
        <f>$E$238*Inputs!$C$74/12</f>
        <v>6763.665931633018</v>
      </c>
      <c r="G238" s="23">
        <f>IF($D$238&lt;0,0,IF($D$238=Timing!$C$25-1,$E$238,MAX(0,MIN($E$238,IF(Inputs!$C$77="annuity",$C$7-$E$238*Inputs!$C$74/4,IF(Inputs!$C$77="sculpted",INDEX($F$8:$AE$8,MATCH($C$238,Timing!$F$59:$AE$59,0))/INDEX(Timing!$F$86:$AE$86,MATCH($C$238,Timing!$F$59:$AE$59,0)),$C$6/Timing!$C$25))))))</f>
        <v>0</v>
      </c>
      <c r="H238" s="23">
        <f>$E$238-$G$238</f>
        <v>1517083.9472821723</v>
      </c>
    </row>
    <row r="239">
      <c r="A239" s="23">
        <f>$A$238+1</f>
        <v>227</v>
      </c>
      <c r="B239" s="27">
        <f>EDATE(Timing!$C$6,$A$239)</f>
        <v>53297</v>
      </c>
      <c r="C239" s="25">
        <f>YEAR($B$239)</f>
        <v>2045</v>
      </c>
      <c r="D239" s="23">
        <f>IF(AND($A$239-12*Inputs!$C$76+1&gt;=3,MOD($A$239-12*Inputs!$C$76+1,3)=0),($A$239-12*Inputs!$C$76+1)/3-1,-1)</f>
        <v>63</v>
      </c>
      <c r="E239" s="23">
        <f>$H$238</f>
        <v>1517083.9472821723</v>
      </c>
      <c r="F239" s="23">
        <f>$E$239*Inputs!$C$74/12</f>
        <v>6763.665931633018</v>
      </c>
      <c r="G239" s="23">
        <f>IF($D$239&lt;0,0,IF($D$239=Timing!$C$25-1,$E$239,MAX(0,MIN($E$239,IF(Inputs!$C$77="annuity",$C$7-$E$239*Inputs!$C$74/4,IF(Inputs!$C$77="sculpted",INDEX($F$8:$AE$8,MATCH($C$239,Timing!$F$59:$AE$59,0))/INDEX(Timing!$F$86:$AE$86,MATCH($C$239,Timing!$F$59:$AE$59,0)),$C$6/Timing!$C$25))))))</f>
        <v>303416.7894564312</v>
      </c>
      <c r="H239" s="23">
        <f>$E$239-$G$239</f>
        <v>1213667.157825741</v>
      </c>
    </row>
    <row r="240">
      <c r="A240" s="23">
        <f>$A$239+1</f>
        <v>228</v>
      </c>
      <c r="B240" s="27">
        <f>EDATE(Timing!$C$6,$A$240)</f>
        <v>53328</v>
      </c>
      <c r="C240" s="25">
        <f>YEAR($B$240)</f>
        <v>2046</v>
      </c>
      <c r="D240" s="23">
        <f>IF(AND($A$240-12*Inputs!$C$76+1&gt;=3,MOD($A$240-12*Inputs!$C$76+1,3)=0),($A$240-12*Inputs!$C$76+1)/3-1,-1)</f>
        <v>-1</v>
      </c>
      <c r="E240" s="23">
        <f>$H$239</f>
        <v>1213667.157825741</v>
      </c>
      <c r="F240" s="23">
        <f>$E$240*Inputs!$C$74/12</f>
        <v>5410.932745306428</v>
      </c>
      <c r="G240" s="23">
        <f>IF($D$240&lt;0,0,IF($D$240=Timing!$C$25-1,$E$240,MAX(0,MIN($E$240,IF(Inputs!$C$77="annuity",$C$7-$E$240*Inputs!$C$74/4,IF(Inputs!$C$77="sculpted",INDEX($F$8:$AE$8,MATCH($C$240,Timing!$F$59:$AE$59,0))/INDEX(Timing!$F$86:$AE$86,MATCH($C$240,Timing!$F$59:$AE$59,0)),$C$6/Timing!$C$25))))))</f>
        <v>0</v>
      </c>
      <c r="H240" s="23">
        <f>$E$240-$G$240</f>
        <v>1213667.157825741</v>
      </c>
    </row>
    <row r="241">
      <c r="A241" s="23">
        <f>$A$240+1</f>
        <v>229</v>
      </c>
      <c r="B241" s="27">
        <f>EDATE(Timing!$C$6,$A$241)</f>
        <v>53359</v>
      </c>
      <c r="C241" s="25">
        <f>YEAR($B$241)</f>
        <v>2046</v>
      </c>
      <c r="D241" s="23">
        <f>IF(AND($A$241-12*Inputs!$C$76+1&gt;=3,MOD($A$241-12*Inputs!$C$76+1,3)=0),($A$241-12*Inputs!$C$76+1)/3-1,-1)</f>
        <v>-1</v>
      </c>
      <c r="E241" s="23">
        <f>$H$240</f>
        <v>1213667.157825741</v>
      </c>
      <c r="F241" s="23">
        <f>$E$241*Inputs!$C$74/12</f>
        <v>5410.932745306428</v>
      </c>
      <c r="G241" s="23">
        <f>IF($D$241&lt;0,0,IF($D$241=Timing!$C$25-1,$E$241,MAX(0,MIN($E$241,IF(Inputs!$C$77="annuity",$C$7-$E$241*Inputs!$C$74/4,IF(Inputs!$C$77="sculpted",INDEX($F$8:$AE$8,MATCH($C$241,Timing!$F$59:$AE$59,0))/INDEX(Timing!$F$86:$AE$86,MATCH($C$241,Timing!$F$59:$AE$59,0)),$C$6/Timing!$C$25))))))</f>
        <v>0</v>
      </c>
      <c r="H241" s="23">
        <f>$E$241-$G$241</f>
        <v>1213667.157825741</v>
      </c>
    </row>
    <row r="242">
      <c r="A242" s="23">
        <f>$A$241+1</f>
        <v>230</v>
      </c>
      <c r="B242" s="27">
        <f>EDATE(Timing!$C$6,$A$242)</f>
        <v>53387</v>
      </c>
      <c r="C242" s="25">
        <f>YEAR($B$242)</f>
        <v>2046</v>
      </c>
      <c r="D242" s="23">
        <f>IF(AND($A$242-12*Inputs!$C$76+1&gt;=3,MOD($A$242-12*Inputs!$C$76+1,3)=0),($A$242-12*Inputs!$C$76+1)/3-1,-1)</f>
        <v>64</v>
      </c>
      <c r="E242" s="23">
        <f>$H$241</f>
        <v>1213667.157825741</v>
      </c>
      <c r="F242" s="23">
        <f>$E$242*Inputs!$C$74/12</f>
        <v>5410.932745306428</v>
      </c>
      <c r="G242" s="23">
        <f>IF($D$242&lt;0,0,IF($D$242=Timing!$C$25-1,$E$242,MAX(0,MIN($E$242,IF(Inputs!$C$77="annuity",$C$7-$E$242*Inputs!$C$74/4,IF(Inputs!$C$77="sculpted",INDEX($F$8:$AE$8,MATCH($C$242,Timing!$F$59:$AE$59,0))/INDEX(Timing!$F$86:$AE$86,MATCH($C$242,Timing!$F$59:$AE$59,0)),$C$6/Timing!$C$25))))))</f>
        <v>303416.7894564312</v>
      </c>
      <c r="H242" s="23">
        <f>$E$242-$G$242</f>
        <v>910250.3683693098</v>
      </c>
    </row>
    <row r="243">
      <c r="A243" s="23">
        <f>$A$242+1</f>
        <v>231</v>
      </c>
      <c r="B243" s="27">
        <f>EDATE(Timing!$C$6,$A$243)</f>
        <v>53418</v>
      </c>
      <c r="C243" s="25">
        <f>YEAR($B$243)</f>
        <v>2046</v>
      </c>
      <c r="D243" s="23">
        <f>IF(AND($A$243-12*Inputs!$C$76+1&gt;=3,MOD($A$243-12*Inputs!$C$76+1,3)=0),($A$243-12*Inputs!$C$76+1)/3-1,-1)</f>
        <v>-1</v>
      </c>
      <c r="E243" s="23">
        <f>$H$242</f>
        <v>910250.3683693098</v>
      </c>
      <c r="F243" s="23">
        <f>$E$243*Inputs!$C$74/12</f>
        <v>4058.1995589798394</v>
      </c>
      <c r="G243" s="23">
        <f>IF($D$243&lt;0,0,IF($D$243=Timing!$C$25-1,$E$243,MAX(0,MIN($E$243,IF(Inputs!$C$77="annuity",$C$7-$E$243*Inputs!$C$74/4,IF(Inputs!$C$77="sculpted",INDEX($F$8:$AE$8,MATCH($C$243,Timing!$F$59:$AE$59,0))/INDEX(Timing!$F$86:$AE$86,MATCH($C$243,Timing!$F$59:$AE$59,0)),$C$6/Timing!$C$25))))))</f>
        <v>0</v>
      </c>
      <c r="H243" s="23">
        <f>$E$243-$G$243</f>
        <v>910250.3683693098</v>
      </c>
    </row>
    <row r="244">
      <c r="A244" s="23">
        <f>$A$243+1</f>
        <v>232</v>
      </c>
      <c r="B244" s="27">
        <f>EDATE(Timing!$C$6,$A$244)</f>
        <v>53448</v>
      </c>
      <c r="C244" s="25">
        <f>YEAR($B$244)</f>
        <v>2046</v>
      </c>
      <c r="D244" s="23">
        <f>IF(AND($A$244-12*Inputs!$C$76+1&gt;=3,MOD($A$244-12*Inputs!$C$76+1,3)=0),($A$244-12*Inputs!$C$76+1)/3-1,-1)</f>
        <v>-1</v>
      </c>
      <c r="E244" s="23">
        <f>$H$243</f>
        <v>910250.3683693098</v>
      </c>
      <c r="F244" s="23">
        <f>$E$244*Inputs!$C$74/12</f>
        <v>4058.1995589798394</v>
      </c>
      <c r="G244" s="23">
        <f>IF($D$244&lt;0,0,IF($D$244=Timing!$C$25-1,$E$244,MAX(0,MIN($E$244,IF(Inputs!$C$77="annuity",$C$7-$E$244*Inputs!$C$74/4,IF(Inputs!$C$77="sculpted",INDEX($F$8:$AE$8,MATCH($C$244,Timing!$F$59:$AE$59,0))/INDEX(Timing!$F$86:$AE$86,MATCH($C$244,Timing!$F$59:$AE$59,0)),$C$6/Timing!$C$25))))))</f>
        <v>0</v>
      </c>
      <c r="H244" s="23">
        <f>$E$244-$G$244</f>
        <v>910250.3683693098</v>
      </c>
    </row>
    <row r="245">
      <c r="A245" s="23">
        <f>$A$244+1</f>
        <v>233</v>
      </c>
      <c r="B245" s="27">
        <f>EDATE(Timing!$C$6,$A$245)</f>
        <v>53479</v>
      </c>
      <c r="C245" s="25">
        <f>YEAR($B$245)</f>
        <v>2046</v>
      </c>
      <c r="D245" s="23">
        <f>IF(AND($A$245-12*Inputs!$C$76+1&gt;=3,MOD($A$245-12*Inputs!$C$76+1,3)=0),($A$245-12*Inputs!$C$76+1)/3-1,-1)</f>
        <v>65</v>
      </c>
      <c r="E245" s="23">
        <f>$H$244</f>
        <v>910250.3683693098</v>
      </c>
      <c r="F245" s="23">
        <f>$E$245*Inputs!$C$74/12</f>
        <v>4058.1995589798394</v>
      </c>
      <c r="G245" s="23">
        <f>IF($D$245&lt;0,0,IF($D$245=Timing!$C$25-1,$E$245,MAX(0,MIN($E$245,IF(Inputs!$C$77="annuity",$C$7-$E$245*Inputs!$C$74/4,IF(Inputs!$C$77="sculpted",INDEX($F$8:$AE$8,MATCH($C$245,Timing!$F$59:$AE$59,0))/INDEX(Timing!$F$86:$AE$86,MATCH($C$245,Timing!$F$59:$AE$59,0)),$C$6/Timing!$C$25))))))</f>
        <v>303416.7894564312</v>
      </c>
      <c r="H245" s="23">
        <f>$E$245-$G$245</f>
        <v>606833.5789128786</v>
      </c>
    </row>
    <row r="246">
      <c r="A246" s="23">
        <f>$A$245+1</f>
        <v>234</v>
      </c>
      <c r="B246" s="27">
        <f>EDATE(Timing!$C$6,$A$246)</f>
        <v>53509</v>
      </c>
      <c r="C246" s="25">
        <f>YEAR($B$246)</f>
        <v>2046</v>
      </c>
      <c r="D246" s="23">
        <f>IF(AND($A$246-12*Inputs!$C$76+1&gt;=3,MOD($A$246-12*Inputs!$C$76+1,3)=0),($A$246-12*Inputs!$C$76+1)/3-1,-1)</f>
        <v>-1</v>
      </c>
      <c r="E246" s="23">
        <f>$H$245</f>
        <v>606833.5789128786</v>
      </c>
      <c r="F246" s="23">
        <f>$E$246*Inputs!$C$74/12</f>
        <v>2705.4663726532503</v>
      </c>
      <c r="G246" s="23">
        <f>IF($D$246&lt;0,0,IF($D$246=Timing!$C$25-1,$E$246,MAX(0,MIN($E$246,IF(Inputs!$C$77="annuity",$C$7-$E$246*Inputs!$C$74/4,IF(Inputs!$C$77="sculpted",INDEX($F$8:$AE$8,MATCH($C$246,Timing!$F$59:$AE$59,0))/INDEX(Timing!$F$86:$AE$86,MATCH($C$246,Timing!$F$59:$AE$59,0)),$C$6/Timing!$C$25))))))</f>
        <v>0</v>
      </c>
      <c r="H246" s="23">
        <f>$E$246-$G$246</f>
        <v>606833.5789128786</v>
      </c>
    </row>
    <row r="247">
      <c r="A247" s="23">
        <f>$A$246+1</f>
        <v>235</v>
      </c>
      <c r="B247" s="27">
        <f>EDATE(Timing!$C$6,$A$247)</f>
        <v>53540</v>
      </c>
      <c r="C247" s="25">
        <f>YEAR($B$247)</f>
        <v>2046</v>
      </c>
      <c r="D247" s="23">
        <f>IF(AND($A$247-12*Inputs!$C$76+1&gt;=3,MOD($A$247-12*Inputs!$C$76+1,3)=0),($A$247-12*Inputs!$C$76+1)/3-1,-1)</f>
        <v>-1</v>
      </c>
      <c r="E247" s="23">
        <f>$H$246</f>
        <v>606833.5789128786</v>
      </c>
      <c r="F247" s="23">
        <f>$E$247*Inputs!$C$74/12</f>
        <v>2705.4663726532503</v>
      </c>
      <c r="G247" s="23">
        <f>IF($D$247&lt;0,0,IF($D$247=Timing!$C$25-1,$E$247,MAX(0,MIN($E$247,IF(Inputs!$C$77="annuity",$C$7-$E$247*Inputs!$C$74/4,IF(Inputs!$C$77="sculpted",INDEX($F$8:$AE$8,MATCH($C$247,Timing!$F$59:$AE$59,0))/INDEX(Timing!$F$86:$AE$86,MATCH($C$247,Timing!$F$59:$AE$59,0)),$C$6/Timing!$C$25))))))</f>
        <v>0</v>
      </c>
      <c r="H247" s="23">
        <f>$E$247-$G$247</f>
        <v>606833.5789128786</v>
      </c>
    </row>
    <row r="248">
      <c r="A248" s="23">
        <f>$A$247+1</f>
        <v>236</v>
      </c>
      <c r="B248" s="27">
        <f>EDATE(Timing!$C$6,$A$248)</f>
        <v>53571</v>
      </c>
      <c r="C248" s="25">
        <f>YEAR($B$248)</f>
        <v>2046</v>
      </c>
      <c r="D248" s="23">
        <f>IF(AND($A$248-12*Inputs!$C$76+1&gt;=3,MOD($A$248-12*Inputs!$C$76+1,3)=0),($A$248-12*Inputs!$C$76+1)/3-1,-1)</f>
        <v>66</v>
      </c>
      <c r="E248" s="23">
        <f>$H$247</f>
        <v>606833.5789128786</v>
      </c>
      <c r="F248" s="23">
        <f>$E$248*Inputs!$C$74/12</f>
        <v>2705.4663726532503</v>
      </c>
      <c r="G248" s="23">
        <f>IF($D$248&lt;0,0,IF($D$248=Timing!$C$25-1,$E$248,MAX(0,MIN($E$248,IF(Inputs!$C$77="annuity",$C$7-$E$248*Inputs!$C$74/4,IF(Inputs!$C$77="sculpted",INDEX($F$8:$AE$8,MATCH($C$248,Timing!$F$59:$AE$59,0))/INDEX(Timing!$F$86:$AE$86,MATCH($C$248,Timing!$F$59:$AE$59,0)),$C$6/Timing!$C$25))))))</f>
        <v>303416.7894564312</v>
      </c>
      <c r="H248" s="23">
        <f>$E$248-$G$248</f>
        <v>303416.78945644747</v>
      </c>
    </row>
    <row r="249">
      <c r="A249" s="23">
        <f>$A$248+1</f>
        <v>237</v>
      </c>
      <c r="B249" s="27">
        <f>EDATE(Timing!$C$6,$A$249)</f>
        <v>53601</v>
      </c>
      <c r="C249" s="25">
        <f>YEAR($B$249)</f>
        <v>2046</v>
      </c>
      <c r="D249" s="23">
        <f>IF(AND($A$249-12*Inputs!$C$76+1&gt;=3,MOD($A$249-12*Inputs!$C$76+1,3)=0),($A$249-12*Inputs!$C$76+1)/3-1,-1)</f>
        <v>-1</v>
      </c>
      <c r="E249" s="23">
        <f>$H$248</f>
        <v>303416.78945644747</v>
      </c>
      <c r="F249" s="23">
        <f>$E$249*Inputs!$C$74/12</f>
        <v>1352.7331863266616</v>
      </c>
      <c r="G249" s="23">
        <f>IF($D$249&lt;0,0,IF($D$249=Timing!$C$25-1,$E$249,MAX(0,MIN($E$249,IF(Inputs!$C$77="annuity",$C$7-$E$249*Inputs!$C$74/4,IF(Inputs!$C$77="sculpted",INDEX($F$8:$AE$8,MATCH($C$249,Timing!$F$59:$AE$59,0))/INDEX(Timing!$F$86:$AE$86,MATCH($C$249,Timing!$F$59:$AE$59,0)),$C$6/Timing!$C$25))))))</f>
        <v>0</v>
      </c>
      <c r="H249" s="23">
        <f>$E$249-$G$249</f>
        <v>303416.78945644747</v>
      </c>
    </row>
    <row r="250">
      <c r="A250" s="23">
        <f>$A$249+1</f>
        <v>238</v>
      </c>
      <c r="B250" s="27">
        <f>EDATE(Timing!$C$6,$A$250)</f>
        <v>53632</v>
      </c>
      <c r="C250" s="25">
        <f>YEAR($B$250)</f>
        <v>2046</v>
      </c>
      <c r="D250" s="23">
        <f>IF(AND($A$250-12*Inputs!$C$76+1&gt;=3,MOD($A$250-12*Inputs!$C$76+1,3)=0),($A$250-12*Inputs!$C$76+1)/3-1,-1)</f>
        <v>-1</v>
      </c>
      <c r="E250" s="23">
        <f>$H$249</f>
        <v>303416.78945644747</v>
      </c>
      <c r="F250" s="23">
        <f>$E$250*Inputs!$C$74/12</f>
        <v>1352.7331863266616</v>
      </c>
      <c r="G250" s="23">
        <f>IF($D$250&lt;0,0,IF($D$250=Timing!$C$25-1,$E$250,MAX(0,MIN($E$250,IF(Inputs!$C$77="annuity",$C$7-$E$250*Inputs!$C$74/4,IF(Inputs!$C$77="sculpted",INDEX($F$8:$AE$8,MATCH($C$250,Timing!$F$59:$AE$59,0))/INDEX(Timing!$F$86:$AE$86,MATCH($C$250,Timing!$F$59:$AE$59,0)),$C$6/Timing!$C$25))))))</f>
        <v>0</v>
      </c>
      <c r="H250" s="23">
        <f>$E$250-$G$250</f>
        <v>303416.78945644747</v>
      </c>
    </row>
    <row r="251">
      <c r="A251" s="23">
        <f>$A$250+1</f>
        <v>239</v>
      </c>
      <c r="B251" s="27">
        <f>EDATE(Timing!$C$6,$A$251)</f>
        <v>53662</v>
      </c>
      <c r="C251" s="25">
        <f>YEAR($B$251)</f>
        <v>2046</v>
      </c>
      <c r="D251" s="23">
        <f>IF(AND($A$251-12*Inputs!$C$76+1&gt;=3,MOD($A$251-12*Inputs!$C$76+1,3)=0),($A$251-12*Inputs!$C$76+1)/3-1,-1)</f>
        <v>67</v>
      </c>
      <c r="E251" s="23">
        <f>$H$250</f>
        <v>303416.78945644747</v>
      </c>
      <c r="F251" s="23">
        <f>$E$251*Inputs!$C$74/12</f>
        <v>1352.7331863266616</v>
      </c>
      <c r="G251" s="23">
        <f>IF($D$251&lt;0,0,IF($D$251=Timing!$C$25-1,$E$251,MAX(0,MIN($E$251,IF(Inputs!$C$77="annuity",$C$7-$E$251*Inputs!$C$74/4,IF(Inputs!$C$77="sculpted",INDEX($F$8:$AE$8,MATCH($C$251,Timing!$F$59:$AE$59,0))/INDEX(Timing!$F$86:$AE$86,MATCH($C$251,Timing!$F$59:$AE$59,0)),$C$6/Timing!$C$25))))))</f>
        <v>303416.78945644747</v>
      </c>
      <c r="H251" s="23">
        <f>$E$251-$G$251</f>
        <v>0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Waterfall</t>
        </is>
      </c>
    </row>
    <row r="2">
      <c r="A2" s="2" t="inlineStr">
        <is>
          <t xml:space="preserve">From CFADS to the cash available to equity, by case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6">
      <c r="A6" s="5" t="inlineStr">
        <is>
          <t xml:space="preserve">Base</t>
        </is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>
      <c r="A7" s="6" t="inlineStr">
        <is>
          <t xml:space="preserve">CFADS</t>
        </is>
      </c>
      <c r="B7" s="10" t="inlineStr">
        <is>
          <t xml:space="preserve">€</t>
        </is>
      </c>
      <c r="F7" s="45">
        <f>Tax!F43</f>
        <v>2163887.0907577514</v>
      </c>
      <c r="G7" s="45">
        <f>Tax!G43</f>
        <v>3464069.080725549</v>
      </c>
      <c r="H7" s="45">
        <f>Tax!H43</f>
        <v>3300906.9518894465</v>
      </c>
      <c r="I7" s="45">
        <f>Tax!I43</f>
        <v>3347863.5229065535</v>
      </c>
      <c r="J7" s="45">
        <f>Tax!J43</f>
        <v>3410544.819693078</v>
      </c>
      <c r="K7" s="45">
        <f>Tax!K43</f>
        <v>3470799.01188069</v>
      </c>
      <c r="L7" s="45">
        <f>Tax!L43</f>
        <v>3535622.769621907</v>
      </c>
      <c r="M7" s="45">
        <f>Tax!M43</f>
        <v>3600382.5482792966</v>
      </c>
      <c r="N7" s="45">
        <f>Tax!N43</f>
        <v>3667509.273020859</v>
      </c>
      <c r="O7" s="45">
        <f>Tax!O43</f>
        <v>3732026.7182391305</v>
      </c>
      <c r="P7" s="45">
        <f>Tax!P43</f>
        <v>3677398.7621056084</v>
      </c>
      <c r="Q7" s="45">
        <f>Tax!Q43</f>
        <v>3744267.01469316</v>
      </c>
      <c r="R7" s="45">
        <f>Tax!R43</f>
        <v>3813624.0227384614</v>
      </c>
      <c r="S7" s="45">
        <f>Tax!S43</f>
        <v>3880125.2634664923</v>
      </c>
      <c r="T7" s="45">
        <f>Tax!T43</f>
        <v>3951837.0556790656</v>
      </c>
      <c r="U7" s="45">
        <f>Tax!U43</f>
        <v>4023415.5513002505</v>
      </c>
      <c r="V7" s="45">
        <f>Tax!V43</f>
        <v>4041326.5200951137</v>
      </c>
      <c r="W7" s="45">
        <f>Tax!W43</f>
        <v>4004366.940676834</v>
      </c>
      <c r="X7" s="45">
        <f>Tax!X43</f>
        <v>4074932.3335927054</v>
      </c>
      <c r="Y7" s="45">
        <f>Tax!Y43</f>
        <v>3875948.398716625</v>
      </c>
      <c r="Z7" s="45">
        <f>Tax!Z43</f>
        <v>3739009.518532468</v>
      </c>
      <c r="AA7" s="45">
        <f>Tax!AA43</f>
        <v>3805176.2298814496</v>
      </c>
      <c r="AB7" s="45">
        <f>Tax!AB43</f>
        <v>3877463.806433188</v>
      </c>
      <c r="AC7" s="45">
        <f>Tax!AC43</f>
        <v>3949639.7339421194</v>
      </c>
      <c r="AD7" s="45">
        <f>Tax!AD43</f>
        <v>4034607.7336467346</v>
      </c>
      <c r="AE7" s="45">
        <f>Tax!AE43</f>
        <v>2642406.1287304964</v>
      </c>
    </row>
    <row r="8">
      <c r="A8" s="6" t="inlineStr">
        <is>
          <t xml:space="preserve">Debt service</t>
        </is>
      </c>
      <c r="B8" s="10" t="inlineStr">
        <is>
          <t xml:space="preserve">€</t>
        </is>
      </c>
      <c r="F8" s="45">
        <f>Debt!F13</f>
        <v>551915.1400212483</v>
      </c>
      <c r="G8" s="45">
        <f>Debt!G13</f>
        <v>1103830.2800424965</v>
      </c>
      <c r="H8" s="45">
        <f>Debt!H13</f>
        <v>2293148.2405143427</v>
      </c>
      <c r="I8" s="45">
        <f>Debt!I13</f>
        <v>2228217.0475706663</v>
      </c>
      <c r="J8" s="45">
        <f>Debt!J13</f>
        <v>2163285.8546269904</v>
      </c>
      <c r="K8" s="45">
        <f>Debt!K13</f>
        <v>2098354.661683314</v>
      </c>
      <c r="L8" s="45">
        <f>Debt!L13</f>
        <v>2033423.4687396376</v>
      </c>
      <c r="M8" s="45">
        <f>Debt!M13</f>
        <v>1968492.2757959617</v>
      </c>
      <c r="N8" s="45">
        <f>Debt!N13</f>
        <v>1903561.0828522854</v>
      </c>
      <c r="O8" s="45">
        <f>Debt!O13</f>
        <v>1838629.8899086094</v>
      </c>
      <c r="P8" s="45">
        <f>Debt!P13</f>
        <v>1773698.696964933</v>
      </c>
      <c r="Q8" s="45">
        <f>Debt!Q13</f>
        <v>1708767.504021257</v>
      </c>
      <c r="R8" s="45">
        <f>Debt!R13</f>
        <v>1643836.3110775806</v>
      </c>
      <c r="S8" s="45">
        <f>Debt!S13</f>
        <v>1578905.1181339044</v>
      </c>
      <c r="T8" s="45">
        <f>Debt!T13</f>
        <v>1513973.9251902283</v>
      </c>
      <c r="U8" s="45">
        <f>Debt!U13</f>
        <v>1449042.7322465521</v>
      </c>
      <c r="V8" s="45">
        <f>Debt!V13</f>
        <v>1384111.5393028758</v>
      </c>
      <c r="W8" s="45">
        <f>Debt!W13</f>
        <v>1319180.3463591996</v>
      </c>
      <c r="X8" s="45">
        <f>Debt!X13</f>
        <v>1254249.1534155395</v>
      </c>
      <c r="Y8" s="45">
        <f>Debt!Y13</f>
        <v>0</v>
      </c>
      <c r="Z8" s="45">
        <f>Debt!Z13</f>
        <v>0</v>
      </c>
      <c r="AA8" s="45">
        <f>Debt!AA13</f>
        <v>0</v>
      </c>
      <c r="AB8" s="45">
        <f>Debt!AB13</f>
        <v>0</v>
      </c>
      <c r="AC8" s="45">
        <f>Debt!AC13</f>
        <v>0</v>
      </c>
      <c r="AD8" s="45">
        <f>Debt!AD13</f>
        <v>0</v>
      </c>
      <c r="AE8" s="45">
        <f>Debt!AE13</f>
        <v>0</v>
      </c>
    </row>
    <row r="9">
      <c r="A9" s="6" t="inlineStr">
        <is>
          <t xml:space="preserve">Unpaid cash from the year before</t>
        </is>
      </c>
      <c r="B9" s="10" t="inlineStr">
        <is>
          <t xml:space="preserve">€</t>
        </is>
      </c>
      <c r="F9" s="23">
        <f>E41</f>
        <v>0</v>
      </c>
      <c r="G9" s="23">
        <f>F41</f>
        <v>0</v>
      </c>
      <c r="H9" s="23">
        <f>G41</f>
        <v>0</v>
      </c>
      <c r="I9" s="23">
        <f>H41</f>
        <v>0</v>
      </c>
      <c r="J9" s="23">
        <f>I41</f>
        <v>0</v>
      </c>
      <c r="K9" s="23">
        <f>J41</f>
        <v>0</v>
      </c>
      <c r="L9" s="23">
        <f>K41</f>
        <v>0</v>
      </c>
      <c r="M9" s="23">
        <f>L41</f>
        <v>0</v>
      </c>
      <c r="N9" s="23">
        <f>M41</f>
        <v>0</v>
      </c>
      <c r="O9" s="23">
        <f>N41</f>
        <v>0</v>
      </c>
      <c r="P9" s="23">
        <f>O41</f>
        <v>0</v>
      </c>
      <c r="Q9" s="23">
        <f>P41</f>
        <v>0</v>
      </c>
      <c r="R9" s="23">
        <f>Q41</f>
        <v>0</v>
      </c>
      <c r="S9" s="23">
        <f>R41</f>
        <v>0</v>
      </c>
      <c r="T9" s="23">
        <f>S41</f>
        <v>0</v>
      </c>
      <c r="U9" s="23">
        <f>T41</f>
        <v>0</v>
      </c>
      <c r="V9" s="23">
        <f>U41</f>
        <v>0</v>
      </c>
      <c r="W9" s="23">
        <f>V41</f>
        <v>0</v>
      </c>
      <c r="X9" s="23">
        <f>W41</f>
        <v>0</v>
      </c>
      <c r="Y9" s="23">
        <f>X41</f>
        <v>0</v>
      </c>
      <c r="Z9" s="23">
        <f>Y41</f>
        <v>0</v>
      </c>
      <c r="AA9" s="23">
        <f>Z41</f>
        <v>0</v>
      </c>
      <c r="AB9" s="23">
        <f>AA41</f>
        <v>0</v>
      </c>
      <c r="AC9" s="23">
        <f>AB41</f>
        <v>0</v>
      </c>
      <c r="AD9" s="23">
        <f>AC41</f>
        <v>0</v>
      </c>
      <c r="AE9" s="23">
        <f>AD41</f>
        <v>0</v>
      </c>
    </row>
    <row r="10">
      <c r="A10" s="6" t="inlineStr">
        <is>
          <t xml:space="preserve">Cash after debt service</t>
        </is>
      </c>
      <c r="B10" s="10" t="inlineStr">
        <is>
          <t xml:space="preserve">€</t>
        </is>
      </c>
      <c r="F10" s="23">
        <f>F7-F8+F9</f>
        <v>1611971.9507365031</v>
      </c>
      <c r="G10" s="23">
        <f>G7-G8+G9</f>
        <v>2360238.8006830523</v>
      </c>
      <c r="H10" s="23">
        <f>H7-H8+H9</f>
        <v>1007758.7113751038</v>
      </c>
      <c r="I10" s="23">
        <f>I7-I8+I9</f>
        <v>1119646.4753358872</v>
      </c>
      <c r="J10" s="23">
        <f>J7-J8+J9</f>
        <v>1247258.9650660874</v>
      </c>
      <c r="K10" s="23">
        <f>K7-K8+K9</f>
        <v>1372444.3501973762</v>
      </c>
      <c r="L10" s="23">
        <f>L7-L8+L9</f>
        <v>1502199.3008822692</v>
      </c>
      <c r="M10" s="23">
        <f>M7-M8+M9</f>
        <v>1631890.2724833349</v>
      </c>
      <c r="N10" s="23">
        <f>N7-N8+N9</f>
        <v>1763948.1901685735</v>
      </c>
      <c r="O10" s="23">
        <f>O7-O8+O9</f>
        <v>1893396.828330521</v>
      </c>
      <c r="P10" s="23">
        <f>P7-P8+P9</f>
        <v>1903700.0651406753</v>
      </c>
      <c r="Q10" s="23">
        <f>Q7-Q8+Q9</f>
        <v>2035499.5106719031</v>
      </c>
      <c r="R10" s="23">
        <f>R7-R8+R9</f>
        <v>2169787.7116608806</v>
      </c>
      <c r="S10" s="23">
        <f>S7-S8+S9</f>
        <v>2301220.145332588</v>
      </c>
      <c r="T10" s="23">
        <f>T7-T8+T9</f>
        <v>2437863.130488837</v>
      </c>
      <c r="U10" s="23">
        <f>U7-U8+U9</f>
        <v>2574372.8190536983</v>
      </c>
      <c r="V10" s="23">
        <f>V7-V8+V9</f>
        <v>2657214.980792238</v>
      </c>
      <c r="W10" s="23">
        <f>W7-W8+W9</f>
        <v>2685186.5943176346</v>
      </c>
      <c r="X10" s="23">
        <f>X7-X8+X9</f>
        <v>2820683.180177166</v>
      </c>
      <c r="Y10" s="23">
        <f>Y7-Y8+Y9</f>
        <v>3875948.398716625</v>
      </c>
      <c r="Z10" s="23">
        <f>Z7-Z8+Z9</f>
        <v>3739009.518532468</v>
      </c>
      <c r="AA10" s="23">
        <f>AA7-AA8+AA9</f>
        <v>3805176.2298814496</v>
      </c>
      <c r="AB10" s="23">
        <f>AB7-AB8+AB9</f>
        <v>3877463.806433188</v>
      </c>
      <c r="AC10" s="23">
        <f>AC7-AC8+AC9</f>
        <v>3949639.7339421194</v>
      </c>
      <c r="AD10" s="23">
        <f>AD7-AD8+AD9</f>
        <v>4034607.7336467346</v>
      </c>
      <c r="AE10" s="23">
        <f>AE7-AE8+AE9</f>
        <v>2642406.1287304964</v>
      </c>
    </row>
    <row r="11">
      <c r="A11" s="6" t="inlineStr">
        <is>
          <t xml:space="preserve">Cash held back under the lock-up, used for a shortfall</t>
        </is>
      </c>
      <c r="B11" s="10" t="inlineStr">
        <is>
          <t xml:space="preserve">€</t>
        </is>
      </c>
      <c r="F11" s="23">
        <f>IF(AND(F10&lt;0,E40&gt;0),MIN(E40,-F10),0)</f>
        <v>0</v>
      </c>
      <c r="G11" s="23">
        <f>IF(AND(G10&lt;0,F40&gt;0),MIN(F40,-G10),0)</f>
        <v>0</v>
      </c>
      <c r="H11" s="23">
        <f>IF(AND(H10&lt;0,G40&gt;0),MIN(G40,-H10),0)</f>
        <v>0</v>
      </c>
      <c r="I11" s="23">
        <f>IF(AND(I10&lt;0,H40&gt;0),MIN(H40,-I10),0)</f>
        <v>0</v>
      </c>
      <c r="J11" s="23">
        <f>IF(AND(J10&lt;0,I40&gt;0),MIN(I40,-J10),0)</f>
        <v>0</v>
      </c>
      <c r="K11" s="23">
        <f>IF(AND(K10&lt;0,J40&gt;0),MIN(J40,-K10),0)</f>
        <v>0</v>
      </c>
      <c r="L11" s="23">
        <f>IF(AND(L10&lt;0,K40&gt;0),MIN(K40,-L10),0)</f>
        <v>0</v>
      </c>
      <c r="M11" s="23">
        <f>IF(AND(M10&lt;0,L40&gt;0),MIN(L40,-M10),0)</f>
        <v>0</v>
      </c>
      <c r="N11" s="23">
        <f>IF(AND(N10&lt;0,M40&gt;0),MIN(M40,-N10),0)</f>
        <v>0</v>
      </c>
      <c r="O11" s="23">
        <f>IF(AND(O10&lt;0,N40&gt;0),MIN(N40,-O10),0)</f>
        <v>0</v>
      </c>
      <c r="P11" s="23">
        <f>IF(AND(P10&lt;0,O40&gt;0),MIN(O40,-P10),0)</f>
        <v>0</v>
      </c>
      <c r="Q11" s="23">
        <f>IF(AND(Q10&lt;0,P40&gt;0),MIN(P40,-Q10),0)</f>
        <v>0</v>
      </c>
      <c r="R11" s="23">
        <f>IF(AND(R10&lt;0,Q40&gt;0),MIN(Q40,-R10),0)</f>
        <v>0</v>
      </c>
      <c r="S11" s="23">
        <f>IF(AND(S10&lt;0,R40&gt;0),MIN(R40,-S10),0)</f>
        <v>0</v>
      </c>
      <c r="T11" s="23">
        <f>IF(AND(T10&lt;0,S40&gt;0),MIN(S40,-T10),0)</f>
        <v>0</v>
      </c>
      <c r="U11" s="23">
        <f>IF(AND(U10&lt;0,T40&gt;0),MIN(T40,-U10),0)</f>
        <v>0</v>
      </c>
      <c r="V11" s="23">
        <f>IF(AND(V10&lt;0,U40&gt;0),MIN(U40,-V10),0)</f>
        <v>0</v>
      </c>
      <c r="W11" s="23">
        <f>IF(AND(W10&lt;0,V40&gt;0),MIN(V40,-W10),0)</f>
        <v>0</v>
      </c>
      <c r="X11" s="23">
        <f>IF(AND(X10&lt;0,W40&gt;0),MIN(W40,-X10),0)</f>
        <v>0</v>
      </c>
      <c r="Y11" s="23">
        <f>IF(AND(Y10&lt;0,X40&gt;0),MIN(X40,-Y10),0)</f>
        <v>0</v>
      </c>
      <c r="Z11" s="23">
        <f>IF(AND(Z10&lt;0,Y40&gt;0),MIN(Y40,-Z10),0)</f>
        <v>0</v>
      </c>
      <c r="AA11" s="23">
        <f>IF(AND(AA10&lt;0,Z40&gt;0),MIN(Z40,-AA10),0)</f>
        <v>0</v>
      </c>
      <c r="AB11" s="23">
        <f>IF(AND(AB10&lt;0,AA40&gt;0),MIN(AA40,-AB10),0)</f>
        <v>0</v>
      </c>
      <c r="AC11" s="23">
        <f>IF(AND(AC10&lt;0,AB40&gt;0),MIN(AB40,-AC10),0)</f>
        <v>0</v>
      </c>
      <c r="AD11" s="23">
        <f>IF(AND(AD10&lt;0,AC40&gt;0),MIN(AC40,-AD10),0)</f>
        <v>0</v>
      </c>
      <c r="AE11" s="23">
        <f>IF(AND(AE10&lt;0,AD40&gt;0),MIN(AD40,-AE10),0)</f>
        <v>0</v>
      </c>
    </row>
    <row r="12">
      <c r="A12" s="6" t="inlineStr">
        <is>
          <t xml:space="preserve">Cash after that</t>
        </is>
      </c>
      <c r="B12" s="10" t="inlineStr">
        <is>
          <t xml:space="preserve">€</t>
        </is>
      </c>
      <c r="F12" s="23">
        <f>F10+F11</f>
        <v>1611971.9507365031</v>
      </c>
      <c r="G12" s="23">
        <f>G10+G11</f>
        <v>2360238.8006830523</v>
      </c>
      <c r="H12" s="23">
        <f>H10+H11</f>
        <v>1007758.7113751038</v>
      </c>
      <c r="I12" s="23">
        <f>I10+I11</f>
        <v>1119646.4753358872</v>
      </c>
      <c r="J12" s="23">
        <f>J10+J11</f>
        <v>1247258.9650660874</v>
      </c>
      <c r="K12" s="23">
        <f>K10+K11</f>
        <v>1372444.3501973762</v>
      </c>
      <c r="L12" s="23">
        <f>L10+L11</f>
        <v>1502199.3008822692</v>
      </c>
      <c r="M12" s="23">
        <f>M10+M11</f>
        <v>1631890.2724833349</v>
      </c>
      <c r="N12" s="23">
        <f>N10+N11</f>
        <v>1763948.1901685735</v>
      </c>
      <c r="O12" s="23">
        <f>O10+O11</f>
        <v>1893396.828330521</v>
      </c>
      <c r="P12" s="23">
        <f>P10+P11</f>
        <v>1903700.0651406753</v>
      </c>
      <c r="Q12" s="23">
        <f>Q10+Q11</f>
        <v>2035499.5106719031</v>
      </c>
      <c r="R12" s="23">
        <f>R10+R11</f>
        <v>2169787.7116608806</v>
      </c>
      <c r="S12" s="23">
        <f>S10+S11</f>
        <v>2301220.145332588</v>
      </c>
      <c r="T12" s="23">
        <f>T10+T11</f>
        <v>2437863.130488837</v>
      </c>
      <c r="U12" s="23">
        <f>U10+U11</f>
        <v>2574372.8190536983</v>
      </c>
      <c r="V12" s="23">
        <f>V10+V11</f>
        <v>2657214.980792238</v>
      </c>
      <c r="W12" s="23">
        <f>W10+W11</f>
        <v>2685186.5943176346</v>
      </c>
      <c r="X12" s="23">
        <f>X10+X11</f>
        <v>2820683.180177166</v>
      </c>
      <c r="Y12" s="23">
        <f>Y10+Y11</f>
        <v>3875948.398716625</v>
      </c>
      <c r="Z12" s="23">
        <f>Z10+Z11</f>
        <v>3739009.518532468</v>
      </c>
      <c r="AA12" s="23">
        <f>AA10+AA11</f>
        <v>3805176.2298814496</v>
      </c>
      <c r="AB12" s="23">
        <f>AB10+AB11</f>
        <v>3877463.806433188</v>
      </c>
      <c r="AC12" s="23">
        <f>AC10+AC11</f>
        <v>3949639.7339421194</v>
      </c>
      <c r="AD12" s="23">
        <f>AD10+AD11</f>
        <v>4034607.7336467346</v>
      </c>
      <c r="AE12" s="23">
        <f>AE10+AE11</f>
        <v>2642406.1287304964</v>
      </c>
    </row>
    <row r="13">
      <c r="A13" s="6" t="inlineStr">
        <is>
          <t xml:space="preserve">DSRA at the start</t>
        </is>
      </c>
      <c r="B13" s="10" t="inlineStr">
        <is>
          <t xml:space="preserve">€</t>
        </is>
      </c>
      <c r="F13" s="23">
        <f>E38</f>
        <v>573287.0601285857</v>
      </c>
      <c r="G13" s="23">
        <f>F38</f>
        <v>573287.0601285857</v>
      </c>
      <c r="H13" s="23">
        <f>G38</f>
        <v>573287.0601285857</v>
      </c>
      <c r="I13" s="23">
        <f>H38</f>
        <v>557054.2618926666</v>
      </c>
      <c r="J13" s="23">
        <f>I38</f>
        <v>540821.4636567476</v>
      </c>
      <c r="K13" s="23">
        <f>J38</f>
        <v>524588.6654208285</v>
      </c>
      <c r="L13" s="23">
        <f>K38</f>
        <v>508355.8671849094</v>
      </c>
      <c r="M13" s="23">
        <f>L38</f>
        <v>492123.06894899043</v>
      </c>
      <c r="N13" s="23">
        <f>M38</f>
        <v>475890.27071307134</v>
      </c>
      <c r="O13" s="23">
        <f>N38</f>
        <v>459657.47247715236</v>
      </c>
      <c r="P13" s="23">
        <f>O38</f>
        <v>443424.67424123327</v>
      </c>
      <c r="Q13" s="23">
        <f>P38</f>
        <v>427191.87600531423</v>
      </c>
      <c r="R13" s="23">
        <f>Q38</f>
        <v>410959.07776939514</v>
      </c>
      <c r="S13" s="23">
        <f>R38</f>
        <v>394726.2795334761</v>
      </c>
      <c r="T13" s="23">
        <f>S38</f>
        <v>378493.48129755707</v>
      </c>
      <c r="U13" s="23">
        <f>T38</f>
        <v>362260.68306163803</v>
      </c>
      <c r="V13" s="23">
        <f>U38</f>
        <v>346027.88482571894</v>
      </c>
      <c r="W13" s="23">
        <f>V38</f>
        <v>329795.0865897999</v>
      </c>
      <c r="X13" s="23">
        <f>W38</f>
        <v>313562.2883538849</v>
      </c>
      <c r="Y13" s="23">
        <f>X38</f>
        <v>0</v>
      </c>
      <c r="Z13" s="23">
        <f>Y38</f>
        <v>0</v>
      </c>
      <c r="AA13" s="23">
        <f>Z38</f>
        <v>0</v>
      </c>
      <c r="AB13" s="23">
        <f>AA38</f>
        <v>0</v>
      </c>
      <c r="AC13" s="23">
        <f>AB38</f>
        <v>0</v>
      </c>
      <c r="AD13" s="23">
        <f>AC38</f>
        <v>0</v>
      </c>
      <c r="AE13" s="23">
        <f>AD38</f>
        <v>0</v>
      </c>
    </row>
    <row r="14">
      <c r="A14" s="6" t="inlineStr">
        <is>
          <t xml:space="preserve">DSRA target</t>
        </is>
      </c>
      <c r="B14" s="10" t="inlineStr">
        <is>
          <t xml:space="preserve">€</t>
        </is>
      </c>
      <c r="F14" s="45">
        <f>Debt!F14</f>
        <v>573287.0601285857</v>
      </c>
      <c r="G14" s="45">
        <f>Debt!G14</f>
        <v>573287.0601285857</v>
      </c>
      <c r="H14" s="45">
        <f>Debt!H14</f>
        <v>557054.2618926666</v>
      </c>
      <c r="I14" s="45">
        <f>Debt!I14</f>
        <v>540821.4636567476</v>
      </c>
      <c r="J14" s="45">
        <f>Debt!J14</f>
        <v>524588.6654208285</v>
      </c>
      <c r="K14" s="45">
        <f>Debt!K14</f>
        <v>508355.8671849094</v>
      </c>
      <c r="L14" s="45">
        <f>Debt!L14</f>
        <v>492123.06894899043</v>
      </c>
      <c r="M14" s="45">
        <f>Debt!M14</f>
        <v>475890.27071307134</v>
      </c>
      <c r="N14" s="45">
        <f>Debt!N14</f>
        <v>459657.47247715236</v>
      </c>
      <c r="O14" s="45">
        <f>Debt!O14</f>
        <v>443424.67424123327</v>
      </c>
      <c r="P14" s="45">
        <f>Debt!P14</f>
        <v>427191.87600531423</v>
      </c>
      <c r="Q14" s="45">
        <f>Debt!Q14</f>
        <v>410959.07776939514</v>
      </c>
      <c r="R14" s="45">
        <f>Debt!R14</f>
        <v>394726.2795334761</v>
      </c>
      <c r="S14" s="45">
        <f>Debt!S14</f>
        <v>378493.48129755707</v>
      </c>
      <c r="T14" s="45">
        <f>Debt!T14</f>
        <v>362260.68306163803</v>
      </c>
      <c r="U14" s="45">
        <f>Debt!U14</f>
        <v>346027.88482571894</v>
      </c>
      <c r="V14" s="45">
        <f>Debt!V14</f>
        <v>329795.0865897999</v>
      </c>
      <c r="W14" s="45">
        <f>Debt!W14</f>
        <v>313562.2883538849</v>
      </c>
      <c r="X14" s="45">
        <f>Debt!X14</f>
        <v>0</v>
      </c>
      <c r="Y14" s="45">
        <f>Debt!Y14</f>
        <v>0</v>
      </c>
      <c r="Z14" s="45">
        <f>Debt!Z14</f>
        <v>0</v>
      </c>
      <c r="AA14" s="45">
        <f>Debt!AA14</f>
        <v>0</v>
      </c>
      <c r="AB14" s="45">
        <f>Debt!AB14</f>
        <v>0</v>
      </c>
      <c r="AC14" s="45">
        <f>Debt!AC14</f>
        <v>0</v>
      </c>
      <c r="AD14" s="45">
        <f>Debt!AD14</f>
        <v>0</v>
      </c>
      <c r="AE14" s="45">
        <f>Debt!AE14</f>
        <v>0</v>
      </c>
    </row>
    <row r="15">
      <c r="A15" s="6" t="inlineStr">
        <is>
          <t xml:space="preserve">DSRA top-up from surplus cash</t>
        </is>
      </c>
      <c r="B15" s="10" t="inlineStr">
        <is>
          <t xml:space="preserve">€</t>
        </is>
      </c>
      <c r="F15" s="23">
        <f>IF(F14&gt;F13,MIN(F14-F13,MAX(0,F12)),0)</f>
        <v>0</v>
      </c>
      <c r="G15" s="23">
        <f>IF(G14&gt;G13,MIN(G14-G13,MAX(0,G12)),0)</f>
        <v>0</v>
      </c>
      <c r="H15" s="23">
        <f>IF(H14&gt;H13,MIN(H14-H13,MAX(0,H12)),0)</f>
        <v>0</v>
      </c>
      <c r="I15" s="23">
        <f>IF(I14&gt;I13,MIN(I14-I13,MAX(0,I12)),0)</f>
        <v>0</v>
      </c>
      <c r="J15" s="23">
        <f>IF(J14&gt;J13,MIN(J14-J13,MAX(0,J12)),0)</f>
        <v>0</v>
      </c>
      <c r="K15" s="23">
        <f>IF(K14&gt;K13,MIN(K14-K13,MAX(0,K12)),0)</f>
        <v>0</v>
      </c>
      <c r="L15" s="23">
        <f>IF(L14&gt;L13,MIN(L14-L13,MAX(0,L12)),0)</f>
        <v>0</v>
      </c>
      <c r="M15" s="23">
        <f>IF(M14&gt;M13,MIN(M14-M13,MAX(0,M12)),0)</f>
        <v>0</v>
      </c>
      <c r="N15" s="23">
        <f>IF(N14&gt;N13,MIN(N14-N13,MAX(0,N12)),0)</f>
        <v>0</v>
      </c>
      <c r="O15" s="23">
        <f>IF(O14&gt;O13,MIN(O14-O13,MAX(0,O12)),0)</f>
        <v>0</v>
      </c>
      <c r="P15" s="23">
        <f>IF(P14&gt;P13,MIN(P14-P13,MAX(0,P12)),0)</f>
        <v>0</v>
      </c>
      <c r="Q15" s="23">
        <f>IF(Q14&gt;Q13,MIN(Q14-Q13,MAX(0,Q12)),0)</f>
        <v>0</v>
      </c>
      <c r="R15" s="23">
        <f>IF(R14&gt;R13,MIN(R14-R13,MAX(0,R12)),0)</f>
        <v>0</v>
      </c>
      <c r="S15" s="23">
        <f>IF(S14&gt;S13,MIN(S14-S13,MAX(0,S12)),0)</f>
        <v>0</v>
      </c>
      <c r="T15" s="23">
        <f>IF(T14&gt;T13,MIN(T14-T13,MAX(0,T12)),0)</f>
        <v>0</v>
      </c>
      <c r="U15" s="23">
        <f>IF(U14&gt;U13,MIN(U14-U13,MAX(0,U12)),0)</f>
        <v>0</v>
      </c>
      <c r="V15" s="23">
        <f>IF(V14&gt;V13,MIN(V14-V13,MAX(0,V12)),0)</f>
        <v>0</v>
      </c>
      <c r="W15" s="23">
        <f>IF(W14&gt;W13,MIN(W14-W13,MAX(0,W12)),0)</f>
        <v>0</v>
      </c>
      <c r="X15" s="23">
        <f>IF(X14&gt;X13,MIN(X14-X13,MAX(0,X12)),0)</f>
        <v>0</v>
      </c>
      <c r="Y15" s="23">
        <f>IF(Y14&gt;Y13,MIN(Y14-Y13,MAX(0,Y12)),0)</f>
        <v>0</v>
      </c>
      <c r="Z15" s="23">
        <f>IF(Z14&gt;Z13,MIN(Z14-Z13,MAX(0,Z12)),0)</f>
        <v>0</v>
      </c>
      <c r="AA15" s="23">
        <f>IF(AA14&gt;AA13,MIN(AA14-AA13,MAX(0,AA12)),0)</f>
        <v>0</v>
      </c>
      <c r="AB15" s="23">
        <f>IF(AB14&gt;AB13,MIN(AB14-AB13,MAX(0,AB12)),0)</f>
        <v>0</v>
      </c>
      <c r="AC15" s="23">
        <f>IF(AC14&gt;AC13,MIN(AC14-AC13,MAX(0,AC12)),0)</f>
        <v>0</v>
      </c>
      <c r="AD15" s="23">
        <f>IF(AD14&gt;AD13,MIN(AD14-AD13,MAX(0,AD12)),0)</f>
        <v>0</v>
      </c>
      <c r="AE15" s="23">
        <f>IF(AE14&gt;AE13,MIN(AE14-AE13,MAX(0,AE12)),0)</f>
        <v>0</v>
      </c>
    </row>
    <row r="16">
      <c r="A16" s="6" t="inlineStr">
        <is>
          <t xml:space="preserve">DSRA release above the target</t>
        </is>
      </c>
      <c r="B16" s="10" t="inlineStr">
        <is>
          <t xml:space="preserve">€</t>
        </is>
      </c>
      <c r="F16" s="23">
        <f>IF(F14&gt;F13,0,F13-F14)</f>
        <v>0</v>
      </c>
      <c r="G16" s="23">
        <f>IF(G14&gt;G13,0,G13-G14)</f>
        <v>0</v>
      </c>
      <c r="H16" s="23">
        <f>IF(H14&gt;H13,0,H13-H14)</f>
        <v>16232.798235919094</v>
      </c>
      <c r="I16" s="23">
        <f>IF(I14&gt;I13,0,I13-I14)</f>
        <v>16232.798235918977</v>
      </c>
      <c r="J16" s="23">
        <f>IF(J14&gt;J13,0,J13-J14)</f>
        <v>16232.798235919094</v>
      </c>
      <c r="K16" s="23">
        <f>IF(K14&gt;K13,0,K13-K14)</f>
        <v>16232.798235919094</v>
      </c>
      <c r="L16" s="23">
        <f>IF(L14&gt;L13,0,L13-L14)</f>
        <v>16232.798235918977</v>
      </c>
      <c r="M16" s="23">
        <f>IF(M14&gt;M13,0,M13-M14)</f>
        <v>16232.798235919094</v>
      </c>
      <c r="N16" s="23">
        <f>IF(N14&gt;N13,0,N13-N14)</f>
        <v>16232.798235918977</v>
      </c>
      <c r="O16" s="23">
        <f>IF(O14&gt;O13,0,O13-O14)</f>
        <v>16232.798235919094</v>
      </c>
      <c r="P16" s="23">
        <f>IF(P14&gt;P13,0,P13-P14)</f>
        <v>16232.798235919036</v>
      </c>
      <c r="Q16" s="23">
        <f>IF(Q14&gt;Q13,0,Q13-Q14)</f>
        <v>16232.798235919094</v>
      </c>
      <c r="R16" s="23">
        <f>IF(R14&gt;R13,0,R13-R14)</f>
        <v>16232.798235919036</v>
      </c>
      <c r="S16" s="23">
        <f>IF(S14&gt;S13,0,S13-S14)</f>
        <v>16232.798235919036</v>
      </c>
      <c r="T16" s="23">
        <f>IF(T14&gt;T13,0,T13-T14)</f>
        <v>16232.798235919036</v>
      </c>
      <c r="U16" s="23">
        <f>IF(U14&gt;U13,0,U13-U14)</f>
        <v>16232.798235919094</v>
      </c>
      <c r="V16" s="23">
        <f>IF(V14&gt;V13,0,V13-V14)</f>
        <v>16232.798235919036</v>
      </c>
      <c r="W16" s="23">
        <f>IF(W14&gt;W13,0,W13-W14)</f>
        <v>16232.79823591502</v>
      </c>
      <c r="X16" s="23">
        <f>IF(X14&gt;X13,0,X13-X14)</f>
        <v>313562.2883538849</v>
      </c>
      <c r="Y16" s="23">
        <f>IF(Y14&gt;Y13,0,Y13-Y14)</f>
        <v>0</v>
      </c>
      <c r="Z16" s="23">
        <f>IF(Z14&gt;Z13,0,Z13-Z14)</f>
        <v>0</v>
      </c>
      <c r="AA16" s="23">
        <f>IF(AA14&gt;AA13,0,AA13-AA14)</f>
        <v>0</v>
      </c>
      <c r="AB16" s="23">
        <f>IF(AB14&gt;AB13,0,AB13-AB14)</f>
        <v>0</v>
      </c>
      <c r="AC16" s="23">
        <f>IF(AC14&gt;AC13,0,AC13-AC14)</f>
        <v>0</v>
      </c>
      <c r="AD16" s="23">
        <f>IF(AD14&gt;AD13,0,AD13-AD14)</f>
        <v>0</v>
      </c>
      <c r="AE16" s="23">
        <f>IF(AE14&gt;AE13,0,AE13-AE14)</f>
        <v>0</v>
      </c>
    </row>
    <row r="17">
      <c r="A17" s="6" t="inlineStr">
        <is>
          <t xml:space="preserve">Cash after DSRA top-up and release</t>
        </is>
      </c>
      <c r="B17" s="10" t="inlineStr">
        <is>
          <t xml:space="preserve">€</t>
        </is>
      </c>
      <c r="F17" s="23">
        <f>F12-F15+F16</f>
        <v>1611971.9507365031</v>
      </c>
      <c r="G17" s="23">
        <f>G12-G15+G16</f>
        <v>2360238.8006830523</v>
      </c>
      <c r="H17" s="23">
        <f>H12-H15+H16</f>
        <v>1023991.5096110229</v>
      </c>
      <c r="I17" s="23">
        <f>I12-I15+I16</f>
        <v>1135879.273571806</v>
      </c>
      <c r="J17" s="23">
        <f>J12-J15+J16</f>
        <v>1263491.7633020065</v>
      </c>
      <c r="K17" s="23">
        <f>K12-K15+K16</f>
        <v>1388677.1484332953</v>
      </c>
      <c r="L17" s="23">
        <f>L12-L15+L16</f>
        <v>1518432.099118188</v>
      </c>
      <c r="M17" s="23">
        <f>M12-M15+M16</f>
        <v>1648123.070719254</v>
      </c>
      <c r="N17" s="23">
        <f>N12-N15+N16</f>
        <v>1780180.9884044924</v>
      </c>
      <c r="O17" s="23">
        <f>O12-O15+O16</f>
        <v>1909629.62656644</v>
      </c>
      <c r="P17" s="23">
        <f>P12-P15+P16</f>
        <v>1919932.8633765944</v>
      </c>
      <c r="Q17" s="23">
        <f>Q12-Q15+Q16</f>
        <v>2051732.3089078222</v>
      </c>
      <c r="R17" s="23">
        <f>R12-R15+R16</f>
        <v>2186020.5098967995</v>
      </c>
      <c r="S17" s="23">
        <f>S12-S15+S16</f>
        <v>2317452.9435685067</v>
      </c>
      <c r="T17" s="23">
        <f>T12-T15+T16</f>
        <v>2454095.928724756</v>
      </c>
      <c r="U17" s="23">
        <f>U12-U15+U16</f>
        <v>2590605.6172896177</v>
      </c>
      <c r="V17" s="23">
        <f>V12-V15+V16</f>
        <v>2673447.779028157</v>
      </c>
      <c r="W17" s="23">
        <f>W12-W15+W16</f>
        <v>2701419.3925535497</v>
      </c>
      <c r="X17" s="23">
        <f>X12-X15+X16</f>
        <v>3134245.468531051</v>
      </c>
      <c r="Y17" s="23">
        <f>Y12-Y15+Y16</f>
        <v>3875948.398716625</v>
      </c>
      <c r="Z17" s="23">
        <f>Z12-Z15+Z16</f>
        <v>3739009.518532468</v>
      </c>
      <c r="AA17" s="23">
        <f>AA12-AA15+AA16</f>
        <v>3805176.2298814496</v>
      </c>
      <c r="AB17" s="23">
        <f>AB12-AB15+AB16</f>
        <v>3877463.806433188</v>
      </c>
      <c r="AC17" s="23">
        <f>AC12-AC15+AC16</f>
        <v>3949639.7339421194</v>
      </c>
      <c r="AD17" s="23">
        <f>AD12-AD15+AD16</f>
        <v>4034607.7336467346</v>
      </c>
      <c r="AE17" s="23">
        <f>AE12-AE15+AE16</f>
        <v>2642406.1287304964</v>
      </c>
    </row>
    <row r="18">
      <c r="A18" s="6" t="inlineStr">
        <is>
          <t xml:space="preserve">DSRA drawn for a shortfall</t>
        </is>
      </c>
      <c r="B18" s="10" t="inlineStr">
        <is>
          <t xml:space="preserve">€</t>
        </is>
      </c>
      <c r="F18" s="23">
        <f>IF(F17&lt;0,MIN(F13+F15-F16,-F17),0)</f>
        <v>0</v>
      </c>
      <c r="G18" s="23">
        <f>IF(G17&lt;0,MIN(G13+G15-G16,-G17),0)</f>
        <v>0</v>
      </c>
      <c r="H18" s="23">
        <f>IF(H17&lt;0,MIN(H13+H15-H16,-H17),0)</f>
        <v>0</v>
      </c>
      <c r="I18" s="23">
        <f>IF(I17&lt;0,MIN(I13+I15-I16,-I17),0)</f>
        <v>0</v>
      </c>
      <c r="J18" s="23">
        <f>IF(J17&lt;0,MIN(J13+J15-J16,-J17),0)</f>
        <v>0</v>
      </c>
      <c r="K18" s="23">
        <f>IF(K17&lt;0,MIN(K13+K15-K16,-K17),0)</f>
        <v>0</v>
      </c>
      <c r="L18" s="23">
        <f>IF(L17&lt;0,MIN(L13+L15-L16,-L17),0)</f>
        <v>0</v>
      </c>
      <c r="M18" s="23">
        <f>IF(M17&lt;0,MIN(M13+M15-M16,-M17),0)</f>
        <v>0</v>
      </c>
      <c r="N18" s="23">
        <f>IF(N17&lt;0,MIN(N13+N15-N16,-N17),0)</f>
        <v>0</v>
      </c>
      <c r="O18" s="23">
        <f>IF(O17&lt;0,MIN(O13+O15-O16,-O17),0)</f>
        <v>0</v>
      </c>
      <c r="P18" s="23">
        <f>IF(P17&lt;0,MIN(P13+P15-P16,-P17),0)</f>
        <v>0</v>
      </c>
      <c r="Q18" s="23">
        <f>IF(Q17&lt;0,MIN(Q13+Q15-Q16,-Q17),0)</f>
        <v>0</v>
      </c>
      <c r="R18" s="23">
        <f>IF(R17&lt;0,MIN(R13+R15-R16,-R17),0)</f>
        <v>0</v>
      </c>
      <c r="S18" s="23">
        <f>IF(S17&lt;0,MIN(S13+S15-S16,-S17),0)</f>
        <v>0</v>
      </c>
      <c r="T18" s="23">
        <f>IF(T17&lt;0,MIN(T13+T15-T16,-T17),0)</f>
        <v>0</v>
      </c>
      <c r="U18" s="23">
        <f>IF(U17&lt;0,MIN(U13+U15-U16,-U17),0)</f>
        <v>0</v>
      </c>
      <c r="V18" s="23">
        <f>IF(V17&lt;0,MIN(V13+V15-V16,-V17),0)</f>
        <v>0</v>
      </c>
      <c r="W18" s="23">
        <f>IF(W17&lt;0,MIN(W13+W15-W16,-W17),0)</f>
        <v>0</v>
      </c>
      <c r="X18" s="23">
        <f>IF(X17&lt;0,MIN(X13+X15-X16,-X17),0)</f>
        <v>0</v>
      </c>
      <c r="Y18" s="23">
        <f>IF(Y17&lt;0,MIN(Y13+Y15-Y16,-Y17),0)</f>
        <v>0</v>
      </c>
      <c r="Z18" s="23">
        <f>IF(Z17&lt;0,MIN(Z13+Z15-Z16,-Z17),0)</f>
        <v>0</v>
      </c>
      <c r="AA18" s="23">
        <f>IF(AA17&lt;0,MIN(AA13+AA15-AA16,-AA17),0)</f>
        <v>0</v>
      </c>
      <c r="AB18" s="23">
        <f>IF(AB17&lt;0,MIN(AB13+AB15-AB16,-AB17),0)</f>
        <v>0</v>
      </c>
      <c r="AC18" s="23">
        <f>IF(AC17&lt;0,MIN(AC13+AC15-AC16,-AC17),0)</f>
        <v>0</v>
      </c>
      <c r="AD18" s="23">
        <f>IF(AD17&lt;0,MIN(AD13+AD15-AD16,-AD17),0)</f>
        <v>0</v>
      </c>
      <c r="AE18" s="23">
        <f>IF(AE17&lt;0,MIN(AE13+AE15-AE16,-AE17),0)</f>
        <v>0</v>
      </c>
    </row>
    <row r="19">
      <c r="A19" s="6" t="inlineStr">
        <is>
          <t xml:space="preserve">Cash after the DSRA</t>
        </is>
      </c>
      <c r="B19" s="10" t="inlineStr">
        <is>
          <t xml:space="preserve">€</t>
        </is>
      </c>
      <c r="F19" s="23">
        <f>F17+F18</f>
        <v>1611971.9507365031</v>
      </c>
      <c r="G19" s="23">
        <f>G17+G18</f>
        <v>2360238.8006830523</v>
      </c>
      <c r="H19" s="23">
        <f>H17+H18</f>
        <v>1023991.5096110229</v>
      </c>
      <c r="I19" s="23">
        <f>I17+I18</f>
        <v>1135879.273571806</v>
      </c>
      <c r="J19" s="23">
        <f>J17+J18</f>
        <v>1263491.7633020065</v>
      </c>
      <c r="K19" s="23">
        <f>K17+K18</f>
        <v>1388677.1484332953</v>
      </c>
      <c r="L19" s="23">
        <f>L17+L18</f>
        <v>1518432.099118188</v>
      </c>
      <c r="M19" s="23">
        <f>M17+M18</f>
        <v>1648123.070719254</v>
      </c>
      <c r="N19" s="23">
        <f>N17+N18</f>
        <v>1780180.9884044924</v>
      </c>
      <c r="O19" s="23">
        <f>O17+O18</f>
        <v>1909629.62656644</v>
      </c>
      <c r="P19" s="23">
        <f>P17+P18</f>
        <v>1919932.8633765944</v>
      </c>
      <c r="Q19" s="23">
        <f>Q17+Q18</f>
        <v>2051732.3089078222</v>
      </c>
      <c r="R19" s="23">
        <f>R17+R18</f>
        <v>2186020.5098967995</v>
      </c>
      <c r="S19" s="23">
        <f>S17+S18</f>
        <v>2317452.9435685067</v>
      </c>
      <c r="T19" s="23">
        <f>T17+T18</f>
        <v>2454095.928724756</v>
      </c>
      <c r="U19" s="23">
        <f>U17+U18</f>
        <v>2590605.6172896177</v>
      </c>
      <c r="V19" s="23">
        <f>V17+V18</f>
        <v>2673447.779028157</v>
      </c>
      <c r="W19" s="23">
        <f>W17+W18</f>
        <v>2701419.3925535497</v>
      </c>
      <c r="X19" s="23">
        <f>X17+X18</f>
        <v>3134245.468531051</v>
      </c>
      <c r="Y19" s="23">
        <f>Y17+Y18</f>
        <v>3875948.398716625</v>
      </c>
      <c r="Z19" s="23">
        <f>Z17+Z18</f>
        <v>3739009.518532468</v>
      </c>
      <c r="AA19" s="23">
        <f>AA17+AA18</f>
        <v>3805176.2298814496</v>
      </c>
      <c r="AB19" s="23">
        <f>AB17+AB18</f>
        <v>3877463.806433188</v>
      </c>
      <c r="AC19" s="23">
        <f>AC17+AC18</f>
        <v>3949639.7339421194</v>
      </c>
      <c r="AD19" s="23">
        <f>AD17+AD18</f>
        <v>4034607.7336467346</v>
      </c>
      <c r="AE19" s="23">
        <f>AE17+AE18</f>
        <v>2642406.1287304964</v>
      </c>
    </row>
    <row r="20">
      <c r="A20" s="6" t="inlineStr">
        <is>
          <t xml:space="preserve">Reserve instalments still to pay</t>
        </is>
      </c>
      <c r="F20" s="23">
        <f>E24</f>
        <v>6</v>
      </c>
      <c r="G20" s="23">
        <f>F24</f>
        <v>6</v>
      </c>
      <c r="H20" s="23">
        <f>G24</f>
        <v>6</v>
      </c>
      <c r="I20" s="23">
        <f>H24</f>
        <v>6</v>
      </c>
      <c r="J20" s="23">
        <f>I24</f>
        <v>6</v>
      </c>
      <c r="K20" s="23">
        <f>J24</f>
        <v>6</v>
      </c>
      <c r="L20" s="23">
        <f>K24</f>
        <v>6</v>
      </c>
      <c r="M20" s="23">
        <f>L24</f>
        <v>6</v>
      </c>
      <c r="N20" s="23">
        <f>M24</f>
        <v>6</v>
      </c>
      <c r="O20" s="23">
        <f>N24</f>
        <v>6</v>
      </c>
      <c r="P20" s="23">
        <f>O24</f>
        <v>6</v>
      </c>
      <c r="Q20" s="23">
        <f>P24</f>
        <v>6</v>
      </c>
      <c r="R20" s="23">
        <f>Q24</f>
        <v>6</v>
      </c>
      <c r="S20" s="23">
        <f>R24</f>
        <v>6</v>
      </c>
      <c r="T20" s="23">
        <f>S24</f>
        <v>6</v>
      </c>
      <c r="U20" s="23">
        <f>T24</f>
        <v>6</v>
      </c>
      <c r="V20" s="23">
        <f>U24</f>
        <v>6</v>
      </c>
      <c r="W20" s="23">
        <f>V24</f>
        <v>6</v>
      </c>
      <c r="X20" s="23">
        <f>W24</f>
        <v>6</v>
      </c>
      <c r="Y20" s="23">
        <f>X24</f>
        <v>6</v>
      </c>
      <c r="Z20" s="23">
        <f>Y24</f>
        <v>6</v>
      </c>
      <c r="AA20" s="23">
        <f>Z24</f>
        <v>5</v>
      </c>
      <c r="AB20" s="23">
        <f>AA24</f>
        <v>4</v>
      </c>
      <c r="AC20" s="23">
        <f>AB24</f>
        <v>3</v>
      </c>
      <c r="AD20" s="23">
        <f>AC24</f>
        <v>2</v>
      </c>
      <c r="AE20" s="23">
        <f>AD24</f>
        <v>1</v>
      </c>
    </row>
    <row r="21">
      <c r="A21" s="6" t="inlineStr">
        <is>
          <t xml:space="preserve">Decommissioning reserve at the start</t>
        </is>
      </c>
      <c r="B21" s="10" t="inlineStr">
        <is>
          <t xml:space="preserve">€</t>
        </is>
      </c>
      <c r="E21" s="9">
        <v>0</v>
      </c>
      <c r="F21" s="23">
        <f>E39</f>
        <v>0</v>
      </c>
      <c r="G21" s="23">
        <f>F39</f>
        <v>0</v>
      </c>
      <c r="H21" s="23">
        <f>G39</f>
        <v>0</v>
      </c>
      <c r="I21" s="23">
        <f>H39</f>
        <v>0</v>
      </c>
      <c r="J21" s="23">
        <f>I39</f>
        <v>0</v>
      </c>
      <c r="K21" s="23">
        <f>J39</f>
        <v>0</v>
      </c>
      <c r="L21" s="23">
        <f>K39</f>
        <v>0</v>
      </c>
      <c r="M21" s="23">
        <f>L39</f>
        <v>0</v>
      </c>
      <c r="N21" s="23">
        <f>M39</f>
        <v>0</v>
      </c>
      <c r="O21" s="23">
        <f>N39</f>
        <v>0</v>
      </c>
      <c r="P21" s="23">
        <f>O39</f>
        <v>0</v>
      </c>
      <c r="Q21" s="23">
        <f>P39</f>
        <v>0</v>
      </c>
      <c r="R21" s="23">
        <f>Q39</f>
        <v>0</v>
      </c>
      <c r="S21" s="23">
        <f>R39</f>
        <v>0</v>
      </c>
      <c r="T21" s="23">
        <f>S39</f>
        <v>0</v>
      </c>
      <c r="U21" s="23">
        <f>T39</f>
        <v>0</v>
      </c>
      <c r="V21" s="23">
        <f>U39</f>
        <v>0</v>
      </c>
      <c r="W21" s="23">
        <f>V39</f>
        <v>0</v>
      </c>
      <c r="X21" s="23">
        <f>W39</f>
        <v>0</v>
      </c>
      <c r="Y21" s="23">
        <f>X39</f>
        <v>0</v>
      </c>
      <c r="Z21" s="23">
        <f>Y39</f>
        <v>0</v>
      </c>
      <c r="AA21" s="23">
        <f>Z39</f>
        <v>450690.3190348829</v>
      </c>
      <c r="AB21" s="23">
        <f>AA39</f>
        <v>901380.6380697659</v>
      </c>
      <c r="AC21" s="23">
        <f>AB39</f>
        <v>1352070.9571046487</v>
      </c>
      <c r="AD21" s="23">
        <f>AC39</f>
        <v>1802761.2761395315</v>
      </c>
      <c r="AE21" s="23">
        <f>AD39</f>
        <v>2253451.5951744146</v>
      </c>
    </row>
    <row r="22">
      <c r="A22" s="6" t="inlineStr">
        <is>
          <t xml:space="preserve">Planned reserve instalment</t>
        </is>
      </c>
      <c r="B22" s="10" t="inlineStr">
        <is>
          <t xml:space="preserve">€</t>
        </is>
      </c>
      <c r="F22" s="23">
        <f>IF(F20&gt;0,(Timing!$C$34-F21)/F20,0)</f>
        <v>450690.3190348829</v>
      </c>
      <c r="G22" s="23">
        <f>IF(G20&gt;0,(Timing!$C$34-G21)/G20,0)</f>
        <v>450690.3190348829</v>
      </c>
      <c r="H22" s="23">
        <f>IF(H20&gt;0,(Timing!$C$34-H21)/H20,0)</f>
        <v>450690.3190348829</v>
      </c>
      <c r="I22" s="23">
        <f>IF(I20&gt;0,(Timing!$C$34-I21)/I20,0)</f>
        <v>450690.3190348829</v>
      </c>
      <c r="J22" s="23">
        <f>IF(J20&gt;0,(Timing!$C$34-J21)/J20,0)</f>
        <v>450690.3190348829</v>
      </c>
      <c r="K22" s="23">
        <f>IF(K20&gt;0,(Timing!$C$34-K21)/K20,0)</f>
        <v>450690.3190348829</v>
      </c>
      <c r="L22" s="23">
        <f>IF(L20&gt;0,(Timing!$C$34-L21)/L20,0)</f>
        <v>450690.3190348829</v>
      </c>
      <c r="M22" s="23">
        <f>IF(M20&gt;0,(Timing!$C$34-M21)/M20,0)</f>
        <v>450690.3190348829</v>
      </c>
      <c r="N22" s="23">
        <f>IF(N20&gt;0,(Timing!$C$34-N21)/N20,0)</f>
        <v>450690.3190348829</v>
      </c>
      <c r="O22" s="23">
        <f>IF(O20&gt;0,(Timing!$C$34-O21)/O20,0)</f>
        <v>450690.3190348829</v>
      </c>
      <c r="P22" s="23">
        <f>IF(P20&gt;0,(Timing!$C$34-P21)/P20,0)</f>
        <v>450690.3190348829</v>
      </c>
      <c r="Q22" s="23">
        <f>IF(Q20&gt;0,(Timing!$C$34-Q21)/Q20,0)</f>
        <v>450690.3190348829</v>
      </c>
      <c r="R22" s="23">
        <f>IF(R20&gt;0,(Timing!$C$34-R21)/R20,0)</f>
        <v>450690.3190348829</v>
      </c>
      <c r="S22" s="23">
        <f>IF(S20&gt;0,(Timing!$C$34-S21)/S20,0)</f>
        <v>450690.3190348829</v>
      </c>
      <c r="T22" s="23">
        <f>IF(T20&gt;0,(Timing!$C$34-T21)/T20,0)</f>
        <v>450690.3190348829</v>
      </c>
      <c r="U22" s="23">
        <f>IF(U20&gt;0,(Timing!$C$34-U21)/U20,0)</f>
        <v>450690.3190348829</v>
      </c>
      <c r="V22" s="23">
        <f>IF(V20&gt;0,(Timing!$C$34-V21)/V20,0)</f>
        <v>450690.3190348829</v>
      </c>
      <c r="W22" s="23">
        <f>IF(W20&gt;0,(Timing!$C$34-W21)/W20,0)</f>
        <v>450690.3190348829</v>
      </c>
      <c r="X22" s="23">
        <f>IF(X20&gt;0,(Timing!$C$34-X21)/X20,0)</f>
        <v>450690.3190348829</v>
      </c>
      <c r="Y22" s="23">
        <f>IF(Y20&gt;0,(Timing!$C$34-Y21)/Y20,0)</f>
        <v>450690.3190348829</v>
      </c>
      <c r="Z22" s="23">
        <f>IF(Z20&gt;0,(Timing!$C$34-Z21)/Z20,0)</f>
        <v>450690.3190348829</v>
      </c>
      <c r="AA22" s="23">
        <f>IF(AA20&gt;0,(Timing!$C$34-AA21)/AA20,0)</f>
        <v>450690.31903488294</v>
      </c>
      <c r="AB22" s="23">
        <f>IF(AB20&gt;0,(Timing!$C$34-AB21)/AB20,0)</f>
        <v>450690.3190348829</v>
      </c>
      <c r="AC22" s="23">
        <f>IF(AC20&gt;0,(Timing!$C$34-AC21)/AC20,0)</f>
        <v>450690.3190348829</v>
      </c>
      <c r="AD22" s="23">
        <f>IF(AD20&gt;0,(Timing!$C$34-AD21)/AD20,0)</f>
        <v>450690.31903488294</v>
      </c>
      <c r="AE22" s="23">
        <f>IF(AE20&gt;0,(Timing!$C$34-AE21)/AE20,0)</f>
        <v>450690.3190348828</v>
      </c>
    </row>
    <row r="23">
      <c r="A23" s="6" t="inlineStr">
        <is>
          <t xml:space="preserve">Paid into the reserve</t>
        </is>
      </c>
      <c r="B23" s="10" t="inlineStr">
        <is>
          <t xml:space="preserve">€</t>
        </is>
      </c>
      <c r="F23" s="23">
        <f>IF(AND(Timing!F81=1,F20&gt;0),IF(Timing!F72=1,Timing!$C$34-F21,MIN(MAX(0,F19),F22)),0)</f>
        <v>0</v>
      </c>
      <c r="G23" s="23">
        <f>IF(AND(Timing!G81=1,G20&gt;0),IF(Timing!G72=1,Timing!$C$34-G21,MIN(MAX(0,G19),G22)),0)</f>
        <v>0</v>
      </c>
      <c r="H23" s="23">
        <f>IF(AND(Timing!H81=1,H20&gt;0),IF(Timing!H72=1,Timing!$C$34-H21,MIN(MAX(0,H19),H22)),0)</f>
        <v>0</v>
      </c>
      <c r="I23" s="23">
        <f>IF(AND(Timing!I81=1,I20&gt;0),IF(Timing!I72=1,Timing!$C$34-I21,MIN(MAX(0,I19),I22)),0)</f>
        <v>0</v>
      </c>
      <c r="J23" s="23">
        <f>IF(AND(Timing!J81=1,J20&gt;0),IF(Timing!J72=1,Timing!$C$34-J21,MIN(MAX(0,J19),J22)),0)</f>
        <v>0</v>
      </c>
      <c r="K23" s="23">
        <f>IF(AND(Timing!K81=1,K20&gt;0),IF(Timing!K72=1,Timing!$C$34-K21,MIN(MAX(0,K19),K22)),0)</f>
        <v>0</v>
      </c>
      <c r="L23" s="23">
        <f>IF(AND(Timing!L81=1,L20&gt;0),IF(Timing!L72=1,Timing!$C$34-L21,MIN(MAX(0,L19),L22)),0)</f>
        <v>0</v>
      </c>
      <c r="M23" s="23">
        <f>IF(AND(Timing!M81=1,M20&gt;0),IF(Timing!M72=1,Timing!$C$34-M21,MIN(MAX(0,M19),M22)),0)</f>
        <v>0</v>
      </c>
      <c r="N23" s="23">
        <f>IF(AND(Timing!N81=1,N20&gt;0),IF(Timing!N72=1,Timing!$C$34-N21,MIN(MAX(0,N19),N22)),0)</f>
        <v>0</v>
      </c>
      <c r="O23" s="23">
        <f>IF(AND(Timing!O81=1,O20&gt;0),IF(Timing!O72=1,Timing!$C$34-O21,MIN(MAX(0,O19),O22)),0)</f>
        <v>0</v>
      </c>
      <c r="P23" s="23">
        <f>IF(AND(Timing!P81=1,P20&gt;0),IF(Timing!P72=1,Timing!$C$34-P21,MIN(MAX(0,P19),P22)),0)</f>
        <v>0</v>
      </c>
      <c r="Q23" s="23">
        <f>IF(AND(Timing!Q81=1,Q20&gt;0),IF(Timing!Q72=1,Timing!$C$34-Q21,MIN(MAX(0,Q19),Q22)),0)</f>
        <v>0</v>
      </c>
      <c r="R23" s="23">
        <f>IF(AND(Timing!R81=1,R20&gt;0),IF(Timing!R72=1,Timing!$C$34-R21,MIN(MAX(0,R19),R22)),0)</f>
        <v>0</v>
      </c>
      <c r="S23" s="23">
        <f>IF(AND(Timing!S81=1,S20&gt;0),IF(Timing!S72=1,Timing!$C$34-S21,MIN(MAX(0,S19),S22)),0)</f>
        <v>0</v>
      </c>
      <c r="T23" s="23">
        <f>IF(AND(Timing!T81=1,T20&gt;0),IF(Timing!T72=1,Timing!$C$34-T21,MIN(MAX(0,T19),T22)),0)</f>
        <v>0</v>
      </c>
      <c r="U23" s="23">
        <f>IF(AND(Timing!U81=1,U20&gt;0),IF(Timing!U72=1,Timing!$C$34-U21,MIN(MAX(0,U19),U22)),0)</f>
        <v>0</v>
      </c>
      <c r="V23" s="23">
        <f>IF(AND(Timing!V81=1,V20&gt;0),IF(Timing!V72=1,Timing!$C$34-V21,MIN(MAX(0,V19),V22)),0)</f>
        <v>0</v>
      </c>
      <c r="W23" s="23">
        <f>IF(AND(Timing!W81=1,W20&gt;0),IF(Timing!W72=1,Timing!$C$34-W21,MIN(MAX(0,W19),W22)),0)</f>
        <v>0</v>
      </c>
      <c r="X23" s="23">
        <f>IF(AND(Timing!X81=1,X20&gt;0),IF(Timing!X72=1,Timing!$C$34-X21,MIN(MAX(0,X19),X22)),0)</f>
        <v>0</v>
      </c>
      <c r="Y23" s="23">
        <f>IF(AND(Timing!Y81=1,Y20&gt;0),IF(Timing!Y72=1,Timing!$C$34-Y21,MIN(MAX(0,Y19),Y22)),0)</f>
        <v>0</v>
      </c>
      <c r="Z23" s="23">
        <f>IF(AND(Timing!Z81=1,Z20&gt;0),IF(Timing!Z72=1,Timing!$C$34-Z21,MIN(MAX(0,Z19),Z22)),0)</f>
        <v>450690.3190348829</v>
      </c>
      <c r="AA23" s="23">
        <f>IF(AND(Timing!AA81=1,AA20&gt;0),IF(Timing!AA72=1,Timing!$C$34-AA21,MIN(MAX(0,AA19),AA22)),0)</f>
        <v>450690.31903488294</v>
      </c>
      <c r="AB23" s="23">
        <f>IF(AND(Timing!AB81=1,AB20&gt;0),IF(Timing!AB72=1,Timing!$C$34-AB21,MIN(MAX(0,AB19),AB22)),0)</f>
        <v>450690.3190348829</v>
      </c>
      <c r="AC23" s="23">
        <f>IF(AND(Timing!AC81=1,AC20&gt;0),IF(Timing!AC72=1,Timing!$C$34-AC21,MIN(MAX(0,AC19),AC22)),0)</f>
        <v>450690.3190348829</v>
      </c>
      <c r="AD23" s="23">
        <f>IF(AND(Timing!AD81=1,AD20&gt;0),IF(Timing!AD72=1,Timing!$C$34-AD21,MIN(MAX(0,AD19),AD22)),0)</f>
        <v>450690.31903488294</v>
      </c>
      <c r="AE23" s="23">
        <f>IF(AND(Timing!AE81=1,AE20&gt;0),IF(Timing!AE72=1,Timing!$C$34-AE21,MIN(MAX(0,AE19),AE22)),0)</f>
        <v>450690.3190348828</v>
      </c>
    </row>
    <row r="24">
      <c r="A24" s="6" t="inlineStr">
        <is>
          <t xml:space="preserve">Reserve instalments left</t>
        </is>
      </c>
      <c r="E24" s="23">
        <f>SUM(Timing!$F$81:$AE$81)</f>
        <v>6</v>
      </c>
      <c r="F24" s="23">
        <f>F20-IF(AND(Timing!F81=1,F20&gt;0),1,0)</f>
        <v>6</v>
      </c>
      <c r="G24" s="23">
        <f>G20-IF(AND(Timing!G81=1,G20&gt;0),1,0)</f>
        <v>6</v>
      </c>
      <c r="H24" s="23">
        <f>H20-IF(AND(Timing!H81=1,H20&gt;0),1,0)</f>
        <v>6</v>
      </c>
      <c r="I24" s="23">
        <f>I20-IF(AND(Timing!I81=1,I20&gt;0),1,0)</f>
        <v>6</v>
      </c>
      <c r="J24" s="23">
        <f>J20-IF(AND(Timing!J81=1,J20&gt;0),1,0)</f>
        <v>6</v>
      </c>
      <c r="K24" s="23">
        <f>K20-IF(AND(Timing!K81=1,K20&gt;0),1,0)</f>
        <v>6</v>
      </c>
      <c r="L24" s="23">
        <f>L20-IF(AND(Timing!L81=1,L20&gt;0),1,0)</f>
        <v>6</v>
      </c>
      <c r="M24" s="23">
        <f>M20-IF(AND(Timing!M81=1,M20&gt;0),1,0)</f>
        <v>6</v>
      </c>
      <c r="N24" s="23">
        <f>N20-IF(AND(Timing!N81=1,N20&gt;0),1,0)</f>
        <v>6</v>
      </c>
      <c r="O24" s="23">
        <f>O20-IF(AND(Timing!O81=1,O20&gt;0),1,0)</f>
        <v>6</v>
      </c>
      <c r="P24" s="23">
        <f>P20-IF(AND(Timing!P81=1,P20&gt;0),1,0)</f>
        <v>6</v>
      </c>
      <c r="Q24" s="23">
        <f>Q20-IF(AND(Timing!Q81=1,Q20&gt;0),1,0)</f>
        <v>6</v>
      </c>
      <c r="R24" s="23">
        <f>R20-IF(AND(Timing!R81=1,R20&gt;0),1,0)</f>
        <v>6</v>
      </c>
      <c r="S24" s="23">
        <f>S20-IF(AND(Timing!S81=1,S20&gt;0),1,0)</f>
        <v>6</v>
      </c>
      <c r="T24" s="23">
        <f>T20-IF(AND(Timing!T81=1,T20&gt;0),1,0)</f>
        <v>6</v>
      </c>
      <c r="U24" s="23">
        <f>U20-IF(AND(Timing!U81=1,U20&gt;0),1,0)</f>
        <v>6</v>
      </c>
      <c r="V24" s="23">
        <f>V20-IF(AND(Timing!V81=1,V20&gt;0),1,0)</f>
        <v>6</v>
      </c>
      <c r="W24" s="23">
        <f>W20-IF(AND(Timing!W81=1,W20&gt;0),1,0)</f>
        <v>6</v>
      </c>
      <c r="X24" s="23">
        <f>X20-IF(AND(Timing!X81=1,X20&gt;0),1,0)</f>
        <v>6</v>
      </c>
      <c r="Y24" s="23">
        <f>Y20-IF(AND(Timing!Y81=1,Y20&gt;0),1,0)</f>
        <v>6</v>
      </c>
      <c r="Z24" s="23">
        <f>Z20-IF(AND(Timing!Z81=1,Z20&gt;0),1,0)</f>
        <v>5</v>
      </c>
      <c r="AA24" s="23">
        <f>AA20-IF(AND(Timing!AA81=1,AA20&gt;0),1,0)</f>
        <v>4</v>
      </c>
      <c r="AB24" s="23">
        <f>AB20-IF(AND(Timing!AB81=1,AB20&gt;0),1,0)</f>
        <v>3</v>
      </c>
      <c r="AC24" s="23">
        <f>AC20-IF(AND(Timing!AC81=1,AC20&gt;0),1,0)</f>
        <v>2</v>
      </c>
      <c r="AD24" s="23">
        <f>AD20-IF(AND(Timing!AD81=1,AD20&gt;0),1,0)</f>
        <v>1</v>
      </c>
      <c r="AE24" s="23">
        <f>AE20-IF(AND(Timing!AE81=1,AE20&gt;0),1,0)</f>
        <v>0</v>
      </c>
    </row>
    <row r="25">
      <c r="A25" s="6" t="inlineStr">
        <is>
          <t xml:space="preserve">Cash after the reserve</t>
        </is>
      </c>
      <c r="B25" s="10" t="inlineStr">
        <is>
          <t xml:space="preserve">€</t>
        </is>
      </c>
      <c r="F25" s="23">
        <f>F19-F23</f>
        <v>1611971.9507365031</v>
      </c>
      <c r="G25" s="23">
        <f>G19-G23</f>
        <v>2360238.8006830523</v>
      </c>
      <c r="H25" s="23">
        <f>H19-H23</f>
        <v>1023991.5096110229</v>
      </c>
      <c r="I25" s="23">
        <f>I19-I23</f>
        <v>1135879.273571806</v>
      </c>
      <c r="J25" s="23">
        <f>J19-J23</f>
        <v>1263491.7633020065</v>
      </c>
      <c r="K25" s="23">
        <f>K19-K23</f>
        <v>1388677.1484332953</v>
      </c>
      <c r="L25" s="23">
        <f>L19-L23</f>
        <v>1518432.099118188</v>
      </c>
      <c r="M25" s="23">
        <f>M19-M23</f>
        <v>1648123.070719254</v>
      </c>
      <c r="N25" s="23">
        <f>N19-N23</f>
        <v>1780180.9884044924</v>
      </c>
      <c r="O25" s="23">
        <f>O19-O23</f>
        <v>1909629.62656644</v>
      </c>
      <c r="P25" s="23">
        <f>P19-P23</f>
        <v>1919932.8633765944</v>
      </c>
      <c r="Q25" s="23">
        <f>Q19-Q23</f>
        <v>2051732.3089078222</v>
      </c>
      <c r="R25" s="23">
        <f>R19-R23</f>
        <v>2186020.5098967995</v>
      </c>
      <c r="S25" s="23">
        <f>S19-S23</f>
        <v>2317452.9435685067</v>
      </c>
      <c r="T25" s="23">
        <f>T19-T23</f>
        <v>2454095.928724756</v>
      </c>
      <c r="U25" s="23">
        <f>U19-U23</f>
        <v>2590605.6172896177</v>
      </c>
      <c r="V25" s="23">
        <f>V19-V23</f>
        <v>2673447.779028157</v>
      </c>
      <c r="W25" s="23">
        <f>W19-W23</f>
        <v>2701419.3925535497</v>
      </c>
      <c r="X25" s="23">
        <f>X19-X23</f>
        <v>3134245.468531051</v>
      </c>
      <c r="Y25" s="23">
        <f>Y19-Y23</f>
        <v>3875948.398716625</v>
      </c>
      <c r="Z25" s="23">
        <f>Z19-Z23</f>
        <v>3288319.199497585</v>
      </c>
      <c r="AA25" s="23">
        <f>AA19-AA23</f>
        <v>3354485.910846567</v>
      </c>
      <c r="AB25" s="23">
        <f>AB19-AB23</f>
        <v>3426773.487398305</v>
      </c>
      <c r="AC25" s="23">
        <f>AC19-AC23</f>
        <v>3498949.4149072366</v>
      </c>
      <c r="AD25" s="23">
        <f>AD19-AD23</f>
        <v>3583917.414611852</v>
      </c>
      <c r="AE25" s="23">
        <f>AE19-AE23</f>
        <v>2191715.8096956136</v>
      </c>
    </row>
    <row r="26">
      <c r="A26" s="6" t="inlineStr">
        <is>
          <t xml:space="preserve">Decommissioning paid</t>
        </is>
      </c>
      <c r="B26" s="10" t="inlineStr">
        <is>
          <t xml:space="preserve">€</t>
        </is>
      </c>
      <c r="F26" s="23">
        <f>IF(Timing!F72=1,Timing!$C$34,0)</f>
        <v>0</v>
      </c>
      <c r="G26" s="23">
        <f>IF(Timing!G72=1,Timing!$C$34,0)</f>
        <v>0</v>
      </c>
      <c r="H26" s="23">
        <f>IF(Timing!H72=1,Timing!$C$34,0)</f>
        <v>0</v>
      </c>
      <c r="I26" s="23">
        <f>IF(Timing!I72=1,Timing!$C$34,0)</f>
        <v>0</v>
      </c>
      <c r="J26" s="23">
        <f>IF(Timing!J72=1,Timing!$C$34,0)</f>
        <v>0</v>
      </c>
      <c r="K26" s="23">
        <f>IF(Timing!K72=1,Timing!$C$34,0)</f>
        <v>0</v>
      </c>
      <c r="L26" s="23">
        <f>IF(Timing!L72=1,Timing!$C$34,0)</f>
        <v>0</v>
      </c>
      <c r="M26" s="23">
        <f>IF(Timing!M72=1,Timing!$C$34,0)</f>
        <v>0</v>
      </c>
      <c r="N26" s="23">
        <f>IF(Timing!N72=1,Timing!$C$34,0)</f>
        <v>0</v>
      </c>
      <c r="O26" s="23">
        <f>IF(Timing!O72=1,Timing!$C$34,0)</f>
        <v>0</v>
      </c>
      <c r="P26" s="23">
        <f>IF(Timing!P72=1,Timing!$C$34,0)</f>
        <v>0</v>
      </c>
      <c r="Q26" s="23">
        <f>IF(Timing!Q72=1,Timing!$C$34,0)</f>
        <v>0</v>
      </c>
      <c r="R26" s="23">
        <f>IF(Timing!R72=1,Timing!$C$34,0)</f>
        <v>0</v>
      </c>
      <c r="S26" s="23">
        <f>IF(Timing!S72=1,Timing!$C$34,0)</f>
        <v>0</v>
      </c>
      <c r="T26" s="23">
        <f>IF(Timing!T72=1,Timing!$C$34,0)</f>
        <v>0</v>
      </c>
      <c r="U26" s="23">
        <f>IF(Timing!U72=1,Timing!$C$34,0)</f>
        <v>0</v>
      </c>
      <c r="V26" s="23">
        <f>IF(Timing!V72=1,Timing!$C$34,0)</f>
        <v>0</v>
      </c>
      <c r="W26" s="23">
        <f>IF(Timing!W72=1,Timing!$C$34,0)</f>
        <v>0</v>
      </c>
      <c r="X26" s="23">
        <f>IF(Timing!X72=1,Timing!$C$34,0)</f>
        <v>0</v>
      </c>
      <c r="Y26" s="23">
        <f>IF(Timing!Y72=1,Timing!$C$34,0)</f>
        <v>0</v>
      </c>
      <c r="Z26" s="23">
        <f>IF(Timing!Z72=1,Timing!$C$34,0)</f>
        <v>0</v>
      </c>
      <c r="AA26" s="23">
        <f>IF(Timing!AA72=1,Timing!$C$34,0)</f>
        <v>0</v>
      </c>
      <c r="AB26" s="23">
        <f>IF(Timing!AB72=1,Timing!$C$34,0)</f>
        <v>0</v>
      </c>
      <c r="AC26" s="23">
        <f>IF(Timing!AC72=1,Timing!$C$34,0)</f>
        <v>0</v>
      </c>
      <c r="AD26" s="23">
        <f>IF(Timing!AD72=1,Timing!$C$34,0)</f>
        <v>0</v>
      </c>
      <c r="AE26" s="23">
        <f>IF(Timing!AE72=1,Timing!$C$34,0)</f>
        <v>2704141.9142092974</v>
      </c>
    </row>
    <row r="27">
      <c r="A27" s="41" t="inlineStr">
        <is>
          <t xml:space="preserve">DSCR</t>
        </is>
      </c>
      <c r="F27" s="47">
        <f>IF(F8&gt;=Inputs!$C$158,F7/F8,"")</f>
        <v>3.920688043952633</v>
      </c>
      <c r="G27" s="47">
        <f>IF(G8&gt;=Inputs!$C$158,G7/G8,"")</f>
        <v>3.1382261778433773</v>
      </c>
      <c r="H27" s="47">
        <f>IF(H8&gt;=Inputs!$C$158,H7/H8,"")</f>
        <v>1.4394651394839908</v>
      </c>
      <c r="I27" s="47">
        <f>IF(I8&gt;=Inputs!$C$158,I7/I8,"")</f>
        <v>1.5024853734767858</v>
      </c>
      <c r="J27" s="47">
        <f>IF(J8&gt;=Inputs!$C$158,J7/J8,"")</f>
        <v>1.576557629865864</v>
      </c>
      <c r="K27" s="47">
        <f>IF(K8&gt;=Inputs!$C$158,K7/K8,"")</f>
        <v>1.6540573789830135</v>
      </c>
      <c r="L27" s="47">
        <f>IF(L8&gt;=Inputs!$C$158,L7/L8,"")</f>
        <v>1.7387537932830914</v>
      </c>
      <c r="M27" s="47">
        <f>IF(M8&gt;=Inputs!$C$158,M7/M8,"")</f>
        <v>1.829005169361652</v>
      </c>
      <c r="N27" s="47">
        <f>IF(N8&gt;=Inputs!$C$158,N7/N8,"")</f>
        <v>1.9266569935993245</v>
      </c>
      <c r="O27" s="47">
        <f>IF(O8&gt;=Inputs!$C$158,O7/O8,"")</f>
        <v>2.029786820459355</v>
      </c>
      <c r="P27" s="47">
        <f>IF(P8&gt;=Inputs!$C$158,P7/P8,"")</f>
        <v>2.073293941298031</v>
      </c>
      <c r="Q27" s="47">
        <f>IF(Q8&gt;=Inputs!$C$158,Q7/Q8,"")</f>
        <v>2.1912091644309393</v>
      </c>
      <c r="R27" s="47">
        <f>IF(R8&gt;=Inputs!$C$158,R7/R8,"")</f>
        <v>2.319953633484665</v>
      </c>
      <c r="S27" s="47">
        <f>IF(S8&gt;=Inputs!$C$158,S7/S8,"")</f>
        <v>2.4574784253358946</v>
      </c>
      <c r="T27" s="47">
        <f>IF(T8&gt;=Inputs!$C$158,T7/T8,"")</f>
        <v>2.610241160647812</v>
      </c>
      <c r="U27" s="47">
        <f>IF(U8&gt;=Inputs!$C$158,U7/U8,"")</f>
        <v>2.776602416039497</v>
      </c>
      <c r="V27" s="47">
        <f>IF(V8&gt;=Inputs!$C$158,V7/V8,"")</f>
        <v>2.9197983004538606</v>
      </c>
      <c r="W27" s="47">
        <f>IF(W8&gt;=Inputs!$C$158,W7/W8,"")</f>
        <v>3.0354962092396764</v>
      </c>
      <c r="X27" s="47">
        <f>IF(X8&gt;=Inputs!$C$158,X7/X8,"")</f>
        <v>3.2489018011261583</v>
      </c>
      <c r="Y27" s="47" t="str">
        <f>IF(Y8&gt;=Inputs!$C$158,Y7/Y8,"")</f>
        <v/>
      </c>
      <c r="Z27" s="47" t="str">
        <f>IF(Z8&gt;=Inputs!$C$158,Z7/Z8,"")</f>
        <v/>
      </c>
      <c r="AA27" s="47" t="str">
        <f>IF(AA8&gt;=Inputs!$C$158,AA7/AA8,"")</f>
        <v/>
      </c>
      <c r="AB27" s="47" t="str">
        <f>IF(AB8&gt;=Inputs!$C$158,AB7/AB8,"")</f>
        <v/>
      </c>
      <c r="AC27" s="47" t="str">
        <f>IF(AC8&gt;=Inputs!$C$158,AC7/AC8,"")</f>
        <v/>
      </c>
      <c r="AD27" s="47" t="str">
        <f>IF(AD8&gt;=Inputs!$C$158,AD7/AD8,"")</f>
        <v/>
      </c>
      <c r="AE27" s="47" t="str">
        <f>IF(AE8&gt;=Inputs!$C$158,AE7/AE8,"")</f>
        <v/>
      </c>
    </row>
    <row r="28">
      <c r="A28" s="6" t="inlineStr">
        <is>
          <t xml:space="preserve">Lock-up (1 = distributions held back)</t>
        </is>
      </c>
      <c r="F28" s="23">
        <f>IF(F8&gt;=Inputs!$C$158,IF(AND(F7/F8&lt;Inputs!$C$81,Timing!F59&lt;=Timing!$C$23),1,0),0)</f>
        <v>0</v>
      </c>
      <c r="G28" s="23">
        <f>IF(G8&gt;=Inputs!$C$158,IF(AND(G7/G8&lt;Inputs!$C$81,Timing!G59&lt;=Timing!$C$23),1,0),0)</f>
        <v>0</v>
      </c>
      <c r="H28" s="23">
        <f>IF(H8&gt;=Inputs!$C$158,IF(AND(H7/H8&lt;Inputs!$C$81,Timing!H59&lt;=Timing!$C$23),1,0),0)</f>
        <v>0</v>
      </c>
      <c r="I28" s="23">
        <f>IF(I8&gt;=Inputs!$C$158,IF(AND(I7/I8&lt;Inputs!$C$81,Timing!I59&lt;=Timing!$C$23),1,0),0)</f>
        <v>0</v>
      </c>
      <c r="J28" s="23">
        <f>IF(J8&gt;=Inputs!$C$158,IF(AND(J7/J8&lt;Inputs!$C$81,Timing!J59&lt;=Timing!$C$23),1,0),0)</f>
        <v>0</v>
      </c>
      <c r="K28" s="23">
        <f>IF(K8&gt;=Inputs!$C$158,IF(AND(K7/K8&lt;Inputs!$C$81,Timing!K59&lt;=Timing!$C$23),1,0),0)</f>
        <v>0</v>
      </c>
      <c r="L28" s="23">
        <f>IF(L8&gt;=Inputs!$C$158,IF(AND(L7/L8&lt;Inputs!$C$81,Timing!L59&lt;=Timing!$C$23),1,0),0)</f>
        <v>0</v>
      </c>
      <c r="M28" s="23">
        <f>IF(M8&gt;=Inputs!$C$158,IF(AND(M7/M8&lt;Inputs!$C$81,Timing!M59&lt;=Timing!$C$23),1,0),0)</f>
        <v>0</v>
      </c>
      <c r="N28" s="23">
        <f>IF(N8&gt;=Inputs!$C$158,IF(AND(N7/N8&lt;Inputs!$C$81,Timing!N59&lt;=Timing!$C$23),1,0),0)</f>
        <v>0</v>
      </c>
      <c r="O28" s="23">
        <f>IF(O8&gt;=Inputs!$C$158,IF(AND(O7/O8&lt;Inputs!$C$81,Timing!O59&lt;=Timing!$C$23),1,0),0)</f>
        <v>0</v>
      </c>
      <c r="P28" s="23">
        <f>IF(P8&gt;=Inputs!$C$158,IF(AND(P7/P8&lt;Inputs!$C$81,Timing!P59&lt;=Timing!$C$23),1,0),0)</f>
        <v>0</v>
      </c>
      <c r="Q28" s="23">
        <f>IF(Q8&gt;=Inputs!$C$158,IF(AND(Q7/Q8&lt;Inputs!$C$81,Timing!Q59&lt;=Timing!$C$23),1,0),0)</f>
        <v>0</v>
      </c>
      <c r="R28" s="23">
        <f>IF(R8&gt;=Inputs!$C$158,IF(AND(R7/R8&lt;Inputs!$C$81,Timing!R59&lt;=Timing!$C$23),1,0),0)</f>
        <v>0</v>
      </c>
      <c r="S28" s="23">
        <f>IF(S8&gt;=Inputs!$C$158,IF(AND(S7/S8&lt;Inputs!$C$81,Timing!S59&lt;=Timing!$C$23),1,0),0)</f>
        <v>0</v>
      </c>
      <c r="T28" s="23">
        <f>IF(T8&gt;=Inputs!$C$158,IF(AND(T7/T8&lt;Inputs!$C$81,Timing!T59&lt;=Timing!$C$23),1,0),0)</f>
        <v>0</v>
      </c>
      <c r="U28" s="23">
        <f>IF(U8&gt;=Inputs!$C$158,IF(AND(U7/U8&lt;Inputs!$C$81,Timing!U59&lt;=Timing!$C$23),1,0),0)</f>
        <v>0</v>
      </c>
      <c r="V28" s="23">
        <f>IF(V8&gt;=Inputs!$C$158,IF(AND(V7/V8&lt;Inputs!$C$81,Timing!V59&lt;=Timing!$C$23),1,0),0)</f>
        <v>0</v>
      </c>
      <c r="W28" s="23">
        <f>IF(W8&gt;=Inputs!$C$158,IF(AND(W7/W8&lt;Inputs!$C$81,Timing!W59&lt;=Timing!$C$23),1,0),0)</f>
        <v>0</v>
      </c>
      <c r="X28" s="23">
        <f>IF(X8&gt;=Inputs!$C$158,IF(AND(X7/X8&lt;Inputs!$C$81,Timing!X59&lt;=Timing!$C$23),1,0),0)</f>
        <v>0</v>
      </c>
      <c r="Y28" s="23">
        <f>IF(Y8&gt;=Inputs!$C$158,IF(AND(Y7/Y8&lt;Inputs!$C$81,Timing!Y59&lt;=Timing!$C$23),1,0),0)</f>
        <v>0</v>
      </c>
      <c r="Z28" s="23">
        <f>IF(Z8&gt;=Inputs!$C$158,IF(AND(Z7/Z8&lt;Inputs!$C$81,Timing!Z59&lt;=Timing!$C$23),1,0),0)</f>
        <v>0</v>
      </c>
      <c r="AA28" s="23">
        <f>IF(AA8&gt;=Inputs!$C$158,IF(AND(AA7/AA8&lt;Inputs!$C$81,Timing!AA59&lt;=Timing!$C$23),1,0),0)</f>
        <v>0</v>
      </c>
      <c r="AB28" s="23">
        <f>IF(AB8&gt;=Inputs!$C$158,IF(AND(AB7/AB8&lt;Inputs!$C$81,Timing!AB59&lt;=Timing!$C$23),1,0),0)</f>
        <v>0</v>
      </c>
      <c r="AC28" s="23">
        <f>IF(AC8&gt;=Inputs!$C$158,IF(AND(AC7/AC8&lt;Inputs!$C$81,Timing!AC59&lt;=Timing!$C$23),1,0),0)</f>
        <v>0</v>
      </c>
      <c r="AD28" s="23">
        <f>IF(AD8&gt;=Inputs!$C$158,IF(AND(AD7/AD8&lt;Inputs!$C$81,Timing!AD59&lt;=Timing!$C$23),1,0),0)</f>
        <v>0</v>
      </c>
      <c r="AE28" s="23">
        <f>IF(AE8&gt;=Inputs!$C$158,IF(AND(AE7/AE8&lt;Inputs!$C$81,Timing!AE59&lt;=Timing!$C$23),1,0),0)</f>
        <v>0</v>
      </c>
    </row>
    <row r="29">
      <c r="A29" s="6" t="inlineStr">
        <is>
          <t xml:space="preserve">Cash held back, after use for a shortfall</t>
        </is>
      </c>
      <c r="B29" s="10" t="inlineStr">
        <is>
          <t xml:space="preserve">€</t>
        </is>
      </c>
      <c r="F29" s="23">
        <f>E40-F11</f>
        <v>0</v>
      </c>
      <c r="G29" s="23">
        <f>F40-G11</f>
        <v>0</v>
      </c>
      <c r="H29" s="23">
        <f>G40-H11</f>
        <v>0</v>
      </c>
      <c r="I29" s="23">
        <f>H40-I11</f>
        <v>0</v>
      </c>
      <c r="J29" s="23">
        <f>I40-J11</f>
        <v>0</v>
      </c>
      <c r="K29" s="23">
        <f>J40-K11</f>
        <v>0</v>
      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
        <v>0</v>
      </c>
      <c r="P29" s="23">
        <f>O40-P11</f>
        <v>0</v>
      </c>
      <c r="Q29" s="23">
        <f>P40-Q11</f>
        <v>0</v>
      </c>
      <c r="R29" s="23">
        <f>Q40-R11</f>
        <v>0</v>
      </c>
      <c r="S29" s="23">
        <f>R40-S11</f>
        <v>0</v>
      </c>
      <c r="T29" s="23">
        <f>S40-T11</f>
        <v>0</v>
      </c>
      <c r="U29" s="23">
        <f>T40-U11</f>
        <v>0</v>
      </c>
      <c r="V29" s="23">
        <f>U40-V11</f>
        <v>0</v>
      </c>
      <c r="W29" s="23">
        <f>V40-W11</f>
        <v>0</v>
      </c>
      <c r="X29" s="23">
        <f>W40-X11</f>
        <v>0</v>
      </c>
      <c r="Y29" s="23">
        <f>X40-Y11</f>
        <v>0</v>
      </c>
      <c r="Z29" s="23">
        <f>Y40-Z11</f>
        <v>0</v>
      </c>
      <c r="AA29" s="23">
        <f>Z40-AA11</f>
        <v>0</v>
      </c>
      <c r="AB29" s="23">
        <f>AA40-AB11</f>
        <v>0</v>
      </c>
      <c r="AC29" s="23">
        <f>AB40-AC11</f>
        <v>0</v>
      </c>
      <c r="AD29" s="23">
        <f>AC40-AD11</f>
        <v>0</v>
      </c>
      <c r="AE29" s="23">
        <f>AD40-AE11</f>
        <v>0</v>
      </c>
    </row>
    <row r="30">
      <c r="A30" s="6" t="inlineStr">
        <is>
          <t xml:space="preserve">Held back this year</t>
        </is>
      </c>
      <c r="B30" s="10" t="inlineStr">
        <is>
          <t xml:space="preserve">€</t>
        </is>
      </c>
      <c r="F30" s="23">
        <f>IF(AND(F28=1,F25&gt;0),F25,0)</f>
        <v>0</v>
      </c>
      <c r="G30" s="23">
        <f>IF(AND(G28=1,G25&gt;0),G25,0)</f>
        <v>0</v>
      </c>
      <c r="H30" s="23">
        <f>IF(AND(H28=1,H25&gt;0),H25,0)</f>
        <v>0</v>
      </c>
      <c r="I30" s="23">
        <f>IF(AND(I28=1,I25&gt;0),I25,0)</f>
        <v>0</v>
      </c>
      <c r="J30" s="23">
        <f>IF(AND(J28=1,J25&gt;0),J25,0)</f>
        <v>0</v>
      </c>
      <c r="K30" s="23">
        <f>IF(AND(K28=1,K25&gt;0),K25,0)</f>
        <v>0</v>
      </c>
      <c r="L30" s="23">
        <f>IF(AND(L28=1,L25&gt;0),L25,0)</f>
        <v>0</v>
      </c>
      <c r="M30" s="23">
        <f>IF(AND(M28=1,M25&gt;0),M25,0)</f>
        <v>0</v>
      </c>
      <c r="N30" s="23">
        <f>IF(AND(N28=1,N25&gt;0),N25,0)</f>
        <v>0</v>
      </c>
      <c r="O30" s="23">
        <f>IF(AND(O28=1,O25&gt;0),O25,0)</f>
        <v>0</v>
      </c>
      <c r="P30" s="23">
        <f>IF(AND(P28=1,P25&gt;0),P25,0)</f>
        <v>0</v>
      </c>
      <c r="Q30" s="23">
        <f>IF(AND(Q28=1,Q25&gt;0),Q25,0)</f>
        <v>0</v>
      </c>
      <c r="R30" s="23">
        <f>IF(AND(R28=1,R25&gt;0),R25,0)</f>
        <v>0</v>
      </c>
      <c r="S30" s="23">
        <f>IF(AND(S28=1,S25&gt;0),S25,0)</f>
        <v>0</v>
      </c>
      <c r="T30" s="23">
        <f>IF(AND(T28=1,T25&gt;0),T25,0)</f>
        <v>0</v>
      </c>
      <c r="U30" s="23">
        <f>IF(AND(U28=1,U25&gt;0),U25,0)</f>
        <v>0</v>
      </c>
      <c r="V30" s="23">
        <f>IF(AND(V28=1,V25&gt;0),V25,0)</f>
        <v>0</v>
      </c>
      <c r="W30" s="23">
        <f>IF(AND(W28=1,W25&gt;0),W25,0)</f>
        <v>0</v>
      </c>
      <c r="X30" s="23">
        <f>IF(AND(X28=1,X25&gt;0),X25,0)</f>
        <v>0</v>
      </c>
      <c r="Y30" s="23">
        <f>IF(AND(Y28=1,Y25&gt;0),Y25,0)</f>
        <v>0</v>
      </c>
      <c r="Z30" s="23">
        <f>IF(AND(Z28=1,Z25&gt;0),Z25,0)</f>
        <v>0</v>
      </c>
      <c r="AA30" s="23">
        <f>IF(AND(AA28=1,AA25&gt;0),AA25,0)</f>
        <v>0</v>
      </c>
      <c r="AB30" s="23">
        <f>IF(AND(AB28=1,AB25&gt;0),AB25,0)</f>
        <v>0</v>
      </c>
      <c r="AC30" s="23">
        <f>IF(AND(AC28=1,AC25&gt;0),AC25,0)</f>
        <v>0</v>
      </c>
      <c r="AD30" s="23">
        <f>IF(AND(AD28=1,AD25&gt;0),AD25,0)</f>
        <v>0</v>
      </c>
      <c r="AE30" s="23">
        <f>IF(AND(AE28=1,AE25&gt;0),AE25,0)</f>
        <v>0</v>
      </c>
    </row>
    <row r="31">
      <c r="A31" s="6" t="inlineStr">
        <is>
          <t xml:space="preserve">Released after a lock-up</t>
        </is>
      </c>
      <c r="B31" s="10" t="inlineStr">
        <is>
          <t xml:space="preserve">€</t>
        </is>
      </c>
      <c r="F31" s="23">
        <f>IF(AND(F28=0,F29&gt;0),F29,0)</f>
        <v>0</v>
      </c>
      <c r="G31" s="23">
        <f>IF(AND(G28=0,G29&gt;0),G29,0)</f>
        <v>0</v>
      </c>
      <c r="H31" s="23">
        <f>IF(AND(H28=0,H29&gt;0),H29,0)</f>
        <v>0</v>
      </c>
      <c r="I31" s="23">
        <f>IF(AND(I28=0,I29&gt;0),I29,0)</f>
        <v>0</v>
      </c>
      <c r="J31" s="23">
        <f>IF(AND(J28=0,J29&gt;0),J29,0)</f>
        <v>0</v>
      </c>
      <c r="K31" s="23">
        <f>IF(AND(K28=0,K29&gt;0),K29,0)</f>
        <v>0</v>
      </c>
      <c r="L31" s="23">
        <f>IF(AND(L28=0,L29&gt;0),L29,0)</f>
        <v>0</v>
      </c>
      <c r="M31" s="23">
        <f>IF(AND(M28=0,M29&gt;0),M29,0)</f>
        <v>0</v>
      </c>
      <c r="N31" s="23">
        <f>IF(AND(N28=0,N29&gt;0),N29,0)</f>
        <v>0</v>
      </c>
      <c r="O31" s="23">
        <f>IF(AND(O28=0,O29&gt;0),O29,0)</f>
        <v>0</v>
      </c>
      <c r="P31" s="23">
        <f>IF(AND(P28=0,P29&gt;0),P29,0)</f>
        <v>0</v>
      </c>
      <c r="Q31" s="23">
        <f>IF(AND(Q28=0,Q29&gt;0),Q29,0)</f>
        <v>0</v>
      </c>
      <c r="R31" s="23">
        <f>IF(AND(R28=0,R29&gt;0),R29,0)</f>
        <v>0</v>
      </c>
      <c r="S31" s="23">
        <f>IF(AND(S28=0,S29&gt;0),S29,0)</f>
        <v>0</v>
      </c>
      <c r="T31" s="23">
        <f>IF(AND(T28=0,T29&gt;0),T29,0)</f>
        <v>0</v>
      </c>
      <c r="U31" s="23">
        <f>IF(AND(U28=0,U29&gt;0),U29,0)</f>
        <v>0</v>
      </c>
      <c r="V31" s="23">
        <f>IF(AND(V28=0,V29&gt;0),V29,0)</f>
        <v>0</v>
      </c>
      <c r="W31" s="23">
        <f>IF(AND(W28=0,W29&gt;0),W29,0)</f>
        <v>0</v>
      </c>
      <c r="X31" s="23">
        <f>IF(AND(X28=0,X29&gt;0),X29,0)</f>
        <v>0</v>
      </c>
      <c r="Y31" s="23">
        <f>IF(AND(Y28=0,Y29&gt;0),Y29,0)</f>
        <v>0</v>
      </c>
      <c r="Z31" s="23">
        <f>IF(AND(Z28=0,Z29&gt;0),Z29,0)</f>
        <v>0</v>
      </c>
      <c r="AA31" s="23">
        <f>IF(AND(AA28=0,AA29&gt;0),AA29,0)</f>
        <v>0</v>
      </c>
      <c r="AB31" s="23">
        <f>IF(AND(AB28=0,AB29&gt;0),AB29,0)</f>
        <v>0</v>
      </c>
      <c r="AC31" s="23">
        <f>IF(AND(AC28=0,AC29&gt;0),AC29,0)</f>
        <v>0</v>
      </c>
      <c r="AD31" s="23">
        <f>IF(AND(AD28=0,AD29&gt;0),AD29,0)</f>
        <v>0</v>
      </c>
      <c r="AE31" s="23">
        <f>IF(AND(AE28=0,AE29&gt;0),AE29,0)</f>
        <v>0</v>
      </c>
    </row>
    <row r="32">
      <c r="A32" s="6" t="inlineStr">
        <is>
          <t xml:space="preserve">Cash after the lock-up</t>
        </is>
      </c>
      <c r="B32" s="10" t="inlineStr">
        <is>
          <t xml:space="preserve">€</t>
        </is>
      </c>
      <c r="F32" s="23">
        <f>F25-F30+F31</f>
        <v>1611971.9507365031</v>
      </c>
      <c r="G32" s="23">
        <f>G25-G30+G31</f>
        <v>2360238.8006830523</v>
      </c>
      <c r="H32" s="23">
        <f>H25-H30+H31</f>
        <v>1023991.5096110229</v>
      </c>
      <c r="I32" s="23">
        <f>I25-I30+I31</f>
        <v>1135879.273571806</v>
      </c>
      <c r="J32" s="23">
        <f>J25-J30+J31</f>
        <v>1263491.7633020065</v>
      </c>
      <c r="K32" s="23">
        <f>K25-K30+K31</f>
        <v>1388677.1484332953</v>
      </c>
      <c r="L32" s="23">
        <f>L25-L30+L31</f>
        <v>1518432.099118188</v>
      </c>
      <c r="M32" s="23">
        <f>M25-M30+M31</f>
        <v>1648123.070719254</v>
      </c>
      <c r="N32" s="23">
        <f>N25-N30+N31</f>
        <v>1780180.9884044924</v>
      </c>
      <c r="O32" s="23">
        <f>O25-O30+O31</f>
        <v>1909629.62656644</v>
      </c>
      <c r="P32" s="23">
        <f>P25-P30+P31</f>
        <v>1919932.8633765944</v>
      </c>
      <c r="Q32" s="23">
        <f>Q25-Q30+Q31</f>
        <v>2051732.3089078222</v>
      </c>
      <c r="R32" s="23">
        <f>R25-R30+R31</f>
        <v>2186020.5098967995</v>
      </c>
      <c r="S32" s="23">
        <f>S25-S30+S31</f>
        <v>2317452.9435685067</v>
      </c>
      <c r="T32" s="23">
        <f>T25-T30+T31</f>
        <v>2454095.928724756</v>
      </c>
      <c r="U32" s="23">
        <f>U25-U30+U31</f>
        <v>2590605.6172896177</v>
      </c>
      <c r="V32" s="23">
        <f>V25-V30+V31</f>
        <v>2673447.779028157</v>
      </c>
      <c r="W32" s="23">
        <f>W25-W30+W31</f>
        <v>2701419.3925535497</v>
      </c>
      <c r="X32" s="23">
        <f>X25-X30+X31</f>
        <v>3134245.468531051</v>
      </c>
      <c r="Y32" s="23">
        <f>Y25-Y30+Y31</f>
        <v>3875948.398716625</v>
      </c>
      <c r="Z32" s="23">
        <f>Z25-Z30+Z31</f>
        <v>3288319.199497585</v>
      </c>
      <c r="AA32" s="23">
        <f>AA25-AA30+AA31</f>
        <v>3354485.910846567</v>
      </c>
      <c r="AB32" s="23">
        <f>AB25-AB30+AB31</f>
        <v>3426773.487398305</v>
      </c>
      <c r="AC32" s="23">
        <f>AC25-AC30+AC31</f>
        <v>3498949.4149072366</v>
      </c>
      <c r="AD32" s="23">
        <f>AD25-AD30+AD31</f>
        <v>3583917.414611852</v>
      </c>
      <c r="AE32" s="23">
        <f>AE25-AE30+AE31</f>
        <v>2191715.8096956136</v>
      </c>
    </row>
    <row r="33">
      <c r="A33" s="6" t="inlineStr">
        <is>
          <t xml:space="preserve">DSRA before the final release</t>
        </is>
      </c>
      <c r="B33" s="10" t="inlineStr">
        <is>
          <t xml:space="preserve">€</t>
        </is>
      </c>
      <c r="F33" s="23">
        <f>F13+F15-F16-F18</f>
        <v>573287.0601285857</v>
      </c>
      <c r="G33" s="23">
        <f>G13+G15-G16-G18</f>
        <v>573287.0601285857</v>
      </c>
      <c r="H33" s="23">
        <f>H13+H15-H16-H18</f>
        <v>557054.2618926666</v>
      </c>
      <c r="I33" s="23">
        <f>I13+I15-I16-I18</f>
        <v>540821.4636567476</v>
      </c>
      <c r="J33" s="23">
        <f>J13+J15-J16-J18</f>
        <v>524588.6654208285</v>
      </c>
      <c r="K33" s="23">
        <f>K13+K15-K16-K18</f>
        <v>508355.8671849094</v>
      </c>
      <c r="L33" s="23">
        <f>L13+L15-L16-L18</f>
        <v>492123.06894899043</v>
      </c>
      <c r="M33" s="23">
        <f>M13+M15-M16-M18</f>
        <v>475890.27071307134</v>
      </c>
      <c r="N33" s="23">
        <f>N13+N15-N16-N18</f>
        <v>459657.47247715236</v>
      </c>
      <c r="O33" s="23">
        <f>O13+O15-O16-O18</f>
        <v>443424.67424123327</v>
      </c>
      <c r="P33" s="23">
        <f>P13+P15-P16-P18</f>
        <v>427191.87600531423</v>
      </c>
      <c r="Q33" s="23">
        <f>Q13+Q15-Q16-Q18</f>
        <v>410959.07776939514</v>
      </c>
      <c r="R33" s="23">
        <f>R13+R15-R16-R18</f>
        <v>394726.2795334761</v>
      </c>
      <c r="S33" s="23">
        <f>S13+S15-S16-S18</f>
        <v>378493.48129755707</v>
      </c>
      <c r="T33" s="23">
        <f>T13+T15-T16-T18</f>
        <v>362260.68306163803</v>
      </c>
      <c r="U33" s="23">
        <f>U13+U15-U16-U18</f>
        <v>346027.88482571894</v>
      </c>
      <c r="V33" s="23">
        <f>V13+V15-V16-V18</f>
        <v>329795.0865897999</v>
      </c>
      <c r="W33" s="23">
        <f>W13+W15-W16-W18</f>
        <v>313562.2883538849</v>
      </c>
      <c r="X33" s="23">
        <f>X13+X15-X16-X18</f>
        <v>0</v>
      </c>
      <c r="Y33" s="23">
        <f>Y13+Y15-Y16-Y18</f>
        <v>0</v>
      </c>
      <c r="Z33" s="23">
        <f>Z13+Z15-Z16-Z18</f>
        <v>0</v>
      </c>
      <c r="AA33" s="23">
        <f>AA13+AA15-AA16-AA18</f>
        <v>0</v>
      </c>
      <c r="AB33" s="23">
        <f>AB13+AB15-AB16-AB18</f>
        <v>0</v>
      </c>
      <c r="AC33" s="23">
        <f>AC13+AC15-AC16-AC18</f>
        <v>0</v>
      </c>
      <c r="AD33" s="23">
        <f>AD13+AD15-AD16-AD18</f>
        <v>0</v>
      </c>
      <c r="AE33" s="23">
        <f>AE13+AE15-AE16-AE18</f>
        <v>0</v>
      </c>
    </row>
    <row r="34">
      <c r="A34" s="6" t="inlineStr">
        <is>
          <t xml:space="preserve">Reserve before the final release</t>
        </is>
      </c>
      <c r="B34" s="10" t="inlineStr">
        <is>
          <t xml:space="preserve">€</t>
        </is>
      </c>
      <c r="F34" s="23">
        <f>F21+F23-F26</f>
        <v>0</v>
      </c>
      <c r="G34" s="23">
        <f>G21+G23-G26</f>
        <v>0</v>
      </c>
      <c r="H34" s="23">
        <f>H21+H23-H26</f>
        <v>0</v>
      </c>
      <c r="I34" s="23">
        <f>I21+I23-I26</f>
        <v>0</v>
      </c>
      <c r="J34" s="23">
        <f>J21+J23-J26</f>
        <v>0</v>
      </c>
      <c r="K34" s="23">
        <f>K21+K23-K26</f>
        <v>0</v>
      </c>
      <c r="L34" s="23">
        <f>L21+L23-L26</f>
        <v>0</v>
      </c>
      <c r="M34" s="23">
        <f>M21+M23-M26</f>
        <v>0</v>
      </c>
      <c r="N34" s="23">
        <f>N21+N23-N26</f>
        <v>0</v>
      </c>
      <c r="O34" s="23">
        <f>O21+O23-O26</f>
        <v>0</v>
      </c>
      <c r="P34" s="23">
        <f>P21+P23-P26</f>
        <v>0</v>
      </c>
      <c r="Q34" s="23">
        <f>Q21+Q23-Q26</f>
        <v>0</v>
      </c>
      <c r="R34" s="23">
        <f>R21+R23-R26</f>
        <v>0</v>
      </c>
      <c r="S34" s="23">
        <f>S21+S23-S26</f>
        <v>0</v>
      </c>
      <c r="T34" s="23">
        <f>T21+T23-T26</f>
        <v>0</v>
      </c>
      <c r="U34" s="23">
        <f>U21+U23-U26</f>
        <v>0</v>
      </c>
      <c r="V34" s="23">
        <f>V21+V23-V26</f>
        <v>0</v>
      </c>
      <c r="W34" s="23">
        <f>W21+W23-W26</f>
        <v>0</v>
      </c>
      <c r="X34" s="23">
        <f>X21+X23-X26</f>
        <v>0</v>
      </c>
      <c r="Y34" s="23">
        <f>Y21+Y23-Y26</f>
        <v>0</v>
      </c>
      <c r="Z34" s="23">
        <f>Z21+Z23-Z26</f>
        <v>450690.3190348829</v>
      </c>
      <c r="AA34" s="23">
        <f>AA21+AA23-AA26</f>
        <v>901380.6380697659</v>
      </c>
      <c r="AB34" s="23">
        <f>AB21+AB23-AB26</f>
        <v>1352070.9571046487</v>
      </c>
      <c r="AC34" s="23">
        <f>AC21+AC23-AC26</f>
        <v>1802761.2761395315</v>
      </c>
      <c r="AD34" s="23">
        <f>AD21+AD23-AD26</f>
        <v>2253451.5951744146</v>
      </c>
      <c r="AE34" s="23">
        <f>AE21+AE23-AE26</f>
        <v>0</v>
      </c>
    </row>
    <row r="35">
      <c r="A35" s="6" t="inlineStr">
        <is>
          <t xml:space="preserve">Cash held back before the final release</t>
        </is>
      </c>
      <c r="B35" s="10" t="inlineStr">
        <is>
          <t xml:space="preserve">€</t>
        </is>
      </c>
      <c r="F35" s="23">
        <f>F29+F30-F31</f>
        <v>0</v>
      </c>
      <c r="G35" s="23">
        <f>G29+G30-G31</f>
        <v>0</v>
      </c>
      <c r="H35" s="23">
        <f>H29+H30-H31</f>
        <v>0</v>
      </c>
      <c r="I35" s="23">
        <f>I29+I30-I31</f>
        <v>0</v>
      </c>
      <c r="J35" s="23">
        <f>J29+J30-J31</f>
        <v>0</v>
      </c>
      <c r="K35" s="23">
        <f>K29+K30-K31</f>
        <v>0</v>
      </c>
      <c r="L35" s="23">
        <f>L29+L30-L31</f>
        <v>0</v>
      </c>
      <c r="M35" s="23">
        <f>M29+M30-M31</f>
        <v>0</v>
      </c>
      <c r="N35" s="23">
        <f>N29+N30-N31</f>
        <v>0</v>
      </c>
      <c r="O35" s="23">
        <f>O29+O30-O31</f>
        <v>0</v>
      </c>
      <c r="P35" s="23">
        <f>P29+P30-P31</f>
        <v>0</v>
      </c>
      <c r="Q35" s="23">
        <f>Q29+Q30-Q31</f>
        <v>0</v>
      </c>
      <c r="R35" s="23">
        <f>R29+R30-R31</f>
        <v>0</v>
      </c>
      <c r="S35" s="23">
        <f>S29+S30-S31</f>
        <v>0</v>
      </c>
      <c r="T35" s="23">
        <f>T29+T30-T31</f>
        <v>0</v>
      </c>
      <c r="U35" s="23">
        <f>U29+U30-U31</f>
        <v>0</v>
      </c>
      <c r="V35" s="23">
        <f>V29+V30-V31</f>
        <v>0</v>
      </c>
      <c r="W35" s="23">
        <f>W29+W30-W31</f>
        <v>0</v>
      </c>
      <c r="X35" s="23">
        <f>X29+X30-X31</f>
        <v>0</v>
      </c>
      <c r="Y35" s="23">
        <f>Y29+Y30-Y31</f>
        <v>0</v>
      </c>
      <c r="Z35" s="23">
        <f>Z29+Z30-Z31</f>
        <v>0</v>
      </c>
      <c r="AA35" s="23">
        <f>AA29+AA30-AA31</f>
        <v>0</v>
      </c>
      <c r="AB35" s="23">
        <f>AB29+AB30-AB31</f>
        <v>0</v>
      </c>
      <c r="AC35" s="23">
        <f>AC29+AC30-AC31</f>
        <v>0</v>
      </c>
      <c r="AD35" s="23">
        <f>AD29+AD30-AD31</f>
        <v>0</v>
      </c>
      <c r="AE35" s="23">
        <f>AE29+AE30-AE31</f>
        <v>0</v>
      </c>
    </row>
    <row r="36">
      <c r="A36" s="6" t="inlineStr">
        <is>
          <t xml:space="preserve">Released in the final year</t>
        </is>
      </c>
      <c r="B36" s="10" t="inlineStr">
        <is>
          <t xml:space="preserve">€</t>
        </is>
      </c>
      <c r="F36" s="23">
        <f>IF(Timing!F72=1,F33+F35+F34,0)</f>
        <v>0</v>
      </c>
      <c r="G36" s="23">
        <f>IF(Timing!G72=1,G33+G35+G34,0)</f>
        <v>0</v>
      </c>
      <c r="H36" s="23">
        <f>IF(Timing!H72=1,H33+H35+H34,0)</f>
        <v>0</v>
      </c>
      <c r="I36" s="23">
        <f>IF(Timing!I72=1,I33+I35+I34,0)</f>
        <v>0</v>
      </c>
      <c r="J36" s="23">
        <f>IF(Timing!J72=1,J33+J35+J34,0)</f>
        <v>0</v>
      </c>
      <c r="K36" s="23">
        <f>IF(Timing!K72=1,K33+K35+K34,0)</f>
        <v>0</v>
      </c>
      <c r="L36" s="23">
        <f>IF(Timing!L72=1,L33+L35+L34,0)</f>
        <v>0</v>
      </c>
      <c r="M36" s="23">
        <f>IF(Timing!M72=1,M33+M35+M34,0)</f>
        <v>0</v>
      </c>
      <c r="N36" s="23">
        <f>IF(Timing!N72=1,N33+N35+N34,0)</f>
        <v>0</v>
      </c>
      <c r="O36" s="23">
        <f>IF(Timing!O72=1,O33+O35+O34,0)</f>
        <v>0</v>
      </c>
      <c r="P36" s="23">
        <f>IF(Timing!P72=1,P33+P35+P34,0)</f>
        <v>0</v>
      </c>
      <c r="Q36" s="23">
        <f>IF(Timing!Q72=1,Q33+Q35+Q34,0)</f>
        <v>0</v>
      </c>
      <c r="R36" s="23">
        <f>IF(Timing!R72=1,R33+R35+R34,0)</f>
        <v>0</v>
      </c>
      <c r="S36" s="23">
        <f>IF(Timing!S72=1,S33+S35+S34,0)</f>
        <v>0</v>
      </c>
      <c r="T36" s="23">
        <f>IF(Timing!T72=1,T33+T35+T34,0)</f>
        <v>0</v>
      </c>
      <c r="U36" s="23">
        <f>IF(Timing!U72=1,U33+U35+U34,0)</f>
        <v>0</v>
      </c>
      <c r="V36" s="23">
        <f>IF(Timing!V72=1,V33+V35+V34,0)</f>
        <v>0</v>
      </c>
      <c r="W36" s="23">
        <f>IF(Timing!W72=1,W33+W35+W34,0)</f>
        <v>0</v>
      </c>
      <c r="X36" s="23">
        <f>IF(Timing!X72=1,X33+X35+X34,0)</f>
        <v>0</v>
      </c>
      <c r="Y36" s="23">
        <f>IF(Timing!Y72=1,Y33+Y35+Y34,0)</f>
        <v>0</v>
      </c>
      <c r="Z36" s="23">
        <f>IF(Timing!Z72=1,Z33+Z35+Z34,0)</f>
        <v>0</v>
      </c>
      <c r="AA36" s="23">
        <f>IF(Timing!AA72=1,AA33+AA35+AA34,0)</f>
        <v>0</v>
      </c>
      <c r="AB36" s="23">
        <f>IF(Timing!AB72=1,AB33+AB35+AB34,0)</f>
        <v>0</v>
      </c>
      <c r="AC36" s="23">
        <f>IF(Timing!AC72=1,AC33+AC35+AC34,0)</f>
        <v>0</v>
      </c>
      <c r="AD36" s="23">
        <f>IF(Timing!AD72=1,AD33+AD35+AD34,0)</f>
        <v>0</v>
      </c>
      <c r="AE36" s="23">
        <f>IF(Timing!AE72=1,AE33+AE35+AE34,0)</f>
        <v>0</v>
      </c>
    </row>
    <row r="37">
      <c r="A37" s="6" t="inlineStr">
        <is>
          <t xml:space="preserve">Cash at the year end</t>
        </is>
      </c>
      <c r="B37" s="10" t="inlineStr">
        <is>
          <t xml:space="preserve">€</t>
        </is>
      </c>
      <c r="F37" s="23">
        <f>F32+F36</f>
        <v>1611971.9507365031</v>
      </c>
      <c r="G37" s="23">
        <f>G32+G36</f>
        <v>2360238.8006830523</v>
      </c>
      <c r="H37" s="23">
        <f>H32+H36</f>
        <v>1023991.5096110229</v>
      </c>
      <c r="I37" s="23">
        <f>I32+I36</f>
        <v>1135879.273571806</v>
      </c>
      <c r="J37" s="23">
        <f>J32+J36</f>
        <v>1263491.7633020065</v>
      </c>
      <c r="K37" s="23">
        <f>K32+K36</f>
        <v>1388677.1484332953</v>
      </c>
      <c r="L37" s="23">
        <f>L32+L36</f>
        <v>1518432.099118188</v>
      </c>
      <c r="M37" s="23">
        <f>M32+M36</f>
        <v>1648123.070719254</v>
      </c>
      <c r="N37" s="23">
        <f>N32+N36</f>
        <v>1780180.9884044924</v>
      </c>
      <c r="O37" s="23">
        <f>O32+O36</f>
        <v>1909629.62656644</v>
      </c>
      <c r="P37" s="23">
        <f>P32+P36</f>
        <v>1919932.8633765944</v>
      </c>
      <c r="Q37" s="23">
        <f>Q32+Q36</f>
        <v>2051732.3089078222</v>
      </c>
      <c r="R37" s="23">
        <f>R32+R36</f>
        <v>2186020.5098967995</v>
      </c>
      <c r="S37" s="23">
        <f>S32+S36</f>
        <v>2317452.9435685067</v>
      </c>
      <c r="T37" s="23">
        <f>T32+T36</f>
        <v>2454095.928724756</v>
      </c>
      <c r="U37" s="23">
        <f>U32+U36</f>
        <v>2590605.6172896177</v>
      </c>
      <c r="V37" s="23">
        <f>V32+V36</f>
        <v>2673447.779028157</v>
      </c>
      <c r="W37" s="23">
        <f>W32+W36</f>
        <v>2701419.3925535497</v>
      </c>
      <c r="X37" s="23">
        <f>X32+X36</f>
        <v>3134245.468531051</v>
      </c>
      <c r="Y37" s="23">
        <f>Y32+Y36</f>
        <v>3875948.398716625</v>
      </c>
      <c r="Z37" s="23">
        <f>Z32+Z36</f>
        <v>3288319.199497585</v>
      </c>
      <c r="AA37" s="23">
        <f>AA32+AA36</f>
        <v>3354485.910846567</v>
      </c>
      <c r="AB37" s="23">
        <f>AB32+AB36</f>
        <v>3426773.487398305</v>
      </c>
      <c r="AC37" s="23">
        <f>AC32+AC36</f>
        <v>3498949.4149072366</v>
      </c>
      <c r="AD37" s="23">
        <f>AD32+AD36</f>
        <v>3583917.414611852</v>
      </c>
      <c r="AE37" s="23">
        <f>AE32+AE36</f>
        <v>2191715.8096956136</v>
      </c>
    </row>
    <row r="38">
      <c r="A38" s="6" t="inlineStr">
        <is>
          <t xml:space="preserve">DSRA at the year end</t>
        </is>
      </c>
      <c r="B38" s="10" t="inlineStr">
        <is>
          <t xml:space="preserve">€</t>
        </is>
      </c>
      <c r="E38" s="23">
        <f>Debt!$C$15</f>
        <v>573287.0601285857</v>
      </c>
      <c r="F38" s="23">
        <f>IF(Timing!F72=1,0,F33)</f>
        <v>573287.0601285857</v>
      </c>
      <c r="G38" s="23">
        <f>IF(Timing!G72=1,0,G33)</f>
        <v>573287.0601285857</v>
      </c>
      <c r="H38" s="23">
        <f>IF(Timing!H72=1,0,H33)</f>
        <v>557054.2618926666</v>
      </c>
      <c r="I38" s="23">
        <f>IF(Timing!I72=1,0,I33)</f>
        <v>540821.4636567476</v>
      </c>
      <c r="J38" s="23">
        <f>IF(Timing!J72=1,0,J33)</f>
        <v>524588.6654208285</v>
      </c>
      <c r="K38" s="23">
        <f>IF(Timing!K72=1,0,K33)</f>
        <v>508355.8671849094</v>
      </c>
      <c r="L38" s="23">
        <f>IF(Timing!L72=1,0,L33)</f>
        <v>492123.06894899043</v>
      </c>
      <c r="M38" s="23">
        <f>IF(Timing!M72=1,0,M33)</f>
        <v>475890.27071307134</v>
      </c>
      <c r="N38" s="23">
        <f>IF(Timing!N72=1,0,N33)</f>
        <v>459657.47247715236</v>
      </c>
      <c r="O38" s="23">
        <f>IF(Timing!O72=1,0,O33)</f>
        <v>443424.67424123327</v>
      </c>
      <c r="P38" s="23">
        <f>IF(Timing!P72=1,0,P33)</f>
        <v>427191.87600531423</v>
      </c>
      <c r="Q38" s="23">
        <f>IF(Timing!Q72=1,0,Q33)</f>
        <v>410959.07776939514</v>
      </c>
      <c r="R38" s="23">
        <f>IF(Timing!R72=1,0,R33)</f>
        <v>394726.2795334761</v>
      </c>
      <c r="S38" s="23">
        <f>IF(Timing!S72=1,0,S33)</f>
        <v>378493.48129755707</v>
      </c>
      <c r="T38" s="23">
        <f>IF(Timing!T72=1,0,T33)</f>
        <v>362260.68306163803</v>
      </c>
      <c r="U38" s="23">
        <f>IF(Timing!U72=1,0,U33)</f>
        <v>346027.88482571894</v>
      </c>
      <c r="V38" s="23">
        <f>IF(Timing!V72=1,0,V33)</f>
        <v>329795.0865897999</v>
      </c>
      <c r="W38" s="23">
        <f>IF(Timing!W72=1,0,W33)</f>
        <v>313562.2883538849</v>
      </c>
      <c r="X38" s="23">
        <f>IF(Timing!X72=1,0,X33)</f>
        <v>0</v>
      </c>
      <c r="Y38" s="23">
        <f>IF(Timing!Y72=1,0,Y33)</f>
        <v>0</v>
      </c>
      <c r="Z38" s="23">
        <f>IF(Timing!Z72=1,0,Z33)</f>
        <v>0</v>
      </c>
      <c r="AA38" s="23">
        <f>IF(Timing!AA72=1,0,AA33)</f>
        <v>0</v>
      </c>
      <c r="AB38" s="23">
        <f>IF(Timing!AB72=1,0,AB33)</f>
        <v>0</v>
      </c>
      <c r="AC38" s="23">
        <f>IF(Timing!AC72=1,0,AC33)</f>
        <v>0</v>
      </c>
      <c r="AD38" s="23">
        <f>IF(Timing!AD72=1,0,AD33)</f>
        <v>0</v>
      </c>
      <c r="AE38" s="23">
        <f>IF(Timing!AE72=1,0,AE33)</f>
        <v>0</v>
      </c>
    </row>
    <row r="39">
      <c r="A39" s="6" t="inlineStr">
        <is>
          <t xml:space="preserve">Decommissioning reserve at the year end</t>
        </is>
      </c>
      <c r="B39" s="10" t="inlineStr">
        <is>
          <t xml:space="preserve">€</t>
        </is>
      </c>
      <c r="F39" s="23">
        <f>IF(Timing!F72=1,0,F34)</f>
        <v>0</v>
      </c>
      <c r="G39" s="23">
        <f>IF(Timing!G72=1,0,G34)</f>
        <v>0</v>
      </c>
      <c r="H39" s="23">
        <f>IF(Timing!H72=1,0,H34)</f>
        <v>0</v>
      </c>
      <c r="I39" s="23">
        <f>IF(Timing!I72=1,0,I34)</f>
        <v>0</v>
      </c>
      <c r="J39" s="23">
        <f>IF(Timing!J72=1,0,J34)</f>
        <v>0</v>
      </c>
      <c r="K39" s="23">
        <f>IF(Timing!K72=1,0,K34)</f>
        <v>0</v>
      </c>
      <c r="L39" s="23">
        <f>IF(Timing!L72=1,0,L34)</f>
        <v>0</v>
      </c>
      <c r="M39" s="23">
        <f>IF(Timing!M72=1,0,M34)</f>
        <v>0</v>
      </c>
      <c r="N39" s="23">
        <f>IF(Timing!N72=1,0,N34)</f>
        <v>0</v>
      </c>
      <c r="O39" s="23">
        <f>IF(Timing!O72=1,0,O34)</f>
        <v>0</v>
      </c>
      <c r="P39" s="23">
        <f>IF(Timing!P72=1,0,P34)</f>
        <v>0</v>
      </c>
      <c r="Q39" s="23">
        <f>IF(Timing!Q72=1,0,Q34)</f>
        <v>0</v>
      </c>
      <c r="R39" s="23">
        <f>IF(Timing!R72=1,0,R34)</f>
        <v>0</v>
      </c>
      <c r="S39" s="23">
        <f>IF(Timing!S72=1,0,S34)</f>
        <v>0</v>
      </c>
      <c r="T39" s="23">
        <f>IF(Timing!T72=1,0,T34)</f>
        <v>0</v>
      </c>
      <c r="U39" s="23">
        <f>IF(Timing!U72=1,0,U34)</f>
        <v>0</v>
      </c>
      <c r="V39" s="23">
        <f>IF(Timing!V72=1,0,V34)</f>
        <v>0</v>
      </c>
      <c r="W39" s="23">
        <f>IF(Timing!W72=1,0,W34)</f>
        <v>0</v>
      </c>
      <c r="X39" s="23">
        <f>IF(Timing!X72=1,0,X34)</f>
        <v>0</v>
      </c>
      <c r="Y39" s="23">
        <f>IF(Timing!Y72=1,0,Y34)</f>
        <v>0</v>
      </c>
      <c r="Z39" s="23">
        <f>IF(Timing!Z72=1,0,Z34)</f>
        <v>450690.3190348829</v>
      </c>
      <c r="AA39" s="23">
        <f>IF(Timing!AA72=1,0,AA34)</f>
        <v>901380.6380697659</v>
      </c>
      <c r="AB39" s="23">
        <f>IF(Timing!AB72=1,0,AB34)</f>
        <v>1352070.9571046487</v>
      </c>
      <c r="AC39" s="23">
        <f>IF(Timing!AC72=1,0,AC34)</f>
        <v>1802761.2761395315</v>
      </c>
      <c r="AD39" s="23">
        <f>IF(Timing!AD72=1,0,AD34)</f>
        <v>2253451.5951744146</v>
      </c>
      <c r="AE39" s="23">
        <f>IF(Timing!AE72=1,0,AE34)</f>
        <v>0</v>
      </c>
    </row>
    <row r="40">
      <c r="A40" s="6" t="inlineStr">
        <is>
          <t xml:space="preserve">Cash held back at the year end</t>
        </is>
      </c>
      <c r="B40" s="10" t="inlineStr">
        <is>
          <t xml:space="preserve">€</t>
        </is>
      </c>
      <c r="E40" s="9">
        <v>0</v>
      </c>
      <c r="F40" s="23">
        <f>IF(Timing!F72=1,0,F35)</f>
        <v>0</v>
      </c>
      <c r="G40" s="23">
        <f>IF(Timing!G72=1,0,G35)</f>
        <v>0</v>
      </c>
      <c r="H40" s="23">
        <f>IF(Timing!H72=1,0,H35)</f>
        <v>0</v>
      </c>
      <c r="I40" s="23">
        <f>IF(Timing!I72=1,0,I35)</f>
        <v>0</v>
      </c>
      <c r="J40" s="23">
        <f>IF(Timing!J72=1,0,J35)</f>
        <v>0</v>
      </c>
      <c r="K40" s="23">
        <f>IF(Timing!K72=1,0,K35)</f>
        <v>0</v>
      </c>
      <c r="L40" s="23">
        <f>IF(Timing!L72=1,0,L35)</f>
        <v>0</v>
      </c>
      <c r="M40" s="23">
        <f>IF(Timing!M72=1,0,M35)</f>
        <v>0</v>
      </c>
      <c r="N40" s="23">
        <f>IF(Timing!N72=1,0,N35)</f>
        <v>0</v>
      </c>
      <c r="O40" s="23">
        <f>IF(Timing!O72=1,0,O35)</f>
        <v>0</v>
      </c>
      <c r="P40" s="23">
        <f>IF(Timing!P72=1,0,P35)</f>
        <v>0</v>
      </c>
      <c r="Q40" s="23">
        <f>IF(Timing!Q72=1,0,Q35)</f>
        <v>0</v>
      </c>
      <c r="R40" s="23">
        <f>IF(Timing!R72=1,0,R35)</f>
        <v>0</v>
      </c>
      <c r="S40" s="23">
        <f>IF(Timing!S72=1,0,S35)</f>
        <v>0</v>
      </c>
      <c r="T40" s="23">
        <f>IF(Timing!T72=1,0,T35)</f>
        <v>0</v>
      </c>
      <c r="U40" s="23">
        <f>IF(Timing!U72=1,0,U35)</f>
        <v>0</v>
      </c>
      <c r="V40" s="23">
        <f>IF(Timing!V72=1,0,V35)</f>
        <v>0</v>
      </c>
      <c r="W40" s="23">
        <f>IF(Timing!W72=1,0,W35)</f>
        <v>0</v>
      </c>
      <c r="X40" s="23">
        <f>IF(Timing!X72=1,0,X35)</f>
        <v>0</v>
      </c>
      <c r="Y40" s="23">
        <f>IF(Timing!Y72=1,0,Y35)</f>
        <v>0</v>
      </c>
      <c r="Z40" s="23">
        <f>IF(Timing!Z72=1,0,Z35)</f>
        <v>0</v>
      </c>
      <c r="AA40" s="23">
        <f>IF(Timing!AA72=1,0,AA35)</f>
        <v>0</v>
      </c>
      <c r="AB40" s="23">
        <f>IF(Timing!AB72=1,0,AB35)</f>
        <v>0</v>
      </c>
      <c r="AC40" s="23">
        <f>IF(Timing!AC72=1,0,AC35)</f>
        <v>0</v>
      </c>
      <c r="AD40" s="23">
        <f>IF(Timing!AD72=1,0,AD35)</f>
        <v>0</v>
      </c>
      <c r="AE40" s="23">
        <f>IF(Timing!AE72=1,0,AE35)</f>
        <v>0</v>
      </c>
    </row>
    <row r="41">
      <c r="A41" s="6" t="inlineStr">
        <is>
          <t xml:space="preserve">Unpaid cash at the year end (shortfall; no payments by the owners)</t>
        </is>
      </c>
      <c r="B41" s="10" t="inlineStr">
        <is>
          <t xml:space="preserve">€</t>
        </is>
      </c>
      <c r="E41" s="9">
        <v>0</v>
      </c>
      <c r="F41" s="23">
        <f>IF(F37&gt;=0,0,F37)</f>
        <v>0</v>
      </c>
      <c r="G41" s="23">
        <f>IF(G37&gt;=0,0,G37)</f>
        <v>0</v>
      </c>
      <c r="H41" s="23">
        <f>IF(H37&gt;=0,0,H37)</f>
        <v>0</v>
      </c>
      <c r="I41" s="23">
        <f>IF(I37&gt;=0,0,I37)</f>
        <v>0</v>
      </c>
      <c r="J41" s="23">
        <f>IF(J37&gt;=0,0,J37)</f>
        <v>0</v>
      </c>
      <c r="K41" s="23">
        <f>IF(K37&gt;=0,0,K37)</f>
        <v>0</v>
      </c>
      <c r="L41" s="23">
        <f>IF(L37&gt;=0,0,L37)</f>
        <v>0</v>
      </c>
      <c r="M41" s="23">
        <f>IF(M37&gt;=0,0,M37)</f>
        <v>0</v>
      </c>
      <c r="N41" s="23">
        <f>IF(N37&gt;=0,0,N37)</f>
        <v>0</v>
      </c>
      <c r="O41" s="23">
        <f>IF(O37&gt;=0,0,O37)</f>
        <v>0</v>
      </c>
      <c r="P41" s="23">
        <f>IF(P37&gt;=0,0,P37)</f>
        <v>0</v>
      </c>
      <c r="Q41" s="23">
        <f>IF(Q37&gt;=0,0,Q37)</f>
        <v>0</v>
      </c>
      <c r="R41" s="23">
        <f>IF(R37&gt;=0,0,R37)</f>
        <v>0</v>
      </c>
      <c r="S41" s="23">
        <f>IF(S37&gt;=0,0,S37)</f>
        <v>0</v>
      </c>
      <c r="T41" s="23">
        <f>IF(T37&gt;=0,0,T37)</f>
        <v>0</v>
      </c>
      <c r="U41" s="23">
        <f>IF(U37&gt;=0,0,U37)</f>
        <v>0</v>
      </c>
      <c r="V41" s="23">
        <f>IF(V37&gt;=0,0,V37)</f>
        <v>0</v>
      </c>
      <c r="W41" s="23">
        <f>IF(W37&gt;=0,0,W37)</f>
        <v>0</v>
      </c>
      <c r="X41" s="23">
        <f>IF(X37&gt;=0,0,X37)</f>
        <v>0</v>
      </c>
      <c r="Y41" s="23">
        <f>IF(Y37&gt;=0,0,Y37)</f>
        <v>0</v>
      </c>
      <c r="Z41" s="23">
        <f>IF(Z37&gt;=0,0,Z37)</f>
        <v>0</v>
      </c>
      <c r="AA41" s="23">
        <f>IF(AA37&gt;=0,0,AA37)</f>
        <v>0</v>
      </c>
      <c r="AB41" s="23">
        <f>IF(AB37&gt;=0,0,AB37)</f>
        <v>0</v>
      </c>
      <c r="AC41" s="23">
        <f>IF(AC37&gt;=0,0,AC37)</f>
        <v>0</v>
      </c>
      <c r="AD41" s="23">
        <f>IF(AD37&gt;=0,0,AD37)</f>
        <v>0</v>
      </c>
      <c r="AE41" s="23">
        <f>IF(AE37&gt;=0,0,AE37)</f>
        <v>0</v>
      </c>
    </row>
    <row r="42">
      <c r="A42" s="41" t="inlineStr">
        <is>
          <t xml:space="preserve">Cash available to equity (before legal limits on distributions)</t>
        </is>
      </c>
      <c r="B42" s="10" t="inlineStr">
        <is>
          <t xml:space="preserve">€</t>
        </is>
      </c>
      <c r="F42" s="42">
        <f>IF(F37&gt;=0,F37,0)</f>
        <v>1611971.9507365031</v>
      </c>
      <c r="G42" s="42">
        <f>IF(G37&gt;=0,G37,0)</f>
        <v>2360238.8006830523</v>
      </c>
      <c r="H42" s="42">
        <f>IF(H37&gt;=0,H37,0)</f>
        <v>1023991.5096110229</v>
      </c>
      <c r="I42" s="42">
        <f>IF(I37&gt;=0,I37,0)</f>
        <v>1135879.273571806</v>
      </c>
      <c r="J42" s="42">
        <f>IF(J37&gt;=0,J37,0)</f>
        <v>1263491.7633020065</v>
      </c>
      <c r="K42" s="42">
        <f>IF(K37&gt;=0,K37,0)</f>
        <v>1388677.1484332953</v>
      </c>
      <c r="L42" s="42">
        <f>IF(L37&gt;=0,L37,0)</f>
        <v>1518432.099118188</v>
      </c>
      <c r="M42" s="42">
        <f>IF(M37&gt;=0,M37,0)</f>
        <v>1648123.070719254</v>
      </c>
      <c r="N42" s="42">
        <f>IF(N37&gt;=0,N37,0)</f>
        <v>1780180.9884044924</v>
      </c>
      <c r="O42" s="42">
        <f>IF(O37&gt;=0,O37,0)</f>
        <v>1909629.62656644</v>
      </c>
      <c r="P42" s="42">
        <f>IF(P37&gt;=0,P37,0)</f>
        <v>1919932.8633765944</v>
      </c>
      <c r="Q42" s="42">
        <f>IF(Q37&gt;=0,Q37,0)</f>
        <v>2051732.3089078222</v>
      </c>
      <c r="R42" s="42">
        <f>IF(R37&gt;=0,R37,0)</f>
        <v>2186020.5098967995</v>
      </c>
      <c r="S42" s="42">
        <f>IF(S37&gt;=0,S37,0)</f>
        <v>2317452.9435685067</v>
      </c>
      <c r="T42" s="42">
        <f>IF(T37&gt;=0,T37,0)</f>
        <v>2454095.928724756</v>
      </c>
      <c r="U42" s="42">
        <f>IF(U37&gt;=0,U37,0)</f>
        <v>2590605.6172896177</v>
      </c>
      <c r="V42" s="42">
        <f>IF(V37&gt;=0,V37,0)</f>
        <v>2673447.779028157</v>
      </c>
      <c r="W42" s="42">
        <f>IF(W37&gt;=0,W37,0)</f>
        <v>2701419.3925535497</v>
      </c>
      <c r="X42" s="42">
        <f>IF(X37&gt;=0,X37,0)</f>
        <v>3134245.468531051</v>
      </c>
      <c r="Y42" s="42">
        <f>IF(Y37&gt;=0,Y37,0)</f>
        <v>3875948.398716625</v>
      </c>
      <c r="Z42" s="42">
        <f>IF(Z37&gt;=0,Z37,0)</f>
        <v>3288319.199497585</v>
      </c>
      <c r="AA42" s="42">
        <f>IF(AA37&gt;=0,AA37,0)</f>
        <v>3354485.910846567</v>
      </c>
      <c r="AB42" s="42">
        <f>IF(AB37&gt;=0,AB37,0)</f>
        <v>3426773.487398305</v>
      </c>
      <c r="AC42" s="42">
        <f>IF(AC37&gt;=0,AC37,0)</f>
        <v>3498949.4149072366</v>
      </c>
      <c r="AD42" s="42">
        <f>IF(AD37&gt;=0,AD37,0)</f>
        <v>3583917.414611852</v>
      </c>
      <c r="AE42" s="42">
        <f>IF(AE37&gt;=0,AE37,0)</f>
        <v>2191715.8096956136</v>
      </c>
    </row>
    <row r="43">
      <c r="A43" s="6" t="inlineStr">
        <is>
          <t xml:space="preserve">Project cash flow before tax</t>
        </is>
      </c>
      <c r="B43" s="10" t="inlineStr">
        <is>
          <t xml:space="preserve">€</t>
        </is>
      </c>
      <c r="F43" s="23">
        <f>Operations!F51-Operations!F59-F26</f>
        <v>2163887.0907577514</v>
      </c>
      <c r="G43" s="23">
        <f>Operations!G51-Operations!G59-G26</f>
        <v>3464069.080725549</v>
      </c>
      <c r="H43" s="23">
        <f>Operations!H51-Operations!H59-H26</f>
        <v>3300906.9518894465</v>
      </c>
      <c r="I43" s="23">
        <f>Operations!I51-Operations!I59-I26</f>
        <v>3347863.5229065535</v>
      </c>
      <c r="J43" s="23">
        <f>Operations!J51-Operations!J59-J26</f>
        <v>3410544.819693078</v>
      </c>
      <c r="K43" s="23">
        <f>Operations!K51-Operations!K59-K26</f>
        <v>3470799.01188069</v>
      </c>
      <c r="L43" s="23">
        <f>Operations!L51-Operations!L59-L26</f>
        <v>3535622.769621907</v>
      </c>
      <c r="M43" s="23">
        <f>Operations!M51-Operations!M59-M26</f>
        <v>3600382.5482792966</v>
      </c>
      <c r="N43" s="23">
        <f>Operations!N51-Operations!N59-N26</f>
        <v>3667509.273020859</v>
      </c>
      <c r="O43" s="23">
        <f>Operations!O51-Operations!O59-O26</f>
        <v>3732026.7182391305</v>
      </c>
      <c r="P43" s="23">
        <f>Operations!P51-Operations!P59-P26</f>
        <v>3677398.7621056084</v>
      </c>
      <c r="Q43" s="23">
        <f>Operations!Q51-Operations!Q59-Q26</f>
        <v>3744267.01469316</v>
      </c>
      <c r="R43" s="23">
        <f>Operations!R51-Operations!R59-R26</f>
        <v>3813624.0227384614</v>
      </c>
      <c r="S43" s="23">
        <f>Operations!S51-Operations!S59-S26</f>
        <v>3880125.2634664923</v>
      </c>
      <c r="T43" s="23">
        <f>Operations!T51-Operations!T59-T26</f>
        <v>3951837.0556790656</v>
      </c>
      <c r="U43" s="23">
        <f>Operations!U51-Operations!U59-U26</f>
        <v>4023415.5513002505</v>
      </c>
      <c r="V43" s="23">
        <f>Operations!V51-Operations!V59-V26</f>
        <v>4097662.5200951137</v>
      </c>
      <c r="W43" s="23">
        <f>Operations!W51-Operations!W59-W26</f>
        <v>4168838.940676834</v>
      </c>
      <c r="X43" s="23">
        <f>Operations!X51-Operations!X59-X26</f>
        <v>4245606.333592705</v>
      </c>
      <c r="Y43" s="23">
        <f>Operations!Y51-Operations!Y59-Y26</f>
        <v>4322226.398716625</v>
      </c>
      <c r="Z43" s="23">
        <f>Operations!Z51-Operations!Z59-Z26</f>
        <v>4321059.518532468</v>
      </c>
      <c r="AA43" s="23">
        <f>Operations!AA51-Operations!AA59-AA26</f>
        <v>4395626.22988145</v>
      </c>
      <c r="AB43" s="23">
        <f>Operations!AB51-Operations!AB59-AB26</f>
        <v>4476159.806433188</v>
      </c>
      <c r="AC43" s="23">
        <f>Operations!AC51-Operations!AC59-AC26</f>
        <v>4556497.733942119</v>
      </c>
      <c r="AD43" s="23">
        <f>Operations!AD51-Operations!AD59-AD26</f>
        <v>4639869.733646735</v>
      </c>
      <c r="AE43" s="23">
        <f>Operations!AE51-Operations!AE59-AE26</f>
        <v>248574.214521199</v>
      </c>
    </row>
    <row r="44">
      <c r="A44" s="6" t="inlineStr">
        <is>
          <t xml:space="preserve">Project cash flow after tax (taxes without debt)</t>
        </is>
      </c>
      <c r="B44" s="10" t="inlineStr">
        <is>
          <t xml:space="preserve">€</t>
        </is>
      </c>
      <c r="F44" s="23">
        <f>F43-Tax!F174</f>
        <v>2115601.0907577514</v>
      </c>
      <c r="G44" s="23">
        <f>G43-Tax!G174</f>
        <v>3464069.080725549</v>
      </c>
      <c r="H44" s="23">
        <f>H43-Tax!H174</f>
        <v>3300906.9518894465</v>
      </c>
      <c r="I44" s="23">
        <f>I43-Tax!I174</f>
        <v>3347863.5229065535</v>
      </c>
      <c r="J44" s="23">
        <f>J43-Tax!J174</f>
        <v>3410544.819693078</v>
      </c>
      <c r="K44" s="23">
        <f>K43-Tax!K174</f>
        <v>3470799.01188069</v>
      </c>
      <c r="L44" s="23">
        <f>L43-Tax!L174</f>
        <v>3535622.769621907</v>
      </c>
      <c r="M44" s="23">
        <f>M43-Tax!M174</f>
        <v>3600382.5482792966</v>
      </c>
      <c r="N44" s="23">
        <f>N43-Tax!N174</f>
        <v>3667509.273020859</v>
      </c>
      <c r="O44" s="23">
        <f>O43-Tax!O174</f>
        <v>3732026.7182391305</v>
      </c>
      <c r="P44" s="23">
        <f>P43-Tax!P174</f>
        <v>3677398.7621056084</v>
      </c>
      <c r="Q44" s="23">
        <f>Q43-Tax!Q174</f>
        <v>3744267.01469316</v>
      </c>
      <c r="R44" s="23">
        <f>R43-Tax!R174</f>
        <v>3813624.0227384614</v>
      </c>
      <c r="S44" s="23">
        <f>S43-Tax!S174</f>
        <v>3880125.2634664923</v>
      </c>
      <c r="T44" s="23">
        <f>T43-Tax!T174</f>
        <v>3931061.0556790656</v>
      </c>
      <c r="U44" s="23">
        <f>U43-Tax!U174</f>
        <v>3973337.5513002505</v>
      </c>
      <c r="V44" s="23">
        <f>V43-Tax!V174</f>
        <v>3788962.5200951137</v>
      </c>
      <c r="W44" s="23">
        <f>W43-Tax!W174</f>
        <v>3601432.940676834</v>
      </c>
      <c r="X44" s="23">
        <f>X43-Tax!X174</f>
        <v>3669506.3335927054</v>
      </c>
      <c r="Y44" s="23">
        <f>Y43-Tax!Y174</f>
        <v>3737460.398716625</v>
      </c>
      <c r="Z44" s="23">
        <f>Z43-Tax!Z174</f>
        <v>3739009.518532468</v>
      </c>
      <c r="AA44" s="23">
        <f>AA43-Tax!AA174</f>
        <v>3805176.2298814496</v>
      </c>
      <c r="AB44" s="23">
        <f>AB43-Tax!AB174</f>
        <v>3877463.806433188</v>
      </c>
      <c r="AC44" s="23">
        <f>AC43-Tax!AC174</f>
        <v>3949639.7339421194</v>
      </c>
      <c r="AD44" s="23">
        <f>AD43-Tax!AD174</f>
        <v>4034607.7336467346</v>
      </c>
      <c r="AE44" s="23">
        <f>AE43-Tax!AE174</f>
        <v>-61735.78547880106</v>
      </c>
    </row>
    <row r="46">
      <c r="A46" s="5" t="inlineStr">
        <is>
          <t xml:space="preserve">P90 1-yr</t>
        </is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>
      <c r="A47" s="6" t="inlineStr">
        <is>
          <t xml:space="preserve">CFADS</t>
        </is>
      </c>
      <c r="B47" s="10" t="inlineStr">
        <is>
          <t xml:space="preserve">€</t>
        </is>
      </c>
      <c r="F47" s="45">
        <f>Tax!F76</f>
        <v>1819858.0164096118</v>
      </c>
      <c r="G47" s="45">
        <f>Tax!G76</f>
        <v>2752279.36882814</v>
      </c>
      <c r="H47" s="45">
        <f>Tax!H76</f>
        <v>2613045.198841259</v>
      </c>
      <c r="I47" s="45">
        <f>Tax!I76</f>
        <v>2649404.0898150406</v>
      </c>
      <c r="J47" s="45">
        <f>Tax!J76</f>
        <v>2698850.2530895</v>
      </c>
      <c r="K47" s="45">
        <f>Tax!K76</f>
        <v>2746208.4137992132</v>
      </c>
      <c r="L47" s="45">
        <f>Tax!L76</f>
        <v>2797326.2937037777</v>
      </c>
      <c r="M47" s="45">
        <f>Tax!M76</f>
        <v>2848329.2524112696</v>
      </c>
      <c r="N47" s="45">
        <f>Tax!N76</f>
        <v>2901248.2057057065</v>
      </c>
      <c r="O47" s="45">
        <f>Tax!O76</f>
        <v>2951921.99858815</v>
      </c>
      <c r="P47" s="45">
        <f>Tax!P76</f>
        <v>2882580.7700172984</v>
      </c>
      <c r="Q47" s="45">
        <f>Tax!Q76</f>
        <v>2934681.0404340075</v>
      </c>
      <c r="R47" s="45">
        <f>Tax!R76</f>
        <v>2988785.8270561746</v>
      </c>
      <c r="S47" s="45">
        <f>Tax!S76</f>
        <v>3040425.8288412853</v>
      </c>
      <c r="T47" s="45">
        <f>Tax!T76</f>
        <v>3096342.5771106076</v>
      </c>
      <c r="U47" s="45">
        <f>Tax!U76</f>
        <v>3152067.273454574</v>
      </c>
      <c r="V47" s="45">
        <f>Tax!V76</f>
        <v>3204116.459438563</v>
      </c>
      <c r="W47" s="45">
        <f>Tax!W76</f>
        <v>3152140.925603638</v>
      </c>
      <c r="X47" s="45">
        <f>Tax!X76</f>
        <v>3206701.63750975</v>
      </c>
      <c r="Y47" s="45">
        <f>Tax!Y76</f>
        <v>3262101.922194229</v>
      </c>
      <c r="Z47" s="45">
        <f>Tax!Z76</f>
        <v>3245428.8959404724</v>
      </c>
      <c r="AA47" s="45">
        <f>Tax!AA76</f>
        <v>3300516.2643818287</v>
      </c>
      <c r="AB47" s="45">
        <f>Tax!AB76</f>
        <v>3360563.7635839735</v>
      </c>
      <c r="AC47" s="45">
        <f>Tax!AC76</f>
        <v>3420403.849693592</v>
      </c>
      <c r="AD47" s="45">
        <f>Tax!AD76</f>
        <v>3486612.4277893924</v>
      </c>
      <c r="AE47" s="45">
        <f>Tax!AE76</f>
        <v>2184286.936258025</v>
      </c>
    </row>
    <row r="48">
      <c r="A48" s="6" t="inlineStr">
        <is>
          <t xml:space="preserve">Debt service</t>
        </is>
      </c>
      <c r="B48" s="10" t="inlineStr">
        <is>
          <t xml:space="preserve">€</t>
        </is>
      </c>
      <c r="F48" s="45">
        <f>Debt!F13</f>
        <v>551915.1400212483</v>
      </c>
      <c r="G48" s="45">
        <f>Debt!G13</f>
        <v>1103830.2800424965</v>
      </c>
      <c r="H48" s="45">
        <f>Debt!H13</f>
        <v>2293148.2405143427</v>
      </c>
      <c r="I48" s="45">
        <f>Debt!I13</f>
        <v>2228217.0475706663</v>
      </c>
      <c r="J48" s="45">
        <f>Debt!J13</f>
        <v>2163285.8546269904</v>
      </c>
      <c r="K48" s="45">
        <f>Debt!K13</f>
        <v>2098354.661683314</v>
      </c>
      <c r="L48" s="45">
        <f>Debt!L13</f>
        <v>2033423.4687396376</v>
      </c>
      <c r="M48" s="45">
        <f>Debt!M13</f>
        <v>1968492.2757959617</v>
      </c>
      <c r="N48" s="45">
        <f>Debt!N13</f>
        <v>1903561.0828522854</v>
      </c>
      <c r="O48" s="45">
        <f>Debt!O13</f>
        <v>1838629.8899086094</v>
      </c>
      <c r="P48" s="45">
        <f>Debt!P13</f>
        <v>1773698.696964933</v>
      </c>
      <c r="Q48" s="45">
        <f>Debt!Q13</f>
        <v>1708767.504021257</v>
      </c>
      <c r="R48" s="45">
        <f>Debt!R13</f>
        <v>1643836.3110775806</v>
      </c>
      <c r="S48" s="45">
        <f>Debt!S13</f>
        <v>1578905.1181339044</v>
      </c>
      <c r="T48" s="45">
        <f>Debt!T13</f>
        <v>1513973.9251902283</v>
      </c>
      <c r="U48" s="45">
        <f>Debt!U13</f>
        <v>1449042.7322465521</v>
      </c>
      <c r="V48" s="45">
        <f>Debt!V13</f>
        <v>1384111.5393028758</v>
      </c>
      <c r="W48" s="45">
        <f>Debt!W13</f>
        <v>1319180.3463591996</v>
      </c>
      <c r="X48" s="45">
        <f>Debt!X13</f>
        <v>1254249.1534155395</v>
      </c>
      <c r="Y48" s="45">
        <f>Debt!Y13</f>
        <v>0</v>
      </c>
      <c r="Z48" s="45">
        <f>Debt!Z13</f>
        <v>0</v>
      </c>
      <c r="AA48" s="45">
        <f>Debt!AA13</f>
        <v>0</v>
      </c>
      <c r="AB48" s="45">
        <f>Debt!AB13</f>
        <v>0</v>
      </c>
      <c r="AC48" s="45">
        <f>Debt!AC13</f>
        <v>0</v>
      </c>
      <c r="AD48" s="45">
        <f>Debt!AD13</f>
        <v>0</v>
      </c>
      <c r="AE48" s="45">
        <f>Debt!AE13</f>
        <v>0</v>
      </c>
    </row>
    <row r="49">
      <c r="A49" s="6" t="inlineStr">
        <is>
          <t xml:space="preserve">Unpaid cash from the year before</t>
        </is>
      </c>
      <c r="B49" s="10" t="inlineStr">
        <is>
          <t xml:space="preserve">€</t>
        </is>
      </c>
      <c r="F49" s="23">
        <f>E81</f>
        <v>0</v>
      </c>
      <c r="G49" s="23">
        <f>F81</f>
        <v>0</v>
      </c>
      <c r="H49" s="23">
        <f>G81</f>
        <v>0</v>
      </c>
      <c r="I49" s="23">
        <f>H81</f>
        <v>0</v>
      </c>
      <c r="J49" s="23">
        <f>I81</f>
        <v>0</v>
      </c>
      <c r="K49" s="23">
        <f>J81</f>
        <v>0</v>
      </c>
      <c r="L49" s="23">
        <f>K81</f>
        <v>0</v>
      </c>
      <c r="M49" s="23">
        <f>L81</f>
        <v>0</v>
      </c>
      <c r="N49" s="23">
        <f>M81</f>
        <v>0</v>
      </c>
      <c r="O49" s="23">
        <f>N81</f>
        <v>0</v>
      </c>
      <c r="P49" s="23">
        <f>O81</f>
        <v>0</v>
      </c>
      <c r="Q49" s="23">
        <f>P81</f>
        <v>0</v>
      </c>
      <c r="R49" s="23">
        <f>Q81</f>
        <v>0</v>
      </c>
      <c r="S49" s="23">
        <f>R81</f>
        <v>0</v>
      </c>
      <c r="T49" s="23">
        <f>S81</f>
        <v>0</v>
      </c>
      <c r="U49" s="23">
        <f>T81</f>
        <v>0</v>
      </c>
      <c r="V49" s="23">
        <f>U81</f>
        <v>0</v>
      </c>
      <c r="W49" s="23">
        <f>V81</f>
        <v>0</v>
      </c>
      <c r="X49" s="23">
        <f>W81</f>
        <v>0</v>
      </c>
      <c r="Y49" s="23">
        <f>X81</f>
        <v>0</v>
      </c>
      <c r="Z49" s="23">
        <f>Y81</f>
        <v>0</v>
      </c>
      <c r="AA49" s="23">
        <f>Z81</f>
        <v>0</v>
      </c>
      <c r="AB49" s="23">
        <f>AA81</f>
        <v>0</v>
      </c>
      <c r="AC49" s="23">
        <f>AB81</f>
        <v>0</v>
      </c>
      <c r="AD49" s="23">
        <f>AC81</f>
        <v>0</v>
      </c>
      <c r="AE49" s="23">
        <f>AD81</f>
        <v>0</v>
      </c>
    </row>
    <row r="50">
      <c r="A50" s="6" t="inlineStr">
        <is>
          <t xml:space="preserve">Cash after debt service</t>
        </is>
      </c>
      <c r="B50" s="10" t="inlineStr">
        <is>
          <t xml:space="preserve">€</t>
        </is>
      </c>
      <c r="F50" s="23">
        <f>F47-F48+F49</f>
        <v>1267942.8763883635</v>
      </c>
      <c r="G50" s="23">
        <f>G47-G48+G49</f>
        <v>1648449.0887856437</v>
      </c>
      <c r="H50" s="23">
        <f>H47-H48+H49</f>
        <v>319896.9583269162</v>
      </c>
      <c r="I50" s="23">
        <f>I47-I48+I49</f>
        <v>421187.0422443743</v>
      </c>
      <c r="J50" s="23">
        <f>J47-J48+J49</f>
        <v>535564.3984625097</v>
      </c>
      <c r="K50" s="23">
        <f>K47-K48+K49</f>
        <v>647853.7521158992</v>
      </c>
      <c r="L50" s="23">
        <f>L47-L48+L49</f>
        <v>763902.8249641401</v>
      </c>
      <c r="M50" s="23">
        <f>M47-M48+M49</f>
        <v>879836.9766153079</v>
      </c>
      <c r="N50" s="23">
        <f>N47-N48+N49</f>
        <v>997687.1228534211</v>
      </c>
      <c r="O50" s="23">
        <f>O47-O48+O49</f>
        <v>1113292.1086795405</v>
      </c>
      <c r="P50" s="23">
        <f>P47-P48+P49</f>
        <v>1108882.0730523653</v>
      </c>
      <c r="Q50" s="23">
        <f>Q47-Q48+Q49</f>
        <v>1225913.5364127506</v>
      </c>
      <c r="R50" s="23">
        <f>R47-R48+R49</f>
        <v>1344949.515978594</v>
      </c>
      <c r="S50" s="23">
        <f>S47-S48+S49</f>
        <v>1461520.710707381</v>
      </c>
      <c r="T50" s="23">
        <f>T47-T48+T49</f>
        <v>1582368.6519203794</v>
      </c>
      <c r="U50" s="23">
        <f>U47-U48+U49</f>
        <v>1703024.5412080218</v>
      </c>
      <c r="V50" s="23">
        <f>V47-V48+V49</f>
        <v>1820004.920135687</v>
      </c>
      <c r="W50" s="23">
        <f>W47-W48+W49</f>
        <v>1832960.5792444383</v>
      </c>
      <c r="X50" s="23">
        <f>X47-X48+X49</f>
        <v>1952452.4840942107</v>
      </c>
      <c r="Y50" s="23">
        <f>Y47-Y48+Y49</f>
        <v>3262101.922194229</v>
      </c>
      <c r="Z50" s="23">
        <f>Z47-Z48+Z49</f>
        <v>3245428.8959404724</v>
      </c>
      <c r="AA50" s="23">
        <f>AA47-AA48+AA49</f>
        <v>3300516.2643818287</v>
      </c>
      <c r="AB50" s="23">
        <f>AB47-AB48+AB49</f>
        <v>3360563.7635839735</v>
      </c>
      <c r="AC50" s="23">
        <f>AC47-AC48+AC49</f>
        <v>3420403.849693592</v>
      </c>
      <c r="AD50" s="23">
        <f>AD47-AD48+AD49</f>
        <v>3486612.4277893924</v>
      </c>
      <c r="AE50" s="23">
        <f>AE47-AE48+AE49</f>
        <v>2184286.936258025</v>
      </c>
    </row>
    <row r="51">
      <c r="A51" s="6" t="inlineStr">
        <is>
          <t xml:space="preserve">Cash held back under the lock-up, used for a shortfall</t>
        </is>
      </c>
      <c r="B51" s="10" t="inlineStr">
        <is>
          <t xml:space="preserve">€</t>
        </is>
      </c>
      <c r="F51" s="23">
        <f>IF(AND(F50&lt;0,E80&gt;0),MIN(E80,-F50),0)</f>
        <v>0</v>
      </c>
      <c r="G51" s="23">
        <f>IF(AND(G50&lt;0,F80&gt;0),MIN(F80,-G50),0)</f>
        <v>0</v>
      </c>
      <c r="H51" s="23">
        <f>IF(AND(H50&lt;0,G80&gt;0),MIN(G80,-H50),0)</f>
        <v>0</v>
      </c>
      <c r="I51" s="23">
        <f>IF(AND(I50&lt;0,H80&gt;0),MIN(H80,-I50),0)</f>
        <v>0</v>
      </c>
      <c r="J51" s="23">
        <f>IF(AND(J50&lt;0,I80&gt;0),MIN(I80,-J50),0)</f>
        <v>0</v>
      </c>
      <c r="K51" s="23">
        <f>IF(AND(K50&lt;0,J80&gt;0),MIN(J80,-K50),0)</f>
        <v>0</v>
      </c>
      <c r="L51" s="23">
        <f>IF(AND(L50&lt;0,K80&gt;0),MIN(K80,-L50),0)</f>
        <v>0</v>
      </c>
      <c r="M51" s="23">
        <f>IF(AND(M50&lt;0,L80&gt;0),MIN(L80,-M50),0)</f>
        <v>0</v>
      </c>
      <c r="N51" s="23">
        <f>IF(AND(N50&lt;0,M80&gt;0),MIN(M80,-N50),0)</f>
        <v>0</v>
      </c>
      <c r="O51" s="23">
        <f>IF(AND(O50&lt;0,N80&gt;0),MIN(N80,-O50),0)</f>
        <v>0</v>
      </c>
      <c r="P51" s="23">
        <f>IF(AND(P50&lt;0,O80&gt;0),MIN(O80,-P50),0)</f>
        <v>0</v>
      </c>
      <c r="Q51" s="23">
        <f>IF(AND(Q50&lt;0,P80&gt;0),MIN(P80,-Q50),0)</f>
        <v>0</v>
      </c>
      <c r="R51" s="23">
        <f>IF(AND(R50&lt;0,Q80&gt;0),MIN(Q80,-R50),0)</f>
        <v>0</v>
      </c>
      <c r="S51" s="23">
        <f>IF(AND(S50&lt;0,R80&gt;0),MIN(R80,-S50),0)</f>
        <v>0</v>
      </c>
      <c r="T51" s="23">
        <f>IF(AND(T50&lt;0,S80&gt;0),MIN(S80,-T50),0)</f>
        <v>0</v>
      </c>
      <c r="U51" s="23">
        <f>IF(AND(U50&lt;0,T80&gt;0),MIN(T80,-U50),0)</f>
        <v>0</v>
      </c>
      <c r="V51" s="23">
        <f>IF(AND(V50&lt;0,U80&gt;0),MIN(U80,-V50),0)</f>
        <v>0</v>
      </c>
      <c r="W51" s="23">
        <f>IF(AND(W50&lt;0,V80&gt;0),MIN(V80,-W50),0)</f>
        <v>0</v>
      </c>
      <c r="X51" s="23">
        <f>IF(AND(X50&lt;0,W80&gt;0),MIN(W80,-X50),0)</f>
        <v>0</v>
      </c>
      <c r="Y51" s="23">
        <f>IF(AND(Y50&lt;0,X80&gt;0),MIN(X80,-Y50),0)</f>
        <v>0</v>
      </c>
      <c r="Z51" s="23">
        <f>IF(AND(Z50&lt;0,Y80&gt;0),MIN(Y80,-Z50),0)</f>
        <v>0</v>
      </c>
      <c r="AA51" s="23">
        <f>IF(AND(AA50&lt;0,Z80&gt;0),MIN(Z80,-AA50),0)</f>
        <v>0</v>
      </c>
      <c r="AB51" s="23">
        <f>IF(AND(AB50&lt;0,AA80&gt;0),MIN(AA80,-AB50),0)</f>
        <v>0</v>
      </c>
      <c r="AC51" s="23">
        <f>IF(AND(AC50&lt;0,AB80&gt;0),MIN(AB80,-AC50),0)</f>
        <v>0</v>
      </c>
      <c r="AD51" s="23">
        <f>IF(AND(AD50&lt;0,AC80&gt;0),MIN(AC80,-AD50),0)</f>
        <v>0</v>
      </c>
      <c r="AE51" s="23">
        <f>IF(AND(AE50&lt;0,AD80&gt;0),MIN(AD80,-AE50),0)</f>
        <v>0</v>
      </c>
    </row>
    <row r="52">
      <c r="A52" s="6" t="inlineStr">
        <is>
          <t xml:space="preserve">Cash after that</t>
        </is>
      </c>
      <c r="B52" s="10" t="inlineStr">
        <is>
          <t xml:space="preserve">€</t>
        </is>
      </c>
      <c r="F52" s="23">
        <f>F50+F51</f>
        <v>1267942.8763883635</v>
      </c>
      <c r="G52" s="23">
        <f>G50+G51</f>
        <v>1648449.0887856437</v>
      </c>
      <c r="H52" s="23">
        <f>H50+H51</f>
        <v>319896.9583269162</v>
      </c>
      <c r="I52" s="23">
        <f>I50+I51</f>
        <v>421187.0422443743</v>
      </c>
      <c r="J52" s="23">
        <f>J50+J51</f>
        <v>535564.3984625097</v>
      </c>
      <c r="K52" s="23">
        <f>K50+K51</f>
        <v>647853.7521158992</v>
      </c>
      <c r="L52" s="23">
        <f>L50+L51</f>
        <v>763902.8249641401</v>
      </c>
      <c r="M52" s="23">
        <f>M50+M51</f>
        <v>879836.9766153079</v>
      </c>
      <c r="N52" s="23">
        <f>N50+N51</f>
        <v>997687.1228534211</v>
      </c>
      <c r="O52" s="23">
        <f>O50+O51</f>
        <v>1113292.1086795405</v>
      </c>
      <c r="P52" s="23">
        <f>P50+P51</f>
        <v>1108882.0730523653</v>
      </c>
      <c r="Q52" s="23">
        <f>Q50+Q51</f>
        <v>1225913.5364127506</v>
      </c>
      <c r="R52" s="23">
        <f>R50+R51</f>
        <v>1344949.515978594</v>
      </c>
      <c r="S52" s="23">
        <f>S50+S51</f>
        <v>1461520.710707381</v>
      </c>
      <c r="T52" s="23">
        <f>T50+T51</f>
        <v>1582368.6519203794</v>
      </c>
      <c r="U52" s="23">
        <f>U50+U51</f>
        <v>1703024.5412080218</v>
      </c>
      <c r="V52" s="23">
        <f>V50+V51</f>
        <v>1820004.920135687</v>
      </c>
      <c r="W52" s="23">
        <f>W50+W51</f>
        <v>1832960.5792444383</v>
      </c>
      <c r="X52" s="23">
        <f>X50+X51</f>
        <v>1952452.4840942107</v>
      </c>
      <c r="Y52" s="23">
        <f>Y50+Y51</f>
        <v>3262101.922194229</v>
      </c>
      <c r="Z52" s="23">
        <f>Z50+Z51</f>
        <v>3245428.8959404724</v>
      </c>
      <c r="AA52" s="23">
        <f>AA50+AA51</f>
        <v>3300516.2643818287</v>
      </c>
      <c r="AB52" s="23">
        <f>AB50+AB51</f>
        <v>3360563.7635839735</v>
      </c>
      <c r="AC52" s="23">
        <f>AC50+AC51</f>
        <v>3420403.849693592</v>
      </c>
      <c r="AD52" s="23">
        <f>AD50+AD51</f>
        <v>3486612.4277893924</v>
      </c>
      <c r="AE52" s="23">
        <f>AE50+AE51</f>
        <v>2184286.936258025</v>
      </c>
    </row>
    <row r="53">
      <c r="A53" s="6" t="inlineStr">
        <is>
          <t xml:space="preserve">DSRA at the start</t>
        </is>
      </c>
      <c r="B53" s="10" t="inlineStr">
        <is>
          <t xml:space="preserve">€</t>
        </is>
      </c>
      <c r="F53" s="23">
        <f>E78</f>
        <v>573287.0601285857</v>
      </c>
      <c r="G53" s="23">
        <f>F78</f>
        <v>573287.0601285857</v>
      </c>
      <c r="H53" s="23">
        <f>G78</f>
        <v>573287.0601285857</v>
      </c>
      <c r="I53" s="23">
        <f>H78</f>
        <v>557054.2618926666</v>
      </c>
      <c r="J53" s="23">
        <f>I78</f>
        <v>540821.4636567476</v>
      </c>
      <c r="K53" s="23">
        <f>J78</f>
        <v>524588.6654208285</v>
      </c>
      <c r="L53" s="23">
        <f>K78</f>
        <v>508355.8671849094</v>
      </c>
      <c r="M53" s="23">
        <f>L78</f>
        <v>492123.06894899043</v>
      </c>
      <c r="N53" s="23">
        <f>M78</f>
        <v>475890.27071307134</v>
      </c>
      <c r="O53" s="23">
        <f>N78</f>
        <v>459657.47247715236</v>
      </c>
      <c r="P53" s="23">
        <f>O78</f>
        <v>443424.67424123327</v>
      </c>
      <c r="Q53" s="23">
        <f>P78</f>
        <v>427191.87600531423</v>
      </c>
      <c r="R53" s="23">
        <f>Q78</f>
        <v>410959.07776939514</v>
      </c>
      <c r="S53" s="23">
        <f>R78</f>
        <v>394726.2795334761</v>
      </c>
      <c r="T53" s="23">
        <f>S78</f>
        <v>378493.48129755707</v>
      </c>
      <c r="U53" s="23">
        <f>T78</f>
        <v>362260.68306163803</v>
      </c>
      <c r="V53" s="23">
        <f>U78</f>
        <v>346027.88482571894</v>
      </c>
      <c r="W53" s="23">
        <f>V78</f>
        <v>329795.0865897999</v>
      </c>
      <c r="X53" s="23">
        <f>W78</f>
        <v>313562.2883538849</v>
      </c>
      <c r="Y53" s="23">
        <f>X78</f>
        <v>0</v>
      </c>
      <c r="Z53" s="23">
        <f>Y78</f>
        <v>0</v>
      </c>
      <c r="AA53" s="23">
        <f>Z78</f>
        <v>0</v>
      </c>
      <c r="AB53" s="23">
        <f>AA78</f>
        <v>0</v>
      </c>
      <c r="AC53" s="23">
        <f>AB78</f>
        <v>0</v>
      </c>
      <c r="AD53" s="23">
        <f>AC78</f>
        <v>0</v>
      </c>
      <c r="AE53" s="23">
        <f>AD78</f>
        <v>0</v>
      </c>
    </row>
    <row r="54">
      <c r="A54" s="6" t="inlineStr">
        <is>
          <t xml:space="preserve">DSRA target</t>
        </is>
      </c>
      <c r="B54" s="10" t="inlineStr">
        <is>
          <t xml:space="preserve">€</t>
        </is>
      </c>
      <c r="F54" s="45">
        <f>Debt!F14</f>
        <v>573287.0601285857</v>
      </c>
      <c r="G54" s="45">
        <f>Debt!G14</f>
        <v>573287.0601285857</v>
      </c>
      <c r="H54" s="45">
        <f>Debt!H14</f>
        <v>557054.2618926666</v>
      </c>
      <c r="I54" s="45">
        <f>Debt!I14</f>
        <v>540821.4636567476</v>
      </c>
      <c r="J54" s="45">
        <f>Debt!J14</f>
        <v>524588.6654208285</v>
      </c>
      <c r="K54" s="45">
        <f>Debt!K14</f>
        <v>508355.8671849094</v>
      </c>
      <c r="L54" s="45">
        <f>Debt!L14</f>
        <v>492123.06894899043</v>
      </c>
      <c r="M54" s="45">
        <f>Debt!M14</f>
        <v>475890.27071307134</v>
      </c>
      <c r="N54" s="45">
        <f>Debt!N14</f>
        <v>459657.47247715236</v>
      </c>
      <c r="O54" s="45">
        <f>Debt!O14</f>
        <v>443424.67424123327</v>
      </c>
      <c r="P54" s="45">
        <f>Debt!P14</f>
        <v>427191.87600531423</v>
      </c>
      <c r="Q54" s="45">
        <f>Debt!Q14</f>
        <v>410959.07776939514</v>
      </c>
      <c r="R54" s="45">
        <f>Debt!R14</f>
        <v>394726.2795334761</v>
      </c>
      <c r="S54" s="45">
        <f>Debt!S14</f>
        <v>378493.48129755707</v>
      </c>
      <c r="T54" s="45">
        <f>Debt!T14</f>
        <v>362260.68306163803</v>
      </c>
      <c r="U54" s="45">
        <f>Debt!U14</f>
        <v>346027.88482571894</v>
      </c>
      <c r="V54" s="45">
        <f>Debt!V14</f>
        <v>329795.0865897999</v>
      </c>
      <c r="W54" s="45">
        <f>Debt!W14</f>
        <v>313562.2883538849</v>
      </c>
      <c r="X54" s="45">
        <f>Debt!X14</f>
        <v>0</v>
      </c>
      <c r="Y54" s="45">
        <f>Debt!Y14</f>
        <v>0</v>
      </c>
      <c r="Z54" s="45">
        <f>Debt!Z14</f>
        <v>0</v>
      </c>
      <c r="AA54" s="45">
        <f>Debt!AA14</f>
        <v>0</v>
      </c>
      <c r="AB54" s="45">
        <f>Debt!AB14</f>
        <v>0</v>
      </c>
      <c r="AC54" s="45">
        <f>Debt!AC14</f>
        <v>0</v>
      </c>
      <c r="AD54" s="45">
        <f>Debt!AD14</f>
        <v>0</v>
      </c>
      <c r="AE54" s="45">
        <f>Debt!AE14</f>
        <v>0</v>
      </c>
    </row>
    <row r="55">
      <c r="A55" s="6" t="inlineStr">
        <is>
          <t xml:space="preserve">DSRA top-up from surplus cash</t>
        </is>
      </c>
      <c r="B55" s="10" t="inlineStr">
        <is>
          <t xml:space="preserve">€</t>
        </is>
      </c>
      <c r="F55" s="23">
        <f>IF(F54&gt;F53,MIN(F54-F53,MAX(0,F52)),0)</f>
        <v>0</v>
      </c>
      <c r="G55" s="23">
        <f>IF(G54&gt;G53,MIN(G54-G53,MAX(0,G52)),0)</f>
        <v>0</v>
      </c>
      <c r="H55" s="23">
        <f>IF(H54&gt;H53,MIN(H54-H53,MAX(0,H52)),0)</f>
        <v>0</v>
      </c>
      <c r="I55" s="23">
        <f>IF(I54&gt;I53,MIN(I54-I53,MAX(0,I52)),0)</f>
        <v>0</v>
      </c>
      <c r="J55" s="23">
        <f>IF(J54&gt;J53,MIN(J54-J53,MAX(0,J52)),0)</f>
        <v>0</v>
      </c>
      <c r="K55" s="23">
        <f>IF(K54&gt;K53,MIN(K54-K53,MAX(0,K52)),0)</f>
        <v>0</v>
      </c>
      <c r="L55" s="23">
        <f>IF(L54&gt;L53,MIN(L54-L53,MAX(0,L52)),0)</f>
        <v>0</v>
      </c>
      <c r="M55" s="23">
        <f>IF(M54&gt;M53,MIN(M54-M53,MAX(0,M52)),0)</f>
        <v>0</v>
      </c>
      <c r="N55" s="23">
        <f>IF(N54&gt;N53,MIN(N54-N53,MAX(0,N52)),0)</f>
        <v>0</v>
      </c>
      <c r="O55" s="23">
        <f>IF(O54&gt;O53,MIN(O54-O53,MAX(0,O52)),0)</f>
        <v>0</v>
      </c>
      <c r="P55" s="23">
        <f>IF(P54&gt;P53,MIN(P54-P53,MAX(0,P52)),0)</f>
        <v>0</v>
      </c>
      <c r="Q55" s="23">
        <f>IF(Q54&gt;Q53,MIN(Q54-Q53,MAX(0,Q52)),0)</f>
        <v>0</v>
      </c>
      <c r="R55" s="23">
        <f>IF(R54&gt;R53,MIN(R54-R53,MAX(0,R52)),0)</f>
        <v>0</v>
      </c>
      <c r="S55" s="23">
        <f>IF(S54&gt;S53,MIN(S54-S53,MAX(0,S52)),0)</f>
        <v>0</v>
      </c>
      <c r="T55" s="23">
        <f>IF(T54&gt;T53,MIN(T54-T53,MAX(0,T52)),0)</f>
        <v>0</v>
      </c>
      <c r="U55" s="23">
        <f>IF(U54&gt;U53,MIN(U54-U53,MAX(0,U52)),0)</f>
        <v>0</v>
      </c>
      <c r="V55" s="23">
        <f>IF(V54&gt;V53,MIN(V54-V53,MAX(0,V52)),0)</f>
        <v>0</v>
      </c>
      <c r="W55" s="23">
        <f>IF(W54&gt;W53,MIN(W54-W53,MAX(0,W52)),0)</f>
        <v>0</v>
      </c>
      <c r="X55" s="23">
        <f>IF(X54&gt;X53,MIN(X54-X53,MAX(0,X52)),0)</f>
        <v>0</v>
      </c>
      <c r="Y55" s="23">
        <f>IF(Y54&gt;Y53,MIN(Y54-Y53,MAX(0,Y52)),0)</f>
        <v>0</v>
      </c>
      <c r="Z55" s="23">
        <f>IF(Z54&gt;Z53,MIN(Z54-Z53,MAX(0,Z52)),0)</f>
        <v>0</v>
      </c>
      <c r="AA55" s="23">
        <f>IF(AA54&gt;AA53,MIN(AA54-AA53,MAX(0,AA52)),0)</f>
        <v>0</v>
      </c>
      <c r="AB55" s="23">
        <f>IF(AB54&gt;AB53,MIN(AB54-AB53,MAX(0,AB52)),0)</f>
        <v>0</v>
      </c>
      <c r="AC55" s="23">
        <f>IF(AC54&gt;AC53,MIN(AC54-AC53,MAX(0,AC52)),0)</f>
        <v>0</v>
      </c>
      <c r="AD55" s="23">
        <f>IF(AD54&gt;AD53,MIN(AD54-AD53,MAX(0,AD52)),0)</f>
        <v>0</v>
      </c>
      <c r="AE55" s="23">
        <f>IF(AE54&gt;AE53,MIN(AE54-AE53,MAX(0,AE52)),0)</f>
        <v>0</v>
      </c>
    </row>
    <row r="56">
      <c r="A56" s="6" t="inlineStr">
        <is>
          <t xml:space="preserve">DSRA release above the target</t>
        </is>
      </c>
      <c r="B56" s="10" t="inlineStr">
        <is>
          <t xml:space="preserve">€</t>
        </is>
      </c>
      <c r="F56" s="23">
        <f>IF(F54&gt;F53,0,F53-F54)</f>
        <v>0</v>
      </c>
      <c r="G56" s="23">
        <f>IF(G54&gt;G53,0,G53-G54)</f>
        <v>0</v>
      </c>
      <c r="H56" s="23">
        <f>IF(H54&gt;H53,0,H53-H54)</f>
        <v>16232.798235919094</v>
      </c>
      <c r="I56" s="23">
        <f>IF(I54&gt;I53,0,I53-I54)</f>
        <v>16232.798235918977</v>
      </c>
      <c r="J56" s="23">
        <f>IF(J54&gt;J53,0,J53-J54)</f>
        <v>16232.798235919094</v>
      </c>
      <c r="K56" s="23">
        <f>IF(K54&gt;K53,0,K53-K54)</f>
        <v>16232.798235919094</v>
      </c>
      <c r="L56" s="23">
        <f>IF(L54&gt;L53,0,L53-L54)</f>
        <v>16232.798235918977</v>
      </c>
      <c r="M56" s="23">
        <f>IF(M54&gt;M53,0,M53-M54)</f>
        <v>16232.798235919094</v>
      </c>
      <c r="N56" s="23">
        <f>IF(N54&gt;N53,0,N53-N54)</f>
        <v>16232.798235918977</v>
      </c>
      <c r="O56" s="23">
        <f>IF(O54&gt;O53,0,O53-O54)</f>
        <v>16232.798235919094</v>
      </c>
      <c r="P56" s="23">
        <f>IF(P54&gt;P53,0,P53-P54)</f>
        <v>16232.798235919036</v>
      </c>
      <c r="Q56" s="23">
        <f>IF(Q54&gt;Q53,0,Q53-Q54)</f>
        <v>16232.798235919094</v>
      </c>
      <c r="R56" s="23">
        <f>IF(R54&gt;R53,0,R53-R54)</f>
        <v>16232.798235919036</v>
      </c>
      <c r="S56" s="23">
        <f>IF(S54&gt;S53,0,S53-S54)</f>
        <v>16232.798235919036</v>
      </c>
      <c r="T56" s="23">
        <f>IF(T54&gt;T53,0,T53-T54)</f>
        <v>16232.798235919036</v>
      </c>
      <c r="U56" s="23">
        <f>IF(U54&gt;U53,0,U53-U54)</f>
        <v>16232.798235919094</v>
      </c>
      <c r="V56" s="23">
        <f>IF(V54&gt;V53,0,V53-V54)</f>
        <v>16232.798235919036</v>
      </c>
      <c r="W56" s="23">
        <f>IF(W54&gt;W53,0,W53-W54)</f>
        <v>16232.79823591502</v>
      </c>
      <c r="X56" s="23">
        <f>IF(X54&gt;X53,0,X53-X54)</f>
        <v>313562.2883538849</v>
      </c>
      <c r="Y56" s="23">
        <f>IF(Y54&gt;Y53,0,Y53-Y54)</f>
        <v>0</v>
      </c>
      <c r="Z56" s="23">
        <f>IF(Z54&gt;Z53,0,Z53-Z54)</f>
        <v>0</v>
      </c>
      <c r="AA56" s="23">
        <f>IF(AA54&gt;AA53,0,AA53-AA54)</f>
        <v>0</v>
      </c>
      <c r="AB56" s="23">
        <f>IF(AB54&gt;AB53,0,AB53-AB54)</f>
        <v>0</v>
      </c>
      <c r="AC56" s="23">
        <f>IF(AC54&gt;AC53,0,AC53-AC54)</f>
        <v>0</v>
      </c>
      <c r="AD56" s="23">
        <f>IF(AD54&gt;AD53,0,AD53-AD54)</f>
        <v>0</v>
      </c>
      <c r="AE56" s="23">
        <f>IF(AE54&gt;AE53,0,AE53-AE54)</f>
        <v>0</v>
      </c>
    </row>
    <row r="57">
      <c r="A57" s="6" t="inlineStr">
        <is>
          <t xml:space="preserve">Cash after DSRA top-up and release</t>
        </is>
      </c>
      <c r="B57" s="10" t="inlineStr">
        <is>
          <t xml:space="preserve">€</t>
        </is>
      </c>
      <c r="F57" s="23">
        <f>F52-F55+F56</f>
        <v>1267942.8763883635</v>
      </c>
      <c r="G57" s="23">
        <f>G52-G55+G56</f>
        <v>1648449.0887856437</v>
      </c>
      <c r="H57" s="23">
        <f>H52-H55+H56</f>
        <v>336129.7565628353</v>
      </c>
      <c r="I57" s="23">
        <f>I52-I55+I56</f>
        <v>437419.84048029326</v>
      </c>
      <c r="J57" s="23">
        <f>J52-J55+J56</f>
        <v>551797.1966984288</v>
      </c>
      <c r="K57" s="23">
        <f>K52-K55+K56</f>
        <v>664086.5503518183</v>
      </c>
      <c r="L57" s="23">
        <f>L52-L55+L56</f>
        <v>780135.623200059</v>
      </c>
      <c r="M57" s="23">
        <f>M52-M55+M56</f>
        <v>896069.774851227</v>
      </c>
      <c r="N57" s="23">
        <f>N52-N55+N56</f>
        <v>1013919.9210893401</v>
      </c>
      <c r="O57" s="23">
        <f>O52-O55+O56</f>
        <v>1129524.9069154595</v>
      </c>
      <c r="P57" s="23">
        <f>P52-P55+P56</f>
        <v>1125114.8712882844</v>
      </c>
      <c r="Q57" s="23">
        <f>Q52-Q55+Q56</f>
        <v>1242146.3346486697</v>
      </c>
      <c r="R57" s="23">
        <f>R52-R55+R56</f>
        <v>1361182.3142145132</v>
      </c>
      <c r="S57" s="23">
        <f>S52-S55+S56</f>
        <v>1477753.5089433</v>
      </c>
      <c r="T57" s="23">
        <f>T52-T55+T56</f>
        <v>1598601.4501562985</v>
      </c>
      <c r="U57" s="23">
        <f>U52-U55+U56</f>
        <v>1719257.339443941</v>
      </c>
      <c r="V57" s="23">
        <f>V52-V55+V56</f>
        <v>1836237.7183716062</v>
      </c>
      <c r="W57" s="23">
        <f>W52-W55+W56</f>
        <v>1849193.3774803532</v>
      </c>
      <c r="X57" s="23">
        <f>X52-X55+X56</f>
        <v>2266014.7724480955</v>
      </c>
      <c r="Y57" s="23">
        <f>Y52-Y55+Y56</f>
        <v>3262101.922194229</v>
      </c>
      <c r="Z57" s="23">
        <f>Z52-Z55+Z56</f>
        <v>3245428.8959404724</v>
      </c>
      <c r="AA57" s="23">
        <f>AA52-AA55+AA56</f>
        <v>3300516.2643818287</v>
      </c>
      <c r="AB57" s="23">
        <f>AB52-AB55+AB56</f>
        <v>3360563.7635839735</v>
      </c>
      <c r="AC57" s="23">
        <f>AC52-AC55+AC56</f>
        <v>3420403.849693592</v>
      </c>
      <c r="AD57" s="23">
        <f>AD52-AD55+AD56</f>
        <v>3486612.4277893924</v>
      </c>
      <c r="AE57" s="23">
        <f>AE52-AE55+AE56</f>
        <v>2184286.936258025</v>
      </c>
    </row>
    <row r="58">
      <c r="A58" s="6" t="inlineStr">
        <is>
          <t xml:space="preserve">DSRA drawn for a shortfall</t>
        </is>
      </c>
      <c r="B58" s="10" t="inlineStr">
        <is>
          <t xml:space="preserve">€</t>
        </is>
      </c>
      <c r="F58" s="23">
        <f>IF(F57&lt;0,MIN(F53+F55-F56,-F57),0)</f>
        <v>0</v>
      </c>
      <c r="G58" s="23">
        <f>IF(G57&lt;0,MIN(G53+G55-G56,-G57),0)</f>
        <v>0</v>
      </c>
      <c r="H58" s="23">
        <f>IF(H57&lt;0,MIN(H53+H55-H56,-H57),0)</f>
        <v>0</v>
      </c>
      <c r="I58" s="23">
        <f>IF(I57&lt;0,MIN(I53+I55-I56,-I57),0)</f>
        <v>0</v>
      </c>
      <c r="J58" s="23">
        <f>IF(J57&lt;0,MIN(J53+J55-J56,-J57),0)</f>
        <v>0</v>
      </c>
      <c r="K58" s="23">
        <f>IF(K57&lt;0,MIN(K53+K55-K56,-K57),0)</f>
        <v>0</v>
      </c>
      <c r="L58" s="23">
        <f>IF(L57&lt;0,MIN(L53+L55-L56,-L57),0)</f>
        <v>0</v>
      </c>
      <c r="M58" s="23">
        <f>IF(M57&lt;0,MIN(M53+M55-M56,-M57),0)</f>
        <v>0</v>
      </c>
      <c r="N58" s="23">
        <f>IF(N57&lt;0,MIN(N53+N55-N56,-N57),0)</f>
        <v>0</v>
      </c>
      <c r="O58" s="23">
        <f>IF(O57&lt;0,MIN(O53+O55-O56,-O57),0)</f>
        <v>0</v>
      </c>
      <c r="P58" s="23">
        <f>IF(P57&lt;0,MIN(P53+P55-P56,-P57),0)</f>
        <v>0</v>
      </c>
      <c r="Q58" s="23">
        <f>IF(Q57&lt;0,MIN(Q53+Q55-Q56,-Q57),0)</f>
        <v>0</v>
      </c>
      <c r="R58" s="23">
        <f>IF(R57&lt;0,MIN(R53+R55-R56,-R57),0)</f>
        <v>0</v>
      </c>
      <c r="S58" s="23">
        <f>IF(S57&lt;0,MIN(S53+S55-S56,-S57),0)</f>
        <v>0</v>
      </c>
      <c r="T58" s="23">
        <f>IF(T57&lt;0,MIN(T53+T55-T56,-T57),0)</f>
        <v>0</v>
      </c>
      <c r="U58" s="23">
        <f>IF(U57&lt;0,MIN(U53+U55-U56,-U57),0)</f>
        <v>0</v>
      </c>
      <c r="V58" s="23">
        <f>IF(V57&lt;0,MIN(V53+V55-V56,-V57),0)</f>
        <v>0</v>
      </c>
      <c r="W58" s="23">
        <f>IF(W57&lt;0,MIN(W53+W55-W56,-W57),0)</f>
        <v>0</v>
      </c>
      <c r="X58" s="23">
        <f>IF(X57&lt;0,MIN(X53+X55-X56,-X57),0)</f>
        <v>0</v>
      </c>
      <c r="Y58" s="23">
        <f>IF(Y57&lt;0,MIN(Y53+Y55-Y56,-Y57),0)</f>
        <v>0</v>
      </c>
      <c r="Z58" s="23">
        <f>IF(Z57&lt;0,MIN(Z53+Z55-Z56,-Z57),0)</f>
        <v>0</v>
      </c>
      <c r="AA58" s="23">
        <f>IF(AA57&lt;0,MIN(AA53+AA55-AA56,-AA57),0)</f>
        <v>0</v>
      </c>
      <c r="AB58" s="23">
        <f>IF(AB57&lt;0,MIN(AB53+AB55-AB56,-AB57),0)</f>
        <v>0</v>
      </c>
      <c r="AC58" s="23">
        <f>IF(AC57&lt;0,MIN(AC53+AC55-AC56,-AC57),0)</f>
        <v>0</v>
      </c>
      <c r="AD58" s="23">
        <f>IF(AD57&lt;0,MIN(AD53+AD55-AD56,-AD57),0)</f>
        <v>0</v>
      </c>
      <c r="AE58" s="23">
        <f>IF(AE57&lt;0,MIN(AE53+AE55-AE56,-AE57),0)</f>
        <v>0</v>
      </c>
    </row>
    <row r="59">
      <c r="A59" s="6" t="inlineStr">
        <is>
          <t xml:space="preserve">Cash after the DSRA</t>
        </is>
      </c>
      <c r="B59" s="10" t="inlineStr">
        <is>
          <t xml:space="preserve">€</t>
        </is>
      </c>
      <c r="F59" s="23">
        <f>F57+F58</f>
        <v>1267942.8763883635</v>
      </c>
      <c r="G59" s="23">
        <f>G57+G58</f>
        <v>1648449.0887856437</v>
      </c>
      <c r="H59" s="23">
        <f>H57+H58</f>
        <v>336129.7565628353</v>
      </c>
      <c r="I59" s="23">
        <f>I57+I58</f>
        <v>437419.84048029326</v>
      </c>
      <c r="J59" s="23">
        <f>J57+J58</f>
        <v>551797.1966984288</v>
      </c>
      <c r="K59" s="23">
        <f>K57+K58</f>
        <v>664086.5503518183</v>
      </c>
      <c r="L59" s="23">
        <f>L57+L58</f>
        <v>780135.623200059</v>
      </c>
      <c r="M59" s="23">
        <f>M57+M58</f>
        <v>896069.774851227</v>
      </c>
      <c r="N59" s="23">
        <f>N57+N58</f>
        <v>1013919.9210893401</v>
      </c>
      <c r="O59" s="23">
        <f>O57+O58</f>
        <v>1129524.9069154595</v>
      </c>
      <c r="P59" s="23">
        <f>P57+P58</f>
        <v>1125114.8712882844</v>
      </c>
      <c r="Q59" s="23">
        <f>Q57+Q58</f>
        <v>1242146.3346486697</v>
      </c>
      <c r="R59" s="23">
        <f>R57+R58</f>
        <v>1361182.3142145132</v>
      </c>
      <c r="S59" s="23">
        <f>S57+S58</f>
        <v>1477753.5089433</v>
      </c>
      <c r="T59" s="23">
        <f>T57+T58</f>
        <v>1598601.4501562985</v>
      </c>
      <c r="U59" s="23">
        <f>U57+U58</f>
        <v>1719257.339443941</v>
      </c>
      <c r="V59" s="23">
        <f>V57+V58</f>
        <v>1836237.7183716062</v>
      </c>
      <c r="W59" s="23">
        <f>W57+W58</f>
        <v>1849193.3774803532</v>
      </c>
      <c r="X59" s="23">
        <f>X57+X58</f>
        <v>2266014.7724480955</v>
      </c>
      <c r="Y59" s="23">
        <f>Y57+Y58</f>
        <v>3262101.922194229</v>
      </c>
      <c r="Z59" s="23">
        <f>Z57+Z58</f>
        <v>3245428.8959404724</v>
      </c>
      <c r="AA59" s="23">
        <f>AA57+AA58</f>
        <v>3300516.2643818287</v>
      </c>
      <c r="AB59" s="23">
        <f>AB57+AB58</f>
        <v>3360563.7635839735</v>
      </c>
      <c r="AC59" s="23">
        <f>AC57+AC58</f>
        <v>3420403.849693592</v>
      </c>
      <c r="AD59" s="23">
        <f>AD57+AD58</f>
        <v>3486612.4277893924</v>
      </c>
      <c r="AE59" s="23">
        <f>AE57+AE58</f>
        <v>2184286.936258025</v>
      </c>
    </row>
    <row r="60">
      <c r="A60" s="6" t="inlineStr">
        <is>
          <t xml:space="preserve">Reserve instalments still to pay</t>
        </is>
      </c>
      <c r="F60" s="23">
        <f>E64</f>
        <v>6</v>
      </c>
      <c r="G60" s="23">
        <f>F64</f>
        <v>6</v>
      </c>
      <c r="H60" s="23">
        <f>G64</f>
        <v>6</v>
      </c>
      <c r="I60" s="23">
        <f>H64</f>
        <v>6</v>
      </c>
      <c r="J60" s="23">
        <f>I64</f>
        <v>6</v>
      </c>
      <c r="K60" s="23">
        <f>J64</f>
        <v>6</v>
      </c>
      <c r="L60" s="23">
        <f>K64</f>
        <v>6</v>
      </c>
      <c r="M60" s="23">
        <f>L64</f>
        <v>6</v>
      </c>
      <c r="N60" s="23">
        <f>M64</f>
        <v>6</v>
      </c>
      <c r="O60" s="23">
        <f>N64</f>
        <v>6</v>
      </c>
      <c r="P60" s="23">
        <f>O64</f>
        <v>6</v>
      </c>
      <c r="Q60" s="23">
        <f>P64</f>
        <v>6</v>
      </c>
      <c r="R60" s="23">
        <f>Q64</f>
        <v>6</v>
      </c>
      <c r="S60" s="23">
        <f>R64</f>
        <v>6</v>
      </c>
      <c r="T60" s="23">
        <f>S64</f>
        <v>6</v>
      </c>
      <c r="U60" s="23">
        <f>T64</f>
        <v>6</v>
      </c>
      <c r="V60" s="23">
        <f>U64</f>
        <v>6</v>
      </c>
      <c r="W60" s="23">
        <f>V64</f>
        <v>6</v>
      </c>
      <c r="X60" s="23">
        <f>W64</f>
        <v>6</v>
      </c>
      <c r="Y60" s="23">
        <f>X64</f>
        <v>6</v>
      </c>
      <c r="Z60" s="23">
        <f>Y64</f>
        <v>6</v>
      </c>
      <c r="AA60" s="23">
        <f>Z64</f>
        <v>5</v>
      </c>
      <c r="AB60" s="23">
        <f>AA64</f>
        <v>4</v>
      </c>
      <c r="AC60" s="23">
        <f>AB64</f>
        <v>3</v>
      </c>
      <c r="AD60" s="23">
        <f>AC64</f>
        <v>2</v>
      </c>
      <c r="AE60" s="23">
        <f>AD64</f>
        <v>1</v>
      </c>
    </row>
    <row r="61">
      <c r="A61" s="6" t="inlineStr">
        <is>
          <t xml:space="preserve">Decommissioning reserve at the start</t>
        </is>
      </c>
      <c r="B61" s="10" t="inlineStr">
        <is>
          <t xml:space="preserve">€</t>
        </is>
      </c>
      <c r="E61" s="9">
        <v>0</v>
      </c>
      <c r="F61" s="23">
        <f>E79</f>
        <v>0</v>
      </c>
      <c r="G61" s="23">
        <f>F79</f>
        <v>0</v>
      </c>
      <c r="H61" s="23">
        <f>G79</f>
        <v>0</v>
      </c>
      <c r="I61" s="23">
        <f>H79</f>
        <v>0</v>
      </c>
      <c r="J61" s="23">
        <f>I79</f>
        <v>0</v>
      </c>
      <c r="K61" s="23">
        <f>J79</f>
        <v>0</v>
      </c>
      <c r="L61" s="23">
        <f>K79</f>
        <v>0</v>
      </c>
      <c r="M61" s="23">
        <f>L79</f>
        <v>0</v>
      </c>
      <c r="N61" s="23">
        <f>M79</f>
        <v>0</v>
      </c>
      <c r="O61" s="23">
        <f>N79</f>
        <v>0</v>
      </c>
      <c r="P61" s="23">
        <f>O79</f>
        <v>0</v>
      </c>
      <c r="Q61" s="23">
        <f>P79</f>
        <v>0</v>
      </c>
      <c r="R61" s="23">
        <f>Q79</f>
        <v>0</v>
      </c>
      <c r="S61" s="23">
        <f>R79</f>
        <v>0</v>
      </c>
      <c r="T61" s="23">
        <f>S79</f>
        <v>0</v>
      </c>
      <c r="U61" s="23">
        <f>T79</f>
        <v>0</v>
      </c>
      <c r="V61" s="23">
        <f>U79</f>
        <v>0</v>
      </c>
      <c r="W61" s="23">
        <f>V79</f>
        <v>0</v>
      </c>
      <c r="X61" s="23">
        <f>W79</f>
        <v>0</v>
      </c>
      <c r="Y61" s="23">
        <f>X79</f>
        <v>0</v>
      </c>
      <c r="Z61" s="23">
        <f>Y79</f>
        <v>0</v>
      </c>
      <c r="AA61" s="23">
        <f>Z79</f>
        <v>450690.3190348829</v>
      </c>
      <c r="AB61" s="23">
        <f>AA79</f>
        <v>901380.6380697659</v>
      </c>
      <c r="AC61" s="23">
        <f>AB79</f>
        <v>1352070.9571046487</v>
      </c>
      <c r="AD61" s="23">
        <f>AC79</f>
        <v>1802761.2761395315</v>
      </c>
      <c r="AE61" s="23">
        <f>AD79</f>
        <v>2253451.5951744146</v>
      </c>
    </row>
    <row r="62">
      <c r="A62" s="6" t="inlineStr">
        <is>
          <t xml:space="preserve">Planned reserve instalment</t>
        </is>
      </c>
      <c r="B62" s="10" t="inlineStr">
        <is>
          <t xml:space="preserve">€</t>
        </is>
      </c>
      <c r="F62" s="23">
        <f>IF(F60&gt;0,(Timing!$C$34-F61)/F60,0)</f>
        <v>450690.3190348829</v>
      </c>
      <c r="G62" s="23">
        <f>IF(G60&gt;0,(Timing!$C$34-G61)/G60,0)</f>
        <v>450690.3190348829</v>
      </c>
      <c r="H62" s="23">
        <f>IF(H60&gt;0,(Timing!$C$34-H61)/H60,0)</f>
        <v>450690.3190348829</v>
      </c>
      <c r="I62" s="23">
        <f>IF(I60&gt;0,(Timing!$C$34-I61)/I60,0)</f>
        <v>450690.3190348829</v>
      </c>
      <c r="J62" s="23">
        <f>IF(J60&gt;0,(Timing!$C$34-J61)/J60,0)</f>
        <v>450690.3190348829</v>
      </c>
      <c r="K62" s="23">
        <f>IF(K60&gt;0,(Timing!$C$34-K61)/K60,0)</f>
        <v>450690.3190348829</v>
      </c>
      <c r="L62" s="23">
        <f>IF(L60&gt;0,(Timing!$C$34-L61)/L60,0)</f>
        <v>450690.3190348829</v>
      </c>
      <c r="M62" s="23">
        <f>IF(M60&gt;0,(Timing!$C$34-M61)/M60,0)</f>
        <v>450690.3190348829</v>
      </c>
      <c r="N62" s="23">
        <f>IF(N60&gt;0,(Timing!$C$34-N61)/N60,0)</f>
        <v>450690.3190348829</v>
      </c>
      <c r="O62" s="23">
        <f>IF(O60&gt;0,(Timing!$C$34-O61)/O60,0)</f>
        <v>450690.3190348829</v>
      </c>
      <c r="P62" s="23">
        <f>IF(P60&gt;0,(Timing!$C$34-P61)/P60,0)</f>
        <v>450690.3190348829</v>
      </c>
      <c r="Q62" s="23">
        <f>IF(Q60&gt;0,(Timing!$C$34-Q61)/Q60,0)</f>
        <v>450690.3190348829</v>
      </c>
      <c r="R62" s="23">
        <f>IF(R60&gt;0,(Timing!$C$34-R61)/R60,0)</f>
        <v>450690.3190348829</v>
      </c>
      <c r="S62" s="23">
        <f>IF(S60&gt;0,(Timing!$C$34-S61)/S60,0)</f>
        <v>450690.3190348829</v>
      </c>
      <c r="T62" s="23">
        <f>IF(T60&gt;0,(Timing!$C$34-T61)/T60,0)</f>
        <v>450690.3190348829</v>
      </c>
      <c r="U62" s="23">
        <f>IF(U60&gt;0,(Timing!$C$34-U61)/U60,0)</f>
        <v>450690.3190348829</v>
      </c>
      <c r="V62" s="23">
        <f>IF(V60&gt;0,(Timing!$C$34-V61)/V60,0)</f>
        <v>450690.3190348829</v>
      </c>
      <c r="W62" s="23">
        <f>IF(W60&gt;0,(Timing!$C$34-W61)/W60,0)</f>
        <v>450690.3190348829</v>
      </c>
      <c r="X62" s="23">
        <f>IF(X60&gt;0,(Timing!$C$34-X61)/X60,0)</f>
        <v>450690.3190348829</v>
      </c>
      <c r="Y62" s="23">
        <f>IF(Y60&gt;0,(Timing!$C$34-Y61)/Y60,0)</f>
        <v>450690.3190348829</v>
      </c>
      <c r="Z62" s="23">
        <f>IF(Z60&gt;0,(Timing!$C$34-Z61)/Z60,0)</f>
        <v>450690.3190348829</v>
      </c>
      <c r="AA62" s="23">
        <f>IF(AA60&gt;0,(Timing!$C$34-AA61)/AA60,0)</f>
        <v>450690.31903488294</v>
      </c>
      <c r="AB62" s="23">
        <f>IF(AB60&gt;0,(Timing!$C$34-AB61)/AB60,0)</f>
        <v>450690.3190348829</v>
      </c>
      <c r="AC62" s="23">
        <f>IF(AC60&gt;0,(Timing!$C$34-AC61)/AC60,0)</f>
        <v>450690.3190348829</v>
      </c>
      <c r="AD62" s="23">
        <f>IF(AD60&gt;0,(Timing!$C$34-AD61)/AD60,0)</f>
        <v>450690.31903488294</v>
      </c>
      <c r="AE62" s="23">
        <f>IF(AE60&gt;0,(Timing!$C$34-AE61)/AE60,0)</f>
        <v>450690.3190348828</v>
      </c>
    </row>
    <row r="63">
      <c r="A63" s="6" t="inlineStr">
        <is>
          <t xml:space="preserve">Paid into the reserve</t>
        </is>
      </c>
      <c r="B63" s="10" t="inlineStr">
        <is>
          <t xml:space="preserve">€</t>
        </is>
      </c>
      <c r="F63" s="23">
        <f>IF(AND(Timing!F81=1,F60&gt;0),IF(Timing!F72=1,Timing!$C$34-F61,MIN(MAX(0,F59),F62)),0)</f>
        <v>0</v>
      </c>
      <c r="G63" s="23">
        <f>IF(AND(Timing!G81=1,G60&gt;0),IF(Timing!G72=1,Timing!$C$34-G61,MIN(MAX(0,G59),G62)),0)</f>
        <v>0</v>
      </c>
      <c r="H63" s="23">
        <f>IF(AND(Timing!H81=1,H60&gt;0),IF(Timing!H72=1,Timing!$C$34-H61,MIN(MAX(0,H59),H62)),0)</f>
        <v>0</v>
      </c>
      <c r="I63" s="23">
        <f>IF(AND(Timing!I81=1,I60&gt;0),IF(Timing!I72=1,Timing!$C$34-I61,MIN(MAX(0,I59),I62)),0)</f>
        <v>0</v>
      </c>
      <c r="J63" s="23">
        <f>IF(AND(Timing!J81=1,J60&gt;0),IF(Timing!J72=1,Timing!$C$34-J61,MIN(MAX(0,J59),J62)),0)</f>
        <v>0</v>
      </c>
      <c r="K63" s="23">
        <f>IF(AND(Timing!K81=1,K60&gt;0),IF(Timing!K72=1,Timing!$C$34-K61,MIN(MAX(0,K59),K62)),0)</f>
        <v>0</v>
      </c>
      <c r="L63" s="23">
        <f>IF(AND(Timing!L81=1,L60&gt;0),IF(Timing!L72=1,Timing!$C$34-L61,MIN(MAX(0,L59),L62)),0)</f>
        <v>0</v>
      </c>
      <c r="M63" s="23">
        <f>IF(AND(Timing!M81=1,M60&gt;0),IF(Timing!M72=1,Timing!$C$34-M61,MIN(MAX(0,M59),M62)),0)</f>
        <v>0</v>
      </c>
      <c r="N63" s="23">
        <f>IF(AND(Timing!N81=1,N60&gt;0),IF(Timing!N72=1,Timing!$C$34-N61,MIN(MAX(0,N59),N62)),0)</f>
        <v>0</v>
      </c>
      <c r="O63" s="23">
        <f>IF(AND(Timing!O81=1,O60&gt;0),IF(Timing!O72=1,Timing!$C$34-O61,MIN(MAX(0,O59),O62)),0)</f>
        <v>0</v>
      </c>
      <c r="P63" s="23">
        <f>IF(AND(Timing!P81=1,P60&gt;0),IF(Timing!P72=1,Timing!$C$34-P61,MIN(MAX(0,P59),P62)),0)</f>
        <v>0</v>
      </c>
      <c r="Q63" s="23">
        <f>IF(AND(Timing!Q81=1,Q60&gt;0),IF(Timing!Q72=1,Timing!$C$34-Q61,MIN(MAX(0,Q59),Q62)),0)</f>
        <v>0</v>
      </c>
      <c r="R63" s="23">
        <f>IF(AND(Timing!R81=1,R60&gt;0),IF(Timing!R72=1,Timing!$C$34-R61,MIN(MAX(0,R59),R62)),0)</f>
        <v>0</v>
      </c>
      <c r="S63" s="23">
        <f>IF(AND(Timing!S81=1,S60&gt;0),IF(Timing!S72=1,Timing!$C$34-S61,MIN(MAX(0,S59),S62)),0)</f>
        <v>0</v>
      </c>
      <c r="T63" s="23">
        <f>IF(AND(Timing!T81=1,T60&gt;0),IF(Timing!T72=1,Timing!$C$34-T61,MIN(MAX(0,T59),T62)),0)</f>
        <v>0</v>
      </c>
      <c r="U63" s="23">
        <f>IF(AND(Timing!U81=1,U60&gt;0),IF(Timing!U72=1,Timing!$C$34-U61,MIN(MAX(0,U59),U62)),0)</f>
        <v>0</v>
      </c>
      <c r="V63" s="23">
        <f>IF(AND(Timing!V81=1,V60&gt;0),IF(Timing!V72=1,Timing!$C$34-V61,MIN(MAX(0,V59),V62)),0)</f>
        <v>0</v>
      </c>
      <c r="W63" s="23">
        <f>IF(AND(Timing!W81=1,W60&gt;0),IF(Timing!W72=1,Timing!$C$34-W61,MIN(MAX(0,W59),W62)),0)</f>
        <v>0</v>
      </c>
      <c r="X63" s="23">
        <f>IF(AND(Timing!X81=1,X60&gt;0),IF(Timing!X72=1,Timing!$C$34-X61,MIN(MAX(0,X59),X62)),0)</f>
        <v>0</v>
      </c>
      <c r="Y63" s="23">
        <f>IF(AND(Timing!Y81=1,Y60&gt;0),IF(Timing!Y72=1,Timing!$C$34-Y61,MIN(MAX(0,Y59),Y62)),0)</f>
        <v>0</v>
      </c>
      <c r="Z63" s="23">
        <f>IF(AND(Timing!Z81=1,Z60&gt;0),IF(Timing!Z72=1,Timing!$C$34-Z61,MIN(MAX(0,Z59),Z62)),0)</f>
        <v>450690.3190348829</v>
      </c>
      <c r="AA63" s="23">
        <f>IF(AND(Timing!AA81=1,AA60&gt;0),IF(Timing!AA72=1,Timing!$C$34-AA61,MIN(MAX(0,AA59),AA62)),0)</f>
        <v>450690.31903488294</v>
      </c>
      <c r="AB63" s="23">
        <f>IF(AND(Timing!AB81=1,AB60&gt;0),IF(Timing!AB72=1,Timing!$C$34-AB61,MIN(MAX(0,AB59),AB62)),0)</f>
        <v>450690.3190348829</v>
      </c>
      <c r="AC63" s="23">
        <f>IF(AND(Timing!AC81=1,AC60&gt;0),IF(Timing!AC72=1,Timing!$C$34-AC61,MIN(MAX(0,AC59),AC62)),0)</f>
        <v>450690.3190348829</v>
      </c>
      <c r="AD63" s="23">
        <f>IF(AND(Timing!AD81=1,AD60&gt;0),IF(Timing!AD72=1,Timing!$C$34-AD61,MIN(MAX(0,AD59),AD62)),0)</f>
        <v>450690.31903488294</v>
      </c>
      <c r="AE63" s="23">
        <f>IF(AND(Timing!AE81=1,AE60&gt;0),IF(Timing!AE72=1,Timing!$C$34-AE61,MIN(MAX(0,AE59),AE62)),0)</f>
        <v>450690.3190348828</v>
      </c>
    </row>
    <row r="64">
      <c r="A64" s="6" t="inlineStr">
        <is>
          <t xml:space="preserve">Reserve instalments left</t>
        </is>
      </c>
      <c r="E64" s="23">
        <f>SUM(Timing!$F$81:$AE$81)</f>
        <v>6</v>
      </c>
      <c r="F64" s="23">
        <f>F60-IF(AND(Timing!F81=1,F60&gt;0),1,0)</f>
        <v>6</v>
      </c>
      <c r="G64" s="23">
        <f>G60-IF(AND(Timing!G81=1,G60&gt;0),1,0)</f>
        <v>6</v>
      </c>
      <c r="H64" s="23">
        <f>H60-IF(AND(Timing!H81=1,H60&gt;0),1,0)</f>
        <v>6</v>
      </c>
      <c r="I64" s="23">
        <f>I60-IF(AND(Timing!I81=1,I60&gt;0),1,0)</f>
        <v>6</v>
      </c>
      <c r="J64" s="23">
        <f>J60-IF(AND(Timing!J81=1,J60&gt;0),1,0)</f>
        <v>6</v>
      </c>
      <c r="K64" s="23">
        <f>K60-IF(AND(Timing!K81=1,K60&gt;0),1,0)</f>
        <v>6</v>
      </c>
      <c r="L64" s="23">
        <f>L60-IF(AND(Timing!L81=1,L60&gt;0),1,0)</f>
        <v>6</v>
      </c>
      <c r="M64" s="23">
        <f>M60-IF(AND(Timing!M81=1,M60&gt;0),1,0)</f>
        <v>6</v>
      </c>
      <c r="N64" s="23">
        <f>N60-IF(AND(Timing!N81=1,N60&gt;0),1,0)</f>
        <v>6</v>
      </c>
      <c r="O64" s="23">
        <f>O60-IF(AND(Timing!O81=1,O60&gt;0),1,0)</f>
        <v>6</v>
      </c>
      <c r="P64" s="23">
        <f>P60-IF(AND(Timing!P81=1,P60&gt;0),1,0)</f>
        <v>6</v>
      </c>
      <c r="Q64" s="23">
        <f>Q60-IF(AND(Timing!Q81=1,Q60&gt;0),1,0)</f>
        <v>6</v>
      </c>
      <c r="R64" s="23">
        <f>R60-IF(AND(Timing!R81=1,R60&gt;0),1,0)</f>
        <v>6</v>
      </c>
      <c r="S64" s="23">
        <f>S60-IF(AND(Timing!S81=1,S60&gt;0),1,0)</f>
        <v>6</v>
      </c>
      <c r="T64" s="23">
        <f>T60-IF(AND(Timing!T81=1,T60&gt;0),1,0)</f>
        <v>6</v>
      </c>
      <c r="U64" s="23">
        <f>U60-IF(AND(Timing!U81=1,U60&gt;0),1,0)</f>
        <v>6</v>
      </c>
      <c r="V64" s="23">
        <f>V60-IF(AND(Timing!V81=1,V60&gt;0),1,0)</f>
        <v>6</v>
      </c>
      <c r="W64" s="23">
        <f>W60-IF(AND(Timing!W81=1,W60&gt;0),1,0)</f>
        <v>6</v>
      </c>
      <c r="X64" s="23">
        <f>X60-IF(AND(Timing!X81=1,X60&gt;0),1,0)</f>
        <v>6</v>
      </c>
      <c r="Y64" s="23">
        <f>Y60-IF(AND(Timing!Y81=1,Y60&gt;0),1,0)</f>
        <v>6</v>
      </c>
      <c r="Z64" s="23">
        <f>Z60-IF(AND(Timing!Z81=1,Z60&gt;0),1,0)</f>
        <v>5</v>
      </c>
      <c r="AA64" s="23">
        <f>AA60-IF(AND(Timing!AA81=1,AA60&gt;0),1,0)</f>
        <v>4</v>
      </c>
      <c r="AB64" s="23">
        <f>AB60-IF(AND(Timing!AB81=1,AB60&gt;0),1,0)</f>
        <v>3</v>
      </c>
      <c r="AC64" s="23">
        <f>AC60-IF(AND(Timing!AC81=1,AC60&gt;0),1,0)</f>
        <v>2</v>
      </c>
      <c r="AD64" s="23">
        <f>AD60-IF(AND(Timing!AD81=1,AD60&gt;0),1,0)</f>
        <v>1</v>
      </c>
      <c r="AE64" s="23">
        <f>AE60-IF(AND(Timing!AE81=1,AE60&gt;0),1,0)</f>
        <v>0</v>
      </c>
    </row>
    <row r="65">
      <c r="A65" s="6" t="inlineStr">
        <is>
          <t xml:space="preserve">Cash after the reserve</t>
        </is>
      </c>
      <c r="B65" s="10" t="inlineStr">
        <is>
          <t xml:space="preserve">€</t>
        </is>
      </c>
      <c r="F65" s="23">
        <f>F59-F63</f>
        <v>1267942.8763883635</v>
      </c>
      <c r="G65" s="23">
        <f>G59-G63</f>
        <v>1648449.0887856437</v>
      </c>
      <c r="H65" s="23">
        <f>H59-H63</f>
        <v>336129.7565628353</v>
      </c>
      <c r="I65" s="23">
        <f>I59-I63</f>
        <v>437419.84048029326</v>
      </c>
      <c r="J65" s="23">
        <f>J59-J63</f>
        <v>551797.1966984288</v>
      </c>
      <c r="K65" s="23">
        <f>K59-K63</f>
        <v>664086.5503518183</v>
      </c>
      <c r="L65" s="23">
        <f>L59-L63</f>
        <v>780135.623200059</v>
      </c>
      <c r="M65" s="23">
        <f>M59-M63</f>
        <v>896069.774851227</v>
      </c>
      <c r="N65" s="23">
        <f>N59-N63</f>
        <v>1013919.9210893401</v>
      </c>
      <c r="O65" s="23">
        <f>O59-O63</f>
        <v>1129524.9069154595</v>
      </c>
      <c r="P65" s="23">
        <f>P59-P63</f>
        <v>1125114.8712882844</v>
      </c>
      <c r="Q65" s="23">
        <f>Q59-Q63</f>
        <v>1242146.3346486697</v>
      </c>
      <c r="R65" s="23">
        <f>R59-R63</f>
        <v>1361182.3142145132</v>
      </c>
      <c r="S65" s="23">
        <f>S59-S63</f>
        <v>1477753.5089433</v>
      </c>
      <c r="T65" s="23">
        <f>T59-T63</f>
        <v>1598601.4501562985</v>
      </c>
      <c r="U65" s="23">
        <f>U59-U63</f>
        <v>1719257.339443941</v>
      </c>
      <c r="V65" s="23">
        <f>V59-V63</f>
        <v>1836237.7183716062</v>
      </c>
      <c r="W65" s="23">
        <f>W59-W63</f>
        <v>1849193.3774803532</v>
      </c>
      <c r="X65" s="23">
        <f>X59-X63</f>
        <v>2266014.7724480955</v>
      </c>
      <c r="Y65" s="23">
        <f>Y59-Y63</f>
        <v>3262101.922194229</v>
      </c>
      <c r="Z65" s="23">
        <f>Z59-Z63</f>
        <v>2794738.5769055896</v>
      </c>
      <c r="AA65" s="23">
        <f>AA59-AA63</f>
        <v>2849825.945346946</v>
      </c>
      <c r="AB65" s="23">
        <f>AB59-AB63</f>
        <v>2909873.4445490907</v>
      </c>
      <c r="AC65" s="23">
        <f>AC59-AC63</f>
        <v>2969713.5306587094</v>
      </c>
      <c r="AD65" s="23">
        <f>AD59-AD63</f>
        <v>3035922.1087545096</v>
      </c>
      <c r="AE65" s="23">
        <f>AE59-AE63</f>
        <v>1733596.6172231422</v>
      </c>
    </row>
    <row r="66">
      <c r="A66" s="6" t="inlineStr">
        <is>
          <t xml:space="preserve">Decommissioning paid</t>
        </is>
      </c>
      <c r="B66" s="10" t="inlineStr">
        <is>
          <t xml:space="preserve">€</t>
        </is>
      </c>
      <c r="F66" s="23">
        <f>IF(Timing!F72=1,Timing!$C$34,0)</f>
        <v>0</v>
      </c>
      <c r="G66" s="23">
        <f>IF(Timing!G72=1,Timing!$C$34,0)</f>
        <v>0</v>
      </c>
      <c r="H66" s="23">
        <f>IF(Timing!H72=1,Timing!$C$34,0)</f>
        <v>0</v>
      </c>
      <c r="I66" s="23">
        <f>IF(Timing!I72=1,Timing!$C$34,0)</f>
        <v>0</v>
      </c>
      <c r="J66" s="23">
        <f>IF(Timing!J72=1,Timing!$C$34,0)</f>
        <v>0</v>
      </c>
      <c r="K66" s="23">
        <f>IF(Timing!K72=1,Timing!$C$34,0)</f>
        <v>0</v>
      </c>
      <c r="L66" s="23">
        <f>IF(Timing!L72=1,Timing!$C$34,0)</f>
        <v>0</v>
      </c>
      <c r="M66" s="23">
        <f>IF(Timing!M72=1,Timing!$C$34,0)</f>
        <v>0</v>
      </c>
      <c r="N66" s="23">
        <f>IF(Timing!N72=1,Timing!$C$34,0)</f>
        <v>0</v>
      </c>
      <c r="O66" s="23">
        <f>IF(Timing!O72=1,Timing!$C$34,0)</f>
        <v>0</v>
      </c>
      <c r="P66" s="23">
        <f>IF(Timing!P72=1,Timing!$C$34,0)</f>
        <v>0</v>
      </c>
      <c r="Q66" s="23">
        <f>IF(Timing!Q72=1,Timing!$C$34,0)</f>
        <v>0</v>
      </c>
      <c r="R66" s="23">
        <f>IF(Timing!R72=1,Timing!$C$34,0)</f>
        <v>0</v>
      </c>
      <c r="S66" s="23">
        <f>IF(Timing!S72=1,Timing!$C$34,0)</f>
        <v>0</v>
      </c>
      <c r="T66" s="23">
        <f>IF(Timing!T72=1,Timing!$C$34,0)</f>
        <v>0</v>
      </c>
      <c r="U66" s="23">
        <f>IF(Timing!U72=1,Timing!$C$34,0)</f>
        <v>0</v>
      </c>
      <c r="V66" s="23">
        <f>IF(Timing!V72=1,Timing!$C$34,0)</f>
        <v>0</v>
      </c>
      <c r="W66" s="23">
        <f>IF(Timing!W72=1,Timing!$C$34,0)</f>
        <v>0</v>
      </c>
      <c r="X66" s="23">
        <f>IF(Timing!X72=1,Timing!$C$34,0)</f>
        <v>0</v>
      </c>
      <c r="Y66" s="23">
        <f>IF(Timing!Y72=1,Timing!$C$34,0)</f>
        <v>0</v>
      </c>
      <c r="Z66" s="23">
        <f>IF(Timing!Z72=1,Timing!$C$34,0)</f>
        <v>0</v>
      </c>
      <c r="AA66" s="23">
        <f>IF(Timing!AA72=1,Timing!$C$34,0)</f>
        <v>0</v>
      </c>
      <c r="AB66" s="23">
        <f>IF(Timing!AB72=1,Timing!$C$34,0)</f>
        <v>0</v>
      </c>
      <c r="AC66" s="23">
        <f>IF(Timing!AC72=1,Timing!$C$34,0)</f>
        <v>0</v>
      </c>
      <c r="AD66" s="23">
        <f>IF(Timing!AD72=1,Timing!$C$34,0)</f>
        <v>0</v>
      </c>
      <c r="AE66" s="23">
        <f>IF(Timing!AE72=1,Timing!$C$34,0)</f>
        <v>2704141.9142092974</v>
      </c>
    </row>
    <row r="67">
      <c r="A67" s="41" t="inlineStr">
        <is>
          <t xml:space="preserve">DSCR</t>
        </is>
      </c>
      <c r="F67" s="47">
        <f>IF(F48&gt;=Inputs!$C$158,F47/F48,"")</f>
        <v>3.2973511405024127</v>
      </c>
      <c r="G67" s="47">
        <f>IF(G48&gt;=Inputs!$C$158,G47/G48,"")</f>
        <v>2.493389988107755</v>
      </c>
      <c r="H67" s="47">
        <f>IF(H48&gt;=Inputs!$C$158,H47/H48,"")</f>
        <v>1.1395012117730186</v>
      </c>
      <c r="I67" s="47">
        <f>IF(I48&gt;=Inputs!$C$158,I47/I48,"")</f>
        <v>1.1890242437125131</v>
      </c>
      <c r="J67" s="47">
        <f>IF(J48&gt;=Inputs!$C$158,J47/J48,"")</f>
        <v>1.2475698703049374</v>
      </c>
      <c r="K67" s="47">
        <f>IF(K48&gt;=Inputs!$C$158,K47/K48,"")</f>
        <v>1.3087436856818984</v>
      </c>
      <c r="L67" s="47">
        <f>IF(L48&gt;=Inputs!$C$158,L47/L48,"")</f>
        <v>1.3756732607387603</v>
      </c>
      <c r="M67" s="47">
        <f>IF(M48&gt;=Inputs!$C$158,M47/M48,"")</f>
        <v>1.4469598318639807</v>
      </c>
      <c r="N67" s="47">
        <f>IF(N48&gt;=Inputs!$C$158,N47/N48,"")</f>
        <v>1.5241161588355716</v>
      </c>
      <c r="O67" s="47">
        <f>IF(O48&gt;=Inputs!$C$158,O47/O48,"")</f>
        <v>1.605500930225211</v>
      </c>
      <c r="P67" s="47">
        <f>IF(P48&gt;=Inputs!$C$158,P47/P48,"")</f>
        <v>1.6251806323981803</v>
      </c>
      <c r="Q67" s="47">
        <f>IF(Q48&gt;=Inputs!$C$158,Q47/Q48,"")</f>
        <v>1.7174255909758338</v>
      </c>
      <c r="R67" s="47">
        <f>IF(R48&gt;=Inputs!$C$158,R47/R48,"")</f>
        <v>1.818177276481344</v>
      </c>
      <c r="S67" s="47">
        <f>IF(S48&gt;=Inputs!$C$158,S47/S48,"")</f>
        <v>1.9256545525894178</v>
      </c>
      <c r="T67" s="47">
        <f>IF(T48&gt;=Inputs!$C$158,T47/T48,"")</f>
        <v>2.045175630565472</v>
      </c>
      <c r="U67" s="47">
        <f>IF(U48&gt;=Inputs!$C$158,U47/U48,"")</f>
        <v>2.1752755824996988</v>
      </c>
      <c r="V67" s="47">
        <f>IF(V48&gt;=Inputs!$C$158,V47/V48,"")</f>
        <v>2.314926484214093</v>
      </c>
      <c r="W67" s="47">
        <f>IF(W48&gt;=Inputs!$C$158,W47/W48,"")</f>
        <v>2.3894692900051298</v>
      </c>
      <c r="X67" s="47">
        <f>IF(X48&gt;=Inputs!$C$158,X47/X48,"")</f>
        <v>2.556670362325812</v>
      </c>
      <c r="Y67" s="47" t="str">
        <f>IF(Y48&gt;=Inputs!$C$158,Y47/Y48,"")</f>
        <v/>
      </c>
      <c r="Z67" s="47" t="str">
        <f>IF(Z48&gt;=Inputs!$C$158,Z47/Z48,"")</f>
        <v/>
      </c>
      <c r="AA67" s="47" t="str">
        <f>IF(AA48&gt;=Inputs!$C$158,AA47/AA48,"")</f>
        <v/>
      </c>
      <c r="AB67" s="47" t="str">
        <f>IF(AB48&gt;=Inputs!$C$158,AB47/AB48,"")</f>
        <v/>
      </c>
      <c r="AC67" s="47" t="str">
        <f>IF(AC48&gt;=Inputs!$C$158,AC47/AC48,"")</f>
        <v/>
      </c>
      <c r="AD67" s="47" t="str">
        <f>IF(AD48&gt;=Inputs!$C$158,AD47/AD48,"")</f>
        <v/>
      </c>
      <c r="AE67" s="47" t="str">
        <f>IF(AE48&gt;=Inputs!$C$158,AE47/AE48,"")</f>
        <v/>
      </c>
    </row>
    <row r="68">
      <c r="A68" s="6" t="inlineStr">
        <is>
          <t xml:space="preserve">Lock-up (1 = distributions held back)</t>
        </is>
      </c>
      <c r="F68" s="23">
        <f>IF(F48&gt;=Inputs!$C$158,IF(AND(F47/F48&lt;Inputs!$C$81,Timing!F59&lt;=Timing!$C$23),1,0),0)</f>
        <v>0</v>
      </c>
      <c r="G68" s="23">
        <f>IF(G48&gt;=Inputs!$C$158,IF(AND(G47/G48&lt;Inputs!$C$81,Timing!G59&lt;=Timing!$C$23),1,0),0)</f>
        <v>0</v>
      </c>
      <c r="H68" s="23">
        <f>IF(H48&gt;=Inputs!$C$158,IF(AND(H47/H48&lt;Inputs!$C$81,Timing!H59&lt;=Timing!$C$23),1,0),0)</f>
        <v>0</v>
      </c>
      <c r="I68" s="23">
        <f>IF(I48&gt;=Inputs!$C$158,IF(AND(I47/I48&lt;Inputs!$C$81,Timing!I59&lt;=Timing!$C$23),1,0),0)</f>
        <v>0</v>
      </c>
      <c r="J68" s="23">
        <f>IF(J48&gt;=Inputs!$C$158,IF(AND(J47/J48&lt;Inputs!$C$81,Timing!J59&lt;=Timing!$C$23),1,0),0)</f>
        <v>0</v>
      </c>
      <c r="K68" s="23">
        <f>IF(K48&gt;=Inputs!$C$158,IF(AND(K47/K48&lt;Inputs!$C$81,Timing!K59&lt;=Timing!$C$23),1,0),0)</f>
        <v>0</v>
      </c>
      <c r="L68" s="23">
        <f>IF(L48&gt;=Inputs!$C$158,IF(AND(L47/L48&lt;Inputs!$C$81,Timing!L59&lt;=Timing!$C$23),1,0),0)</f>
        <v>0</v>
      </c>
      <c r="M68" s="23">
        <f>IF(M48&gt;=Inputs!$C$158,IF(AND(M47/M48&lt;Inputs!$C$81,Timing!M59&lt;=Timing!$C$23),1,0),0)</f>
        <v>0</v>
      </c>
      <c r="N68" s="23">
        <f>IF(N48&gt;=Inputs!$C$158,IF(AND(N47/N48&lt;Inputs!$C$81,Timing!N59&lt;=Timing!$C$23),1,0),0)</f>
        <v>0</v>
      </c>
      <c r="O68" s="23">
        <f>IF(O48&gt;=Inputs!$C$158,IF(AND(O47/O48&lt;Inputs!$C$81,Timing!O59&lt;=Timing!$C$23),1,0),0)</f>
        <v>0</v>
      </c>
      <c r="P68" s="23">
        <f>IF(P48&gt;=Inputs!$C$158,IF(AND(P47/P48&lt;Inputs!$C$81,Timing!P59&lt;=Timing!$C$23),1,0),0)</f>
        <v>0</v>
      </c>
      <c r="Q68" s="23">
        <f>IF(Q48&gt;=Inputs!$C$158,IF(AND(Q47/Q48&lt;Inputs!$C$81,Timing!Q59&lt;=Timing!$C$23),1,0),0)</f>
        <v>0</v>
      </c>
      <c r="R68" s="23">
        <f>IF(R48&gt;=Inputs!$C$158,IF(AND(R47/R48&lt;Inputs!$C$81,Timing!R59&lt;=Timing!$C$23),1,0),0)</f>
        <v>0</v>
      </c>
      <c r="S68" s="23">
        <f>IF(S48&gt;=Inputs!$C$158,IF(AND(S47/S48&lt;Inputs!$C$81,Timing!S59&lt;=Timing!$C$23),1,0),0)</f>
        <v>0</v>
      </c>
      <c r="T68" s="23">
        <f>IF(T48&gt;=Inputs!$C$158,IF(AND(T47/T48&lt;Inputs!$C$81,Timing!T59&lt;=Timing!$C$23),1,0),0)</f>
        <v>0</v>
      </c>
      <c r="U68" s="23">
        <f>IF(U48&gt;=Inputs!$C$158,IF(AND(U47/U48&lt;Inputs!$C$81,Timing!U59&lt;=Timing!$C$23),1,0),0)</f>
        <v>0</v>
      </c>
      <c r="V68" s="23">
        <f>IF(V48&gt;=Inputs!$C$158,IF(AND(V47/V48&lt;Inputs!$C$81,Timing!V59&lt;=Timing!$C$23),1,0),0)</f>
        <v>0</v>
      </c>
      <c r="W68" s="23">
        <f>IF(W48&gt;=Inputs!$C$158,IF(AND(W47/W48&lt;Inputs!$C$81,Timing!W59&lt;=Timing!$C$23),1,0),0)</f>
        <v>0</v>
      </c>
      <c r="X68" s="23">
        <f>IF(X48&gt;=Inputs!$C$158,IF(AND(X47/X48&lt;Inputs!$C$81,Timing!X59&lt;=Timing!$C$23),1,0),0)</f>
        <v>0</v>
      </c>
      <c r="Y68" s="23">
        <f>IF(Y48&gt;=Inputs!$C$158,IF(AND(Y47/Y48&lt;Inputs!$C$81,Timing!Y59&lt;=Timing!$C$23),1,0),0)</f>
        <v>0</v>
      </c>
      <c r="Z68" s="23">
        <f>IF(Z48&gt;=Inputs!$C$158,IF(AND(Z47/Z48&lt;Inputs!$C$81,Timing!Z59&lt;=Timing!$C$23),1,0),0)</f>
        <v>0</v>
      </c>
      <c r="AA68" s="23">
        <f>IF(AA48&gt;=Inputs!$C$158,IF(AND(AA47/AA48&lt;Inputs!$C$81,Timing!AA59&lt;=Timing!$C$23),1,0),0)</f>
        <v>0</v>
      </c>
      <c r="AB68" s="23">
        <f>IF(AB48&gt;=Inputs!$C$158,IF(AND(AB47/AB48&lt;Inputs!$C$81,Timing!AB59&lt;=Timing!$C$23),1,0),0)</f>
        <v>0</v>
      </c>
      <c r="AC68" s="23">
        <f>IF(AC48&gt;=Inputs!$C$158,IF(AND(AC47/AC48&lt;Inputs!$C$81,Timing!AC59&lt;=Timing!$C$23),1,0),0)</f>
        <v>0</v>
      </c>
      <c r="AD68" s="23">
        <f>IF(AD48&gt;=Inputs!$C$158,IF(AND(AD47/AD48&lt;Inputs!$C$81,Timing!AD59&lt;=Timing!$C$23),1,0),0)</f>
        <v>0</v>
      </c>
      <c r="AE68" s="23">
        <f>IF(AE48&gt;=Inputs!$C$158,IF(AND(AE47/AE48&lt;Inputs!$C$81,Timing!AE59&lt;=Timing!$C$23),1,0),0)</f>
        <v>0</v>
      </c>
    </row>
    <row r="69">
      <c r="A69" s="6" t="inlineStr">
        <is>
          <t xml:space="preserve">Cash held back, after use for a shortfall</t>
        </is>
      </c>
      <c r="B69" s="10" t="inlineStr">
        <is>
          <t xml:space="preserve">€</t>
        </is>
      </c>
      <c r="F69" s="23">
        <f>E80-F51</f>
        <v>0</v>
      </c>
      <c r="G69" s="23">
        <f>F80-G51</f>
        <v>0</v>
      </c>
      <c r="H69" s="23">
        <f>G80-H51</f>
        <v>0</v>
      </c>
      <c r="I69" s="23">
        <f>H80-I51</f>
        <v>0</v>
      </c>
      <c r="J69" s="23">
        <f>I80-J51</f>
        <v>0</v>
      </c>
      <c r="K69" s="23">
        <f>J80-K51</f>
        <v>0</v>
      </c>
      <c r="L69" s="23">
        <f>K80-L51</f>
        <v>0</v>
      </c>
      <c r="M69" s="23">
        <f>L80-M51</f>
        <v>0</v>
      </c>
      <c r="N69" s="23">
        <f>M80-N51</f>
        <v>0</v>
      </c>
      <c r="O69" s="23">
        <f>N80-O51</f>
        <v>0</v>
      </c>
      <c r="P69" s="23">
        <f>O80-P51</f>
        <v>0</v>
      </c>
      <c r="Q69" s="23">
        <f>P80-Q51</f>
        <v>0</v>
      </c>
      <c r="R69" s="23">
        <f>Q80-R51</f>
        <v>0</v>
      </c>
      <c r="S69" s="23">
        <f>R80-S51</f>
        <v>0</v>
      </c>
      <c r="T69" s="23">
        <f>S80-T51</f>
        <v>0</v>
      </c>
      <c r="U69" s="23">
        <f>T80-U51</f>
        <v>0</v>
      </c>
      <c r="V69" s="23">
        <f>U80-V51</f>
        <v>0</v>
      </c>
      <c r="W69" s="23">
        <f>V80-W51</f>
        <v>0</v>
      </c>
      <c r="X69" s="23">
        <f>W80-X51</f>
        <v>0</v>
      </c>
      <c r="Y69" s="23">
        <f>X80-Y51</f>
        <v>0</v>
      </c>
      <c r="Z69" s="23">
        <f>Y80-Z51</f>
        <v>0</v>
      </c>
      <c r="AA69" s="23">
        <f>Z80-AA51</f>
        <v>0</v>
      </c>
      <c r="AB69" s="23">
        <f>AA80-AB51</f>
        <v>0</v>
      </c>
      <c r="AC69" s="23">
        <f>AB80-AC51</f>
        <v>0</v>
      </c>
      <c r="AD69" s="23">
        <f>AC80-AD51</f>
        <v>0</v>
      </c>
      <c r="AE69" s="23">
        <f>AD80-AE51</f>
        <v>0</v>
      </c>
    </row>
    <row r="70">
      <c r="A70" s="6" t="inlineStr">
        <is>
          <t xml:space="preserve">Held back this year</t>
        </is>
      </c>
      <c r="B70" s="10" t="inlineStr">
        <is>
          <t xml:space="preserve">€</t>
        </is>
      </c>
      <c r="F70" s="23">
        <f>IF(AND(F68=1,F65&gt;0),F65,0)</f>
        <v>0</v>
      </c>
      <c r="G70" s="23">
        <f>IF(AND(G68=1,G65&gt;0),G65,0)</f>
        <v>0</v>
      </c>
      <c r="H70" s="23">
        <f>IF(AND(H68=1,H65&gt;0),H65,0)</f>
        <v>0</v>
      </c>
      <c r="I70" s="23">
        <f>IF(AND(I68=1,I65&gt;0),I65,0)</f>
        <v>0</v>
      </c>
      <c r="J70" s="23">
        <f>IF(AND(J68=1,J65&gt;0),J65,0)</f>
        <v>0</v>
      </c>
      <c r="K70" s="23">
        <f>IF(AND(K68=1,K65&gt;0),K65,0)</f>
        <v>0</v>
      </c>
      <c r="L70" s="23">
        <f>IF(AND(L68=1,L65&gt;0),L65,0)</f>
        <v>0</v>
      </c>
      <c r="M70" s="23">
        <f>IF(AND(M68=1,M65&gt;0),M65,0)</f>
        <v>0</v>
      </c>
      <c r="N70" s="23">
        <f>IF(AND(N68=1,N65&gt;0),N65,0)</f>
        <v>0</v>
      </c>
      <c r="O70" s="23">
        <f>IF(AND(O68=1,O65&gt;0),O65,0)</f>
        <v>0</v>
      </c>
      <c r="P70" s="23">
        <f>IF(AND(P68=1,P65&gt;0),P65,0)</f>
        <v>0</v>
      </c>
      <c r="Q70" s="23">
        <f>IF(AND(Q68=1,Q65&gt;0),Q65,0)</f>
        <v>0</v>
      </c>
      <c r="R70" s="23">
        <f>IF(AND(R68=1,R65&gt;0),R65,0)</f>
        <v>0</v>
      </c>
      <c r="S70" s="23">
        <f>IF(AND(S68=1,S65&gt;0),S65,0)</f>
        <v>0</v>
      </c>
      <c r="T70" s="23">
        <f>IF(AND(T68=1,T65&gt;0),T65,0)</f>
        <v>0</v>
      </c>
      <c r="U70" s="23">
        <f>IF(AND(U68=1,U65&gt;0),U65,0)</f>
        <v>0</v>
      </c>
      <c r="V70" s="23">
        <f>IF(AND(V68=1,V65&gt;0),V65,0)</f>
        <v>0</v>
      </c>
      <c r="W70" s="23">
        <f>IF(AND(W68=1,W65&gt;0),W65,0)</f>
        <v>0</v>
      </c>
      <c r="X70" s="23">
        <f>IF(AND(X68=1,X65&gt;0),X65,0)</f>
        <v>0</v>
      </c>
      <c r="Y70" s="23">
        <f>IF(AND(Y68=1,Y65&gt;0),Y65,0)</f>
        <v>0</v>
      </c>
      <c r="Z70" s="23">
        <f>IF(AND(Z68=1,Z65&gt;0),Z65,0)</f>
        <v>0</v>
      </c>
      <c r="AA70" s="23">
        <f>IF(AND(AA68=1,AA65&gt;0),AA65,0)</f>
        <v>0</v>
      </c>
      <c r="AB70" s="23">
        <f>IF(AND(AB68=1,AB65&gt;0),AB65,0)</f>
        <v>0</v>
      </c>
      <c r="AC70" s="23">
        <f>IF(AND(AC68=1,AC65&gt;0),AC65,0)</f>
        <v>0</v>
      </c>
      <c r="AD70" s="23">
        <f>IF(AND(AD68=1,AD65&gt;0),AD65,0)</f>
        <v>0</v>
      </c>
      <c r="AE70" s="23">
        <f>IF(AND(AE68=1,AE65&gt;0),AE65,0)</f>
        <v>0</v>
      </c>
    </row>
    <row r="71">
      <c r="A71" s="6" t="inlineStr">
        <is>
          <t xml:space="preserve">Released after a lock-up</t>
        </is>
      </c>
      <c r="B71" s="10" t="inlineStr">
        <is>
          <t xml:space="preserve">€</t>
        </is>
      </c>
      <c r="F71" s="23">
        <f>IF(AND(F68=0,F69&gt;0),F69,0)</f>
        <v>0</v>
      </c>
      <c r="G71" s="23">
        <f>IF(AND(G68=0,G69&gt;0),G69,0)</f>
        <v>0</v>
      </c>
      <c r="H71" s="23">
        <f>IF(AND(H68=0,H69&gt;0),H69,0)</f>
        <v>0</v>
      </c>
      <c r="I71" s="23">
        <f>IF(AND(I68=0,I69&gt;0),I69,0)</f>
        <v>0</v>
      </c>
      <c r="J71" s="23">
        <f>IF(AND(J68=0,J69&gt;0),J69,0)</f>
        <v>0</v>
      </c>
      <c r="K71" s="23">
        <f>IF(AND(K68=0,K69&gt;0),K69,0)</f>
        <v>0</v>
      </c>
      <c r="L71" s="23">
        <f>IF(AND(L68=0,L69&gt;0),L69,0)</f>
        <v>0</v>
      </c>
      <c r="M71" s="23">
        <f>IF(AND(M68=0,M69&gt;0),M69,0)</f>
        <v>0</v>
      </c>
      <c r="N71" s="23">
        <f>IF(AND(N68=0,N69&gt;0),N69,0)</f>
        <v>0</v>
      </c>
      <c r="O71" s="23">
        <f>IF(AND(O68=0,O69&gt;0),O69,0)</f>
        <v>0</v>
      </c>
      <c r="P71" s="23">
        <f>IF(AND(P68=0,P69&gt;0),P69,0)</f>
        <v>0</v>
      </c>
      <c r="Q71" s="23">
        <f>IF(AND(Q68=0,Q69&gt;0),Q69,0)</f>
        <v>0</v>
      </c>
      <c r="R71" s="23">
        <f>IF(AND(R68=0,R69&gt;0),R69,0)</f>
        <v>0</v>
      </c>
      <c r="S71" s="23">
        <f>IF(AND(S68=0,S69&gt;0),S69,0)</f>
        <v>0</v>
      </c>
      <c r="T71" s="23">
        <f>IF(AND(T68=0,T69&gt;0),T69,0)</f>
        <v>0</v>
      </c>
      <c r="U71" s="23">
        <f>IF(AND(U68=0,U69&gt;0),U69,0)</f>
        <v>0</v>
      </c>
      <c r="V71" s="23">
        <f>IF(AND(V68=0,V69&gt;0),V69,0)</f>
        <v>0</v>
      </c>
      <c r="W71" s="23">
        <f>IF(AND(W68=0,W69&gt;0),W69,0)</f>
        <v>0</v>
      </c>
      <c r="X71" s="23">
        <f>IF(AND(X68=0,X69&gt;0),X69,0)</f>
        <v>0</v>
      </c>
      <c r="Y71" s="23">
        <f>IF(AND(Y68=0,Y69&gt;0),Y69,0)</f>
        <v>0</v>
      </c>
      <c r="Z71" s="23">
        <f>IF(AND(Z68=0,Z69&gt;0),Z69,0)</f>
        <v>0</v>
      </c>
      <c r="AA71" s="23">
        <f>IF(AND(AA68=0,AA69&gt;0),AA69,0)</f>
        <v>0</v>
      </c>
      <c r="AB71" s="23">
        <f>IF(AND(AB68=0,AB69&gt;0),AB69,0)</f>
        <v>0</v>
      </c>
      <c r="AC71" s="23">
        <f>IF(AND(AC68=0,AC69&gt;0),AC69,0)</f>
        <v>0</v>
      </c>
      <c r="AD71" s="23">
        <f>IF(AND(AD68=0,AD69&gt;0),AD69,0)</f>
        <v>0</v>
      </c>
      <c r="AE71" s="23">
        <f>IF(AND(AE68=0,AE69&gt;0),AE69,0)</f>
        <v>0</v>
      </c>
    </row>
    <row r="72">
      <c r="A72" s="6" t="inlineStr">
        <is>
          <t xml:space="preserve">Cash after the lock-up</t>
        </is>
      </c>
      <c r="B72" s="10" t="inlineStr">
        <is>
          <t xml:space="preserve">€</t>
        </is>
      </c>
      <c r="F72" s="23">
        <f>F65-F70+F71</f>
        <v>1267942.8763883635</v>
      </c>
      <c r="G72" s="23">
        <f>G65-G70+G71</f>
        <v>1648449.0887856437</v>
      </c>
      <c r="H72" s="23">
        <f>H65-H70+H71</f>
        <v>336129.7565628353</v>
      </c>
      <c r="I72" s="23">
        <f>I65-I70+I71</f>
        <v>437419.84048029326</v>
      </c>
      <c r="J72" s="23">
        <f>J65-J70+J71</f>
        <v>551797.1966984288</v>
      </c>
      <c r="K72" s="23">
        <f>K65-K70+K71</f>
        <v>664086.5503518183</v>
      </c>
      <c r="L72" s="23">
        <f>L65-L70+L71</f>
        <v>780135.623200059</v>
      </c>
      <c r="M72" s="23">
        <f>M65-M70+M71</f>
        <v>896069.774851227</v>
      </c>
      <c r="N72" s="23">
        <f>N65-N70+N71</f>
        <v>1013919.9210893401</v>
      </c>
      <c r="O72" s="23">
        <f>O65-O70+O71</f>
        <v>1129524.9069154595</v>
      </c>
      <c r="P72" s="23">
        <f>P65-P70+P71</f>
        <v>1125114.8712882844</v>
      </c>
      <c r="Q72" s="23">
        <f>Q65-Q70+Q71</f>
        <v>1242146.3346486697</v>
      </c>
      <c r="R72" s="23">
        <f>R65-R70+R71</f>
        <v>1361182.3142145132</v>
      </c>
      <c r="S72" s="23">
        <f>S65-S70+S71</f>
        <v>1477753.5089433</v>
      </c>
      <c r="T72" s="23">
        <f>T65-T70+T71</f>
        <v>1598601.4501562985</v>
      </c>
      <c r="U72" s="23">
        <f>U65-U70+U71</f>
        <v>1719257.339443941</v>
      </c>
      <c r="V72" s="23">
        <f>V65-V70+V71</f>
        <v>1836237.7183716062</v>
      </c>
      <c r="W72" s="23">
        <f>W65-W70+W71</f>
        <v>1849193.3774803532</v>
      </c>
      <c r="X72" s="23">
        <f>X65-X70+X71</f>
        <v>2266014.7724480955</v>
      </c>
      <c r="Y72" s="23">
        <f>Y65-Y70+Y71</f>
        <v>3262101.922194229</v>
      </c>
      <c r="Z72" s="23">
        <f>Z65-Z70+Z71</f>
        <v>2794738.5769055896</v>
      </c>
      <c r="AA72" s="23">
        <f>AA65-AA70+AA71</f>
        <v>2849825.945346946</v>
      </c>
      <c r="AB72" s="23">
        <f>AB65-AB70+AB71</f>
        <v>2909873.4445490907</v>
      </c>
      <c r="AC72" s="23">
        <f>AC65-AC70+AC71</f>
        <v>2969713.5306587094</v>
      </c>
      <c r="AD72" s="23">
        <f>AD65-AD70+AD71</f>
        <v>3035922.1087545096</v>
      </c>
      <c r="AE72" s="23">
        <f>AE65-AE70+AE71</f>
        <v>1733596.6172231422</v>
      </c>
    </row>
    <row r="73">
      <c r="A73" s="6" t="inlineStr">
        <is>
          <t xml:space="preserve">DSRA before the final release</t>
        </is>
      </c>
      <c r="B73" s="10" t="inlineStr">
        <is>
          <t xml:space="preserve">€</t>
        </is>
      </c>
      <c r="F73" s="23">
        <f>F53+F55-F56-F58</f>
        <v>573287.0601285857</v>
      </c>
      <c r="G73" s="23">
        <f>G53+G55-G56-G58</f>
        <v>573287.0601285857</v>
      </c>
      <c r="H73" s="23">
        <f>H53+H55-H56-H58</f>
        <v>557054.2618926666</v>
      </c>
      <c r="I73" s="23">
        <f>I53+I55-I56-I58</f>
        <v>540821.4636567476</v>
      </c>
      <c r="J73" s="23">
        <f>J53+J55-J56-J58</f>
        <v>524588.6654208285</v>
      </c>
      <c r="K73" s="23">
        <f>K53+K55-K56-K58</f>
        <v>508355.8671849094</v>
      </c>
      <c r="L73" s="23">
        <f>L53+L55-L56-L58</f>
        <v>492123.06894899043</v>
      </c>
      <c r="M73" s="23">
        <f>M53+M55-M56-M58</f>
        <v>475890.27071307134</v>
      </c>
      <c r="N73" s="23">
        <f>N53+N55-N56-N58</f>
        <v>459657.47247715236</v>
      </c>
      <c r="O73" s="23">
        <f>O53+O55-O56-O58</f>
        <v>443424.67424123327</v>
      </c>
      <c r="P73" s="23">
        <f>P53+P55-P56-P58</f>
        <v>427191.87600531423</v>
      </c>
      <c r="Q73" s="23">
        <f>Q53+Q55-Q56-Q58</f>
        <v>410959.07776939514</v>
      </c>
      <c r="R73" s="23">
        <f>R53+R55-R56-R58</f>
        <v>394726.2795334761</v>
      </c>
      <c r="S73" s="23">
        <f>S53+S55-S56-S58</f>
        <v>378493.48129755707</v>
      </c>
      <c r="T73" s="23">
        <f>T53+T55-T56-T58</f>
        <v>362260.68306163803</v>
      </c>
      <c r="U73" s="23">
        <f>U53+U55-U56-U58</f>
        <v>346027.88482571894</v>
      </c>
      <c r="V73" s="23">
        <f>V53+V55-V56-V58</f>
        <v>329795.0865897999</v>
      </c>
      <c r="W73" s="23">
        <f>W53+W55-W56-W58</f>
        <v>313562.2883538849</v>
      </c>
      <c r="X73" s="23">
        <f>X53+X55-X56-X58</f>
        <v>0</v>
      </c>
      <c r="Y73" s="23">
        <f>Y53+Y55-Y56-Y58</f>
        <v>0</v>
      </c>
      <c r="Z73" s="23">
        <f>Z53+Z55-Z56-Z58</f>
        <v>0</v>
      </c>
      <c r="AA73" s="23">
        <f>AA53+AA55-AA56-AA58</f>
        <v>0</v>
      </c>
      <c r="AB73" s="23">
        <f>AB53+AB55-AB56-AB58</f>
        <v>0</v>
      </c>
      <c r="AC73" s="23">
        <f>AC53+AC55-AC56-AC58</f>
        <v>0</v>
      </c>
      <c r="AD73" s="23">
        <f>AD53+AD55-AD56-AD58</f>
        <v>0</v>
      </c>
      <c r="AE73" s="23">
        <f>AE53+AE55-AE56-AE58</f>
        <v>0</v>
      </c>
    </row>
    <row r="74">
      <c r="A74" s="6" t="inlineStr">
        <is>
          <t xml:space="preserve">Reserve before the final release</t>
        </is>
      </c>
      <c r="B74" s="10" t="inlineStr">
        <is>
          <t xml:space="preserve">€</t>
        </is>
      </c>
      <c r="F74" s="23">
        <f>F61+F63-F66</f>
        <v>0</v>
      </c>
      <c r="G74" s="23">
        <f>G61+G63-G66</f>
        <v>0</v>
      </c>
      <c r="H74" s="23">
        <f>H61+H63-H66</f>
        <v>0</v>
      </c>
      <c r="I74" s="23">
        <f>I61+I63-I66</f>
        <v>0</v>
      </c>
      <c r="J74" s="23">
        <f>J61+J63-J66</f>
        <v>0</v>
      </c>
      <c r="K74" s="23">
        <f>K61+K63-K66</f>
        <v>0</v>
      </c>
      <c r="L74" s="23">
        <f>L61+L63-L66</f>
        <v>0</v>
      </c>
      <c r="M74" s="23">
        <f>M61+M63-M66</f>
        <v>0</v>
      </c>
      <c r="N74" s="23">
        <f>N61+N63-N66</f>
        <v>0</v>
      </c>
      <c r="O74" s="23">
        <f>O61+O63-O66</f>
        <v>0</v>
      </c>
      <c r="P74" s="23">
        <f>P61+P63-P66</f>
        <v>0</v>
      </c>
      <c r="Q74" s="23">
        <f>Q61+Q63-Q66</f>
        <v>0</v>
      </c>
      <c r="R74" s="23">
        <f>R61+R63-R66</f>
        <v>0</v>
      </c>
      <c r="S74" s="23">
        <f>S61+S63-S66</f>
        <v>0</v>
      </c>
      <c r="T74" s="23">
        <f>T61+T63-T66</f>
        <v>0</v>
      </c>
      <c r="U74" s="23">
        <f>U61+U63-U66</f>
        <v>0</v>
      </c>
      <c r="V74" s="23">
        <f>V61+V63-V66</f>
        <v>0</v>
      </c>
      <c r="W74" s="23">
        <f>W61+W63-W66</f>
        <v>0</v>
      </c>
      <c r="X74" s="23">
        <f>X61+X63-X66</f>
        <v>0</v>
      </c>
      <c r="Y74" s="23">
        <f>Y61+Y63-Y66</f>
        <v>0</v>
      </c>
      <c r="Z74" s="23">
        <f>Z61+Z63-Z66</f>
        <v>450690.3190348829</v>
      </c>
      <c r="AA74" s="23">
        <f>AA61+AA63-AA66</f>
        <v>901380.6380697659</v>
      </c>
      <c r="AB74" s="23">
        <f>AB61+AB63-AB66</f>
        <v>1352070.9571046487</v>
      </c>
      <c r="AC74" s="23">
        <f>AC61+AC63-AC66</f>
        <v>1802761.2761395315</v>
      </c>
      <c r="AD74" s="23">
        <f>AD61+AD63-AD66</f>
        <v>2253451.5951744146</v>
      </c>
      <c r="AE74" s="23">
        <f>AE61+AE63-AE66</f>
        <v>0</v>
      </c>
    </row>
    <row r="75">
      <c r="A75" s="6" t="inlineStr">
        <is>
          <t xml:space="preserve">Cash held back before the final release</t>
        </is>
      </c>
      <c r="B75" s="10" t="inlineStr">
        <is>
          <t xml:space="preserve">€</t>
        </is>
      </c>
      <c r="F75" s="23">
        <f>F69+F70-F71</f>
        <v>0</v>
      </c>
      <c r="G75" s="23">
        <f>G69+G70-G71</f>
        <v>0</v>
      </c>
      <c r="H75" s="23">
        <f>H69+H70-H71</f>
        <v>0</v>
      </c>
      <c r="I75" s="23">
        <f>I69+I70-I71</f>
        <v>0</v>
      </c>
      <c r="J75" s="23">
        <f>J69+J70-J71</f>
        <v>0</v>
      </c>
      <c r="K75" s="23">
        <f>K69+K70-K71</f>
        <v>0</v>
      </c>
      <c r="L75" s="23">
        <f>L69+L70-L71</f>
        <v>0</v>
      </c>
      <c r="M75" s="23">
        <f>M69+M70-M71</f>
        <v>0</v>
      </c>
      <c r="N75" s="23">
        <f>N69+N70-N71</f>
        <v>0</v>
      </c>
      <c r="O75" s="23">
        <f>O69+O70-O71</f>
        <v>0</v>
      </c>
      <c r="P75" s="23">
        <f>P69+P70-P71</f>
        <v>0</v>
      </c>
      <c r="Q75" s="23">
        <f>Q69+Q70-Q71</f>
        <v>0</v>
      </c>
      <c r="R75" s="23">
        <f>R69+R70-R71</f>
        <v>0</v>
      </c>
      <c r="S75" s="23">
        <f>S69+S70-S71</f>
        <v>0</v>
      </c>
      <c r="T75" s="23">
        <f>T69+T70-T71</f>
        <v>0</v>
      </c>
      <c r="U75" s="23">
        <f>U69+U70-U71</f>
        <v>0</v>
      </c>
      <c r="V75" s="23">
        <f>V69+V70-V71</f>
        <v>0</v>
      </c>
      <c r="W75" s="23">
        <f>W69+W70-W71</f>
        <v>0</v>
      </c>
      <c r="X75" s="23">
        <f>X69+X70-X71</f>
        <v>0</v>
      </c>
      <c r="Y75" s="23">
        <f>Y69+Y70-Y71</f>
        <v>0</v>
      </c>
      <c r="Z75" s="23">
        <f>Z69+Z70-Z71</f>
        <v>0</v>
      </c>
      <c r="AA75" s="23">
        <f>AA69+AA70-AA71</f>
        <v>0</v>
      </c>
      <c r="AB75" s="23">
        <f>AB69+AB70-AB71</f>
        <v>0</v>
      </c>
      <c r="AC75" s="23">
        <f>AC69+AC70-AC71</f>
        <v>0</v>
      </c>
      <c r="AD75" s="23">
        <f>AD69+AD70-AD71</f>
        <v>0</v>
      </c>
      <c r="AE75" s="23">
        <f>AE69+AE70-AE71</f>
        <v>0</v>
      </c>
    </row>
    <row r="76">
      <c r="A76" s="6" t="inlineStr">
        <is>
          <t xml:space="preserve">Released in the final year</t>
        </is>
      </c>
      <c r="B76" s="10" t="inlineStr">
        <is>
          <t xml:space="preserve">€</t>
        </is>
      </c>
      <c r="F76" s="23">
        <f>IF(Timing!F72=1,F73+F75+F74,0)</f>
        <v>0</v>
      </c>
      <c r="G76" s="23">
        <f>IF(Timing!G72=1,G73+G75+G74,0)</f>
        <v>0</v>
      </c>
      <c r="H76" s="23">
        <f>IF(Timing!H72=1,H73+H75+H74,0)</f>
        <v>0</v>
      </c>
      <c r="I76" s="23">
        <f>IF(Timing!I72=1,I73+I75+I74,0)</f>
        <v>0</v>
      </c>
      <c r="J76" s="23">
        <f>IF(Timing!J72=1,J73+J75+J74,0)</f>
        <v>0</v>
      </c>
      <c r="K76" s="23">
        <f>IF(Timing!K72=1,K73+K75+K74,0)</f>
        <v>0</v>
      </c>
      <c r="L76" s="23">
        <f>IF(Timing!L72=1,L73+L75+L74,0)</f>
        <v>0</v>
      </c>
      <c r="M76" s="23">
        <f>IF(Timing!M72=1,M73+M75+M74,0)</f>
        <v>0</v>
      </c>
      <c r="N76" s="23">
        <f>IF(Timing!N72=1,N73+N75+N74,0)</f>
        <v>0</v>
      </c>
      <c r="O76" s="23">
        <f>IF(Timing!O72=1,O73+O75+O74,0)</f>
        <v>0</v>
      </c>
      <c r="P76" s="23">
        <f>IF(Timing!P72=1,P73+P75+P74,0)</f>
        <v>0</v>
      </c>
      <c r="Q76" s="23">
        <f>IF(Timing!Q72=1,Q73+Q75+Q74,0)</f>
        <v>0</v>
      </c>
      <c r="R76" s="23">
        <f>IF(Timing!R72=1,R73+R75+R74,0)</f>
        <v>0</v>
      </c>
      <c r="S76" s="23">
        <f>IF(Timing!S72=1,S73+S75+S74,0)</f>
        <v>0</v>
      </c>
      <c r="T76" s="23">
        <f>IF(Timing!T72=1,T73+T75+T74,0)</f>
        <v>0</v>
      </c>
      <c r="U76" s="23">
        <f>IF(Timing!U72=1,U73+U75+U74,0)</f>
        <v>0</v>
      </c>
      <c r="V76" s="23">
        <f>IF(Timing!V72=1,V73+V75+V74,0)</f>
        <v>0</v>
      </c>
      <c r="W76" s="23">
        <f>IF(Timing!W72=1,W73+W75+W74,0)</f>
        <v>0</v>
      </c>
      <c r="X76" s="23">
        <f>IF(Timing!X72=1,X73+X75+X74,0)</f>
        <v>0</v>
      </c>
      <c r="Y76" s="23">
        <f>IF(Timing!Y72=1,Y73+Y75+Y74,0)</f>
        <v>0</v>
      </c>
      <c r="Z76" s="23">
        <f>IF(Timing!Z72=1,Z73+Z75+Z74,0)</f>
        <v>0</v>
      </c>
      <c r="AA76" s="23">
        <f>IF(Timing!AA72=1,AA73+AA75+AA74,0)</f>
        <v>0</v>
      </c>
      <c r="AB76" s="23">
        <f>IF(Timing!AB72=1,AB73+AB75+AB74,0)</f>
        <v>0</v>
      </c>
      <c r="AC76" s="23">
        <f>IF(Timing!AC72=1,AC73+AC75+AC74,0)</f>
        <v>0</v>
      </c>
      <c r="AD76" s="23">
        <f>IF(Timing!AD72=1,AD73+AD75+AD74,0)</f>
        <v>0</v>
      </c>
      <c r="AE76" s="23">
        <f>IF(Timing!AE72=1,AE73+AE75+AE74,0)</f>
        <v>0</v>
      </c>
    </row>
    <row r="77">
      <c r="A77" s="6" t="inlineStr">
        <is>
          <t xml:space="preserve">Cash at the year end</t>
        </is>
      </c>
      <c r="B77" s="10" t="inlineStr">
        <is>
          <t xml:space="preserve">€</t>
        </is>
      </c>
      <c r="F77" s="23">
        <f>F72+F76</f>
        <v>1267942.8763883635</v>
      </c>
      <c r="G77" s="23">
        <f>G72+G76</f>
        <v>1648449.0887856437</v>
      </c>
      <c r="H77" s="23">
        <f>H72+H76</f>
        <v>336129.7565628353</v>
      </c>
      <c r="I77" s="23">
        <f>I72+I76</f>
        <v>437419.84048029326</v>
      </c>
      <c r="J77" s="23">
        <f>J72+J76</f>
        <v>551797.1966984288</v>
      </c>
      <c r="K77" s="23">
        <f>K72+K76</f>
        <v>664086.5503518183</v>
      </c>
      <c r="L77" s="23">
        <f>L72+L76</f>
        <v>780135.623200059</v>
      </c>
      <c r="M77" s="23">
        <f>M72+M76</f>
        <v>896069.774851227</v>
      </c>
      <c r="N77" s="23">
        <f>N72+N76</f>
        <v>1013919.9210893401</v>
      </c>
      <c r="O77" s="23">
        <f>O72+O76</f>
        <v>1129524.9069154595</v>
      </c>
      <c r="P77" s="23">
        <f>P72+P76</f>
        <v>1125114.8712882844</v>
      </c>
      <c r="Q77" s="23">
        <f>Q72+Q76</f>
        <v>1242146.3346486697</v>
      </c>
      <c r="R77" s="23">
        <f>R72+R76</f>
        <v>1361182.3142145132</v>
      </c>
      <c r="S77" s="23">
        <f>S72+S76</f>
        <v>1477753.5089433</v>
      </c>
      <c r="T77" s="23">
        <f>T72+T76</f>
        <v>1598601.4501562985</v>
      </c>
      <c r="U77" s="23">
        <f>U72+U76</f>
        <v>1719257.339443941</v>
      </c>
      <c r="V77" s="23">
        <f>V72+V76</f>
        <v>1836237.7183716062</v>
      </c>
      <c r="W77" s="23">
        <f>W72+W76</f>
        <v>1849193.3774803532</v>
      </c>
      <c r="X77" s="23">
        <f>X72+X76</f>
        <v>2266014.7724480955</v>
      </c>
      <c r="Y77" s="23">
        <f>Y72+Y76</f>
        <v>3262101.922194229</v>
      </c>
      <c r="Z77" s="23">
        <f>Z72+Z76</f>
        <v>2794738.5769055896</v>
      </c>
      <c r="AA77" s="23">
        <f>AA72+AA76</f>
        <v>2849825.945346946</v>
      </c>
      <c r="AB77" s="23">
        <f>AB72+AB76</f>
        <v>2909873.4445490907</v>
      </c>
      <c r="AC77" s="23">
        <f>AC72+AC76</f>
        <v>2969713.5306587094</v>
      </c>
      <c r="AD77" s="23">
        <f>AD72+AD76</f>
        <v>3035922.1087545096</v>
      </c>
      <c r="AE77" s="23">
        <f>AE72+AE76</f>
        <v>1733596.6172231422</v>
      </c>
    </row>
    <row r="78">
      <c r="A78" s="6" t="inlineStr">
        <is>
          <t xml:space="preserve">DSRA at the year end</t>
        </is>
      </c>
      <c r="B78" s="10" t="inlineStr">
        <is>
          <t xml:space="preserve">€</t>
        </is>
      </c>
      <c r="E78" s="23">
        <f>Debt!$C$15</f>
        <v>573287.0601285857</v>
      </c>
      <c r="F78" s="23">
        <f>IF(Timing!F72=1,0,F73)</f>
        <v>573287.0601285857</v>
      </c>
      <c r="G78" s="23">
        <f>IF(Timing!G72=1,0,G73)</f>
        <v>573287.0601285857</v>
      </c>
      <c r="H78" s="23">
        <f>IF(Timing!H72=1,0,H73)</f>
        <v>557054.2618926666</v>
      </c>
      <c r="I78" s="23">
        <f>IF(Timing!I72=1,0,I73)</f>
        <v>540821.4636567476</v>
      </c>
      <c r="J78" s="23">
        <f>IF(Timing!J72=1,0,J73)</f>
        <v>524588.6654208285</v>
      </c>
      <c r="K78" s="23">
        <f>IF(Timing!K72=1,0,K73)</f>
        <v>508355.8671849094</v>
      </c>
      <c r="L78" s="23">
        <f>IF(Timing!L72=1,0,L73)</f>
        <v>492123.06894899043</v>
      </c>
      <c r="M78" s="23">
        <f>IF(Timing!M72=1,0,M73)</f>
        <v>475890.27071307134</v>
      </c>
      <c r="N78" s="23">
        <f>IF(Timing!N72=1,0,N73)</f>
        <v>459657.47247715236</v>
      </c>
      <c r="O78" s="23">
        <f>IF(Timing!O72=1,0,O73)</f>
        <v>443424.67424123327</v>
      </c>
      <c r="P78" s="23">
        <f>IF(Timing!P72=1,0,P73)</f>
        <v>427191.87600531423</v>
      </c>
      <c r="Q78" s="23">
        <f>IF(Timing!Q72=1,0,Q73)</f>
        <v>410959.07776939514</v>
      </c>
      <c r="R78" s="23">
        <f>IF(Timing!R72=1,0,R73)</f>
        <v>394726.2795334761</v>
      </c>
      <c r="S78" s="23">
        <f>IF(Timing!S72=1,0,S73)</f>
        <v>378493.48129755707</v>
      </c>
      <c r="T78" s="23">
        <f>IF(Timing!T72=1,0,T73)</f>
        <v>362260.68306163803</v>
      </c>
      <c r="U78" s="23">
        <f>IF(Timing!U72=1,0,U73)</f>
        <v>346027.88482571894</v>
      </c>
      <c r="V78" s="23">
        <f>IF(Timing!V72=1,0,V73)</f>
        <v>329795.0865897999</v>
      </c>
      <c r="W78" s="23">
        <f>IF(Timing!W72=1,0,W73)</f>
        <v>313562.2883538849</v>
      </c>
      <c r="X78" s="23">
        <f>IF(Timing!X72=1,0,X73)</f>
        <v>0</v>
      </c>
      <c r="Y78" s="23">
        <f>IF(Timing!Y72=1,0,Y73)</f>
        <v>0</v>
      </c>
      <c r="Z78" s="23">
        <f>IF(Timing!Z72=1,0,Z73)</f>
        <v>0</v>
      </c>
      <c r="AA78" s="23">
        <f>IF(Timing!AA72=1,0,AA73)</f>
        <v>0</v>
      </c>
      <c r="AB78" s="23">
        <f>IF(Timing!AB72=1,0,AB73)</f>
        <v>0</v>
      </c>
      <c r="AC78" s="23">
        <f>IF(Timing!AC72=1,0,AC73)</f>
        <v>0</v>
      </c>
      <c r="AD78" s="23">
        <f>IF(Timing!AD72=1,0,AD73)</f>
        <v>0</v>
      </c>
      <c r="AE78" s="23">
        <f>IF(Timing!AE72=1,0,AE73)</f>
        <v>0</v>
      </c>
    </row>
    <row r="79">
      <c r="A79" s="6" t="inlineStr">
        <is>
          <t xml:space="preserve">Decommissioning reserve at the year end</t>
        </is>
      </c>
      <c r="B79" s="10" t="inlineStr">
        <is>
          <t xml:space="preserve">€</t>
        </is>
      </c>
      <c r="F79" s="23">
        <f>IF(Timing!F72=1,0,F74)</f>
        <v>0</v>
      </c>
      <c r="G79" s="23">
        <f>IF(Timing!G72=1,0,G74)</f>
        <v>0</v>
      </c>
      <c r="H79" s="23">
        <f>IF(Timing!H72=1,0,H74)</f>
        <v>0</v>
      </c>
      <c r="I79" s="23">
        <f>IF(Timing!I72=1,0,I74)</f>
        <v>0</v>
      </c>
      <c r="J79" s="23">
        <f>IF(Timing!J72=1,0,J74)</f>
        <v>0</v>
      </c>
      <c r="K79" s="23">
        <f>IF(Timing!K72=1,0,K74)</f>
        <v>0</v>
      </c>
      <c r="L79" s="23">
        <f>IF(Timing!L72=1,0,L74)</f>
        <v>0</v>
      </c>
      <c r="M79" s="23">
        <f>IF(Timing!M72=1,0,M74)</f>
        <v>0</v>
      </c>
      <c r="N79" s="23">
        <f>IF(Timing!N72=1,0,N74)</f>
        <v>0</v>
      </c>
      <c r="O79" s="23">
        <f>IF(Timing!O72=1,0,O74)</f>
        <v>0</v>
      </c>
      <c r="P79" s="23">
        <f>IF(Timing!P72=1,0,P74)</f>
        <v>0</v>
      </c>
      <c r="Q79" s="23">
        <f>IF(Timing!Q72=1,0,Q74)</f>
        <v>0</v>
      </c>
      <c r="R79" s="23">
        <f>IF(Timing!R72=1,0,R74)</f>
        <v>0</v>
      </c>
      <c r="S79" s="23">
        <f>IF(Timing!S72=1,0,S74)</f>
        <v>0</v>
      </c>
      <c r="T79" s="23">
        <f>IF(Timing!T72=1,0,T74)</f>
        <v>0</v>
      </c>
      <c r="U79" s="23">
        <f>IF(Timing!U72=1,0,U74)</f>
        <v>0</v>
      </c>
      <c r="V79" s="23">
        <f>IF(Timing!V72=1,0,V74)</f>
        <v>0</v>
      </c>
      <c r="W79" s="23">
        <f>IF(Timing!W72=1,0,W74)</f>
        <v>0</v>
      </c>
      <c r="X79" s="23">
        <f>IF(Timing!X72=1,0,X74)</f>
        <v>0</v>
      </c>
      <c r="Y79" s="23">
        <f>IF(Timing!Y72=1,0,Y74)</f>
        <v>0</v>
      </c>
      <c r="Z79" s="23">
        <f>IF(Timing!Z72=1,0,Z74)</f>
        <v>450690.3190348829</v>
      </c>
      <c r="AA79" s="23">
        <f>IF(Timing!AA72=1,0,AA74)</f>
        <v>901380.6380697659</v>
      </c>
      <c r="AB79" s="23">
        <f>IF(Timing!AB72=1,0,AB74)</f>
        <v>1352070.9571046487</v>
      </c>
      <c r="AC79" s="23">
        <f>IF(Timing!AC72=1,0,AC74)</f>
        <v>1802761.2761395315</v>
      </c>
      <c r="AD79" s="23">
        <f>IF(Timing!AD72=1,0,AD74)</f>
        <v>2253451.5951744146</v>
      </c>
      <c r="AE79" s="23">
        <f>IF(Timing!AE72=1,0,AE74)</f>
        <v>0</v>
      </c>
    </row>
    <row r="80">
      <c r="A80" s="6" t="inlineStr">
        <is>
          <t xml:space="preserve">Cash held back at the year end</t>
        </is>
      </c>
      <c r="B80" s="10" t="inlineStr">
        <is>
          <t xml:space="preserve">€</t>
        </is>
      </c>
      <c r="E80" s="9">
        <v>0</v>
      </c>
      <c r="F80" s="23">
        <f>IF(Timing!F72=1,0,F75)</f>
        <v>0</v>
      </c>
      <c r="G80" s="23">
        <f>IF(Timing!G72=1,0,G75)</f>
        <v>0</v>
      </c>
      <c r="H80" s="23">
        <f>IF(Timing!H72=1,0,H75)</f>
        <v>0</v>
      </c>
      <c r="I80" s="23">
        <f>IF(Timing!I72=1,0,I75)</f>
        <v>0</v>
      </c>
      <c r="J80" s="23">
        <f>IF(Timing!J72=1,0,J75)</f>
        <v>0</v>
      </c>
      <c r="K80" s="23">
        <f>IF(Timing!K72=1,0,K75)</f>
        <v>0</v>
      </c>
      <c r="L80" s="23">
        <f>IF(Timing!L72=1,0,L75)</f>
        <v>0</v>
      </c>
      <c r="M80" s="23">
        <f>IF(Timing!M72=1,0,M75)</f>
        <v>0</v>
      </c>
      <c r="N80" s="23">
        <f>IF(Timing!N72=1,0,N75)</f>
        <v>0</v>
      </c>
      <c r="O80" s="23">
        <f>IF(Timing!O72=1,0,O75)</f>
        <v>0</v>
      </c>
      <c r="P80" s="23">
        <f>IF(Timing!P72=1,0,P75)</f>
        <v>0</v>
      </c>
      <c r="Q80" s="23">
        <f>IF(Timing!Q72=1,0,Q75)</f>
        <v>0</v>
      </c>
      <c r="R80" s="23">
        <f>IF(Timing!R72=1,0,R75)</f>
        <v>0</v>
      </c>
      <c r="S80" s="23">
        <f>IF(Timing!S72=1,0,S75)</f>
        <v>0</v>
      </c>
      <c r="T80" s="23">
        <f>IF(Timing!T72=1,0,T75)</f>
        <v>0</v>
      </c>
      <c r="U80" s="23">
        <f>IF(Timing!U72=1,0,U75)</f>
        <v>0</v>
      </c>
      <c r="V80" s="23">
        <f>IF(Timing!V72=1,0,V75)</f>
        <v>0</v>
      </c>
      <c r="W80" s="23">
        <f>IF(Timing!W72=1,0,W75)</f>
        <v>0</v>
      </c>
      <c r="X80" s="23">
        <f>IF(Timing!X72=1,0,X75)</f>
        <v>0</v>
      </c>
      <c r="Y80" s="23">
        <f>IF(Timing!Y72=1,0,Y75)</f>
        <v>0</v>
      </c>
      <c r="Z80" s="23">
        <f>IF(Timing!Z72=1,0,Z75)</f>
        <v>0</v>
      </c>
      <c r="AA80" s="23">
        <f>IF(Timing!AA72=1,0,AA75)</f>
        <v>0</v>
      </c>
      <c r="AB80" s="23">
        <f>IF(Timing!AB72=1,0,AB75)</f>
        <v>0</v>
      </c>
      <c r="AC80" s="23">
        <f>IF(Timing!AC72=1,0,AC75)</f>
        <v>0</v>
      </c>
      <c r="AD80" s="23">
        <f>IF(Timing!AD72=1,0,AD75)</f>
        <v>0</v>
      </c>
      <c r="AE80" s="23">
        <f>IF(Timing!AE72=1,0,AE75)</f>
        <v>0</v>
      </c>
    </row>
    <row r="81">
      <c r="A81" s="6" t="inlineStr">
        <is>
          <t xml:space="preserve">Unpaid cash at the year end (shortfall; no payments by the owners)</t>
        </is>
      </c>
      <c r="B81" s="10" t="inlineStr">
        <is>
          <t xml:space="preserve">€</t>
        </is>
      </c>
      <c r="E81" s="9">
        <v>0</v>
      </c>
      <c r="F81" s="23">
        <f>IF(F77&gt;=0,0,F77)</f>
        <v>0</v>
      </c>
      <c r="G81" s="23">
        <f>IF(G77&gt;=0,0,G77)</f>
        <v>0</v>
      </c>
      <c r="H81" s="23">
        <f>IF(H77&gt;=0,0,H77)</f>
        <v>0</v>
      </c>
      <c r="I81" s="23">
        <f>IF(I77&gt;=0,0,I77)</f>
        <v>0</v>
      </c>
      <c r="J81" s="23">
        <f>IF(J77&gt;=0,0,J77)</f>
        <v>0</v>
      </c>
      <c r="K81" s="23">
        <f>IF(K77&gt;=0,0,K77)</f>
        <v>0</v>
      </c>
      <c r="L81" s="23">
        <f>IF(L77&gt;=0,0,L77)</f>
        <v>0</v>
      </c>
      <c r="M81" s="23">
        <f>IF(M77&gt;=0,0,M77)</f>
        <v>0</v>
      </c>
      <c r="N81" s="23">
        <f>IF(N77&gt;=0,0,N77)</f>
        <v>0</v>
      </c>
      <c r="O81" s="23">
        <f>IF(O77&gt;=0,0,O77)</f>
        <v>0</v>
      </c>
      <c r="P81" s="23">
        <f>IF(P77&gt;=0,0,P77)</f>
        <v>0</v>
      </c>
      <c r="Q81" s="23">
        <f>IF(Q77&gt;=0,0,Q77)</f>
        <v>0</v>
      </c>
      <c r="R81" s="23">
        <f>IF(R77&gt;=0,0,R77)</f>
        <v>0</v>
      </c>
      <c r="S81" s="23">
        <f>IF(S77&gt;=0,0,S77)</f>
        <v>0</v>
      </c>
      <c r="T81" s="23">
        <f>IF(T77&gt;=0,0,T77)</f>
        <v>0</v>
      </c>
      <c r="U81" s="23">
        <f>IF(U77&gt;=0,0,U77)</f>
        <v>0</v>
      </c>
      <c r="V81" s="23">
        <f>IF(V77&gt;=0,0,V77)</f>
        <v>0</v>
      </c>
      <c r="W81" s="23">
        <f>IF(W77&gt;=0,0,W77)</f>
        <v>0</v>
      </c>
      <c r="X81" s="23">
        <f>IF(X77&gt;=0,0,X77)</f>
        <v>0</v>
      </c>
      <c r="Y81" s="23">
        <f>IF(Y77&gt;=0,0,Y77)</f>
        <v>0</v>
      </c>
      <c r="Z81" s="23">
        <f>IF(Z77&gt;=0,0,Z77)</f>
        <v>0</v>
      </c>
      <c r="AA81" s="23">
        <f>IF(AA77&gt;=0,0,AA77)</f>
        <v>0</v>
      </c>
      <c r="AB81" s="23">
        <f>IF(AB77&gt;=0,0,AB77)</f>
        <v>0</v>
      </c>
      <c r="AC81" s="23">
        <f>IF(AC77&gt;=0,0,AC77)</f>
        <v>0</v>
      </c>
      <c r="AD81" s="23">
        <f>IF(AD77&gt;=0,0,AD77)</f>
        <v>0</v>
      </c>
      <c r="AE81" s="23">
        <f>IF(AE77&gt;=0,0,AE77)</f>
        <v>0</v>
      </c>
    </row>
    <row r="82">
      <c r="A82" s="41" t="inlineStr">
        <is>
          <t xml:space="preserve">Cash available to equity (before legal limits on distributions)</t>
        </is>
      </c>
      <c r="B82" s="10" t="inlineStr">
        <is>
          <t xml:space="preserve">€</t>
        </is>
      </c>
      <c r="F82" s="42">
        <f>IF(F77&gt;=0,F77,0)</f>
        <v>1267942.8763883635</v>
      </c>
      <c r="G82" s="42">
        <f>IF(G77&gt;=0,G77,0)</f>
        <v>1648449.0887856437</v>
      </c>
      <c r="H82" s="42">
        <f>IF(H77&gt;=0,H77,0)</f>
        <v>336129.7565628353</v>
      </c>
      <c r="I82" s="42">
        <f>IF(I77&gt;=0,I77,0)</f>
        <v>437419.84048029326</v>
      </c>
      <c r="J82" s="42">
        <f>IF(J77&gt;=0,J77,0)</f>
        <v>551797.1966984288</v>
      </c>
      <c r="K82" s="42">
        <f>IF(K77&gt;=0,K77,0)</f>
        <v>664086.5503518183</v>
      </c>
      <c r="L82" s="42">
        <f>IF(L77&gt;=0,L77,0)</f>
        <v>780135.623200059</v>
      </c>
      <c r="M82" s="42">
        <f>IF(M77&gt;=0,M77,0)</f>
        <v>896069.774851227</v>
      </c>
      <c r="N82" s="42">
        <f>IF(N77&gt;=0,N77,0)</f>
        <v>1013919.9210893401</v>
      </c>
      <c r="O82" s="42">
        <f>IF(O77&gt;=0,O77,0)</f>
        <v>1129524.9069154595</v>
      </c>
      <c r="P82" s="42">
        <f>IF(P77&gt;=0,P77,0)</f>
        <v>1125114.8712882844</v>
      </c>
      <c r="Q82" s="42">
        <f>IF(Q77&gt;=0,Q77,0)</f>
        <v>1242146.3346486697</v>
      </c>
      <c r="R82" s="42">
        <f>IF(R77&gt;=0,R77,0)</f>
        <v>1361182.3142145132</v>
      </c>
      <c r="S82" s="42">
        <f>IF(S77&gt;=0,S77,0)</f>
        <v>1477753.5089433</v>
      </c>
      <c r="T82" s="42">
        <f>IF(T77&gt;=0,T77,0)</f>
        <v>1598601.4501562985</v>
      </c>
      <c r="U82" s="42">
        <f>IF(U77&gt;=0,U77,0)</f>
        <v>1719257.339443941</v>
      </c>
      <c r="V82" s="42">
        <f>IF(V77&gt;=0,V77,0)</f>
        <v>1836237.7183716062</v>
      </c>
      <c r="W82" s="42">
        <f>IF(W77&gt;=0,W77,0)</f>
        <v>1849193.3774803532</v>
      </c>
      <c r="X82" s="42">
        <f>IF(X77&gt;=0,X77,0)</f>
        <v>2266014.7724480955</v>
      </c>
      <c r="Y82" s="42">
        <f>IF(Y77&gt;=0,Y77,0)</f>
        <v>3262101.922194229</v>
      </c>
      <c r="Z82" s="42">
        <f>IF(Z77&gt;=0,Z77,0)</f>
        <v>2794738.5769055896</v>
      </c>
      <c r="AA82" s="42">
        <f>IF(AA77&gt;=0,AA77,0)</f>
        <v>2849825.945346946</v>
      </c>
      <c r="AB82" s="42">
        <f>IF(AB77&gt;=0,AB77,0)</f>
        <v>2909873.4445490907</v>
      </c>
      <c r="AC82" s="42">
        <f>IF(AC77&gt;=0,AC77,0)</f>
        <v>2969713.5306587094</v>
      </c>
      <c r="AD82" s="42">
        <f>IF(AD77&gt;=0,AD77,0)</f>
        <v>3035922.1087545096</v>
      </c>
      <c r="AE82" s="42">
        <f>IF(AE77&gt;=0,AE77,0)</f>
        <v>1733596.6172231422</v>
      </c>
    </row>
    <row r="83">
      <c r="A83" s="6" t="inlineStr">
        <is>
          <t xml:space="preserve">Project cash flow before tax</t>
        </is>
      </c>
      <c r="B83" s="10" t="inlineStr">
        <is>
          <t xml:space="preserve">€</t>
        </is>
      </c>
      <c r="F83" s="23">
        <f>Operations!F107-Operations!F115-F66</f>
        <v>1819858.0164096118</v>
      </c>
      <c r="G83" s="23">
        <f>Operations!G107-Operations!G115-G66</f>
        <v>2752279.36882814</v>
      </c>
      <c r="H83" s="23">
        <f>Operations!H107-Operations!H115-H66</f>
        <v>2613045.198841259</v>
      </c>
      <c r="I83" s="23">
        <f>Operations!I107-Operations!I115-I66</f>
        <v>2649404.0898150406</v>
      </c>
      <c r="J83" s="23">
        <f>Operations!J107-Operations!J115-J66</f>
        <v>2698850.2530895</v>
      </c>
      <c r="K83" s="23">
        <f>Operations!K107-Operations!K115-K66</f>
        <v>2746208.4137992132</v>
      </c>
      <c r="L83" s="23">
        <f>Operations!L107-Operations!L115-L66</f>
        <v>2797326.2937037777</v>
      </c>
      <c r="M83" s="23">
        <f>Operations!M107-Operations!M115-M66</f>
        <v>2848329.2524112696</v>
      </c>
      <c r="N83" s="23">
        <f>Operations!N107-Operations!N115-N66</f>
        <v>2901248.2057057065</v>
      </c>
      <c r="O83" s="23">
        <f>Operations!O107-Operations!O115-O66</f>
        <v>2951921.99858815</v>
      </c>
      <c r="P83" s="23">
        <f>Operations!P107-Operations!P115-P66</f>
        <v>2882580.7700172984</v>
      </c>
      <c r="Q83" s="23">
        <f>Operations!Q107-Operations!Q115-Q66</f>
        <v>2934681.0404340075</v>
      </c>
      <c r="R83" s="23">
        <f>Operations!R107-Operations!R115-R66</f>
        <v>2988785.8270561746</v>
      </c>
      <c r="S83" s="23">
        <f>Operations!S107-Operations!S115-S66</f>
        <v>3040425.8288412853</v>
      </c>
      <c r="T83" s="23">
        <f>Operations!T107-Operations!T115-T66</f>
        <v>3096342.5771106076</v>
      </c>
      <c r="U83" s="23">
        <f>Operations!U107-Operations!U115-U66</f>
        <v>3152067.273454574</v>
      </c>
      <c r="V83" s="23">
        <f>Operations!V107-Operations!V115-V66</f>
        <v>3209940.459438563</v>
      </c>
      <c r="W83" s="23">
        <f>Operations!W107-Operations!W115-W66</f>
        <v>3265162.925603638</v>
      </c>
      <c r="X83" s="23">
        <f>Operations!X107-Operations!X115-X66</f>
        <v>3324973.63750975</v>
      </c>
      <c r="Y83" s="23">
        <f>Operations!Y107-Operations!Y115-Y66</f>
        <v>3384573.922194229</v>
      </c>
      <c r="Z83" s="23">
        <f>Operations!Z107-Operations!Z115-Z66</f>
        <v>3365828.8959404724</v>
      </c>
      <c r="AA83" s="23">
        <f>Operations!AA107-Operations!AA115-AA66</f>
        <v>3423268.2643818287</v>
      </c>
      <c r="AB83" s="23">
        <f>Operations!AB107-Operations!AB115-AB66</f>
        <v>3485597.7635839735</v>
      </c>
      <c r="AC83" s="23">
        <f>Operations!AC107-Operations!AC115-AC66</f>
        <v>3547663.849693592</v>
      </c>
      <c r="AD83" s="23">
        <f>Operations!AD107-Operations!AD115-AD66</f>
        <v>3612164.4277893924</v>
      </c>
      <c r="AE83" s="23">
        <f>Operations!AE107-Operations!AE115-AE66</f>
        <v>-370614.9779512724</v>
      </c>
    </row>
    <row r="84">
      <c r="A84" s="6" t="inlineStr">
        <is>
          <t xml:space="preserve">Project cash flow after tax (taxes without debt)</t>
        </is>
      </c>
      <c r="B84" s="10" t="inlineStr">
        <is>
          <t xml:space="preserve">€</t>
        </is>
      </c>
      <c r="F84" s="23">
        <f>F83-Tax!F207</f>
        <v>1819858.0164096118</v>
      </c>
      <c r="G84" s="23">
        <f>G83-Tax!G207</f>
        <v>2752279.36882814</v>
      </c>
      <c r="H84" s="23">
        <f>H83-Tax!H207</f>
        <v>2613045.198841259</v>
      </c>
      <c r="I84" s="23">
        <f>I83-Tax!I207</f>
        <v>2649404.0898150406</v>
      </c>
      <c r="J84" s="23">
        <f>J83-Tax!J207</f>
        <v>2698850.2530895</v>
      </c>
      <c r="K84" s="23">
        <f>K83-Tax!K207</f>
        <v>2746208.4137992132</v>
      </c>
      <c r="L84" s="23">
        <f>L83-Tax!L207</f>
        <v>2797326.2937037777</v>
      </c>
      <c r="M84" s="23">
        <f>M83-Tax!M207</f>
        <v>2848329.2524112696</v>
      </c>
      <c r="N84" s="23">
        <f>N83-Tax!N207</f>
        <v>2901248.2057057065</v>
      </c>
      <c r="O84" s="23">
        <f>O83-Tax!O207</f>
        <v>2951921.99858815</v>
      </c>
      <c r="P84" s="23">
        <f>P83-Tax!P207</f>
        <v>2882580.7700172984</v>
      </c>
      <c r="Q84" s="23">
        <f>Q83-Tax!Q207</f>
        <v>2934681.0404340075</v>
      </c>
      <c r="R84" s="23">
        <f>R83-Tax!R207</f>
        <v>2988785.8270561746</v>
      </c>
      <c r="S84" s="23">
        <f>S83-Tax!S207</f>
        <v>3040425.8288412853</v>
      </c>
      <c r="T84" s="23">
        <f>T83-Tax!T207</f>
        <v>3096342.5771106076</v>
      </c>
      <c r="U84" s="23">
        <f>U83-Tax!U207</f>
        <v>3152067.273454574</v>
      </c>
      <c r="V84" s="23">
        <f>V83-Tax!V207</f>
        <v>3195044.459438563</v>
      </c>
      <c r="W84" s="23">
        <f>W83-Tax!W207</f>
        <v>3147716.925603638</v>
      </c>
      <c r="X84" s="23">
        <f>X83-Tax!X207</f>
        <v>3205007.63750975</v>
      </c>
      <c r="Y84" s="23">
        <f>Y83-Tax!Y207</f>
        <v>3262101.922194229</v>
      </c>
      <c r="Z84" s="23">
        <f>Z83-Tax!Z207</f>
        <v>3245428.8959404724</v>
      </c>
      <c r="AA84" s="23">
        <f>AA83-Tax!AA207</f>
        <v>3076712.2643818287</v>
      </c>
      <c r="AB84" s="23">
        <f>AB83-Tax!AB207</f>
        <v>3027853.7635839735</v>
      </c>
      <c r="AC84" s="23">
        <f>AC83-Tax!AC207</f>
        <v>3084375.849693592</v>
      </c>
      <c r="AD84" s="23">
        <f>AD83-Tax!AD207</f>
        <v>3153118.4277893924</v>
      </c>
      <c r="AE84" s="23">
        <f>AE83-Tax!AE207</f>
        <v>-608166.9779512724</v>
      </c>
    </row>
    <row r="86">
      <c r="A86" s="5" t="inlineStr">
        <is>
          <t xml:space="preserve">P90 10-yr</t>
        </is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>
      <c r="A87" s="6" t="inlineStr">
        <is>
          <t xml:space="preserve">CFADS</t>
        </is>
      </c>
      <c r="B87" s="10" t="inlineStr">
        <is>
          <t xml:space="preserve">€</t>
        </is>
      </c>
      <c r="F87" s="45">
        <f>Tax!F109</f>
        <v>1887051.1949932326</v>
      </c>
      <c r="G87" s="45">
        <f>Tax!G109</f>
        <v>2891300.796933104</v>
      </c>
      <c r="H87" s="45">
        <f>Tax!H109</f>
        <v>2747393.1974834823</v>
      </c>
      <c r="I87" s="45">
        <f>Tax!I109</f>
        <v>2785821.947840727</v>
      </c>
      <c r="J87" s="45">
        <f>Tax!J109</f>
        <v>2837853.0981292613</v>
      </c>
      <c r="K87" s="45">
        <f>Tax!K109</f>
        <v>2851595.982314709</v>
      </c>
      <c r="L87" s="45">
        <f>Tax!L109</f>
        <v>3311534.209424312</v>
      </c>
      <c r="M87" s="45">
        <f>Tax!M109</f>
        <v>2995214.661760493</v>
      </c>
      <c r="N87" s="45">
        <f>Tax!N109</f>
        <v>3050908.570415697</v>
      </c>
      <c r="O87" s="45">
        <f>Tax!O109</f>
        <v>3104286.2016449817</v>
      </c>
      <c r="P87" s="45">
        <f>Tax!P109</f>
        <v>3037818.6590970466</v>
      </c>
      <c r="Q87" s="45">
        <f>Tax!Q109</f>
        <v>3092803.3010314982</v>
      </c>
      <c r="R87" s="45">
        <f>Tax!R109</f>
        <v>3149887.037150371</v>
      </c>
      <c r="S87" s="45">
        <f>Tax!S109</f>
        <v>3204429.6246665204</v>
      </c>
      <c r="T87" s="45">
        <f>Tax!T109</f>
        <v>3263431.3424560083</v>
      </c>
      <c r="U87" s="45">
        <f>Tax!U109</f>
        <v>3322252.483971308</v>
      </c>
      <c r="V87" s="45">
        <f>Tax!V109</f>
        <v>3367629.6744105457</v>
      </c>
      <c r="W87" s="45">
        <f>Tax!W109</f>
        <v>3318602.1472976217</v>
      </c>
      <c r="X87" s="45">
        <f>Tax!X109</f>
        <v>3376278.710963452</v>
      </c>
      <c r="Y87" s="45">
        <f>Tax!Y109</f>
        <v>3434807.1715150094</v>
      </c>
      <c r="Z87" s="45">
        <f>Tax!Z109</f>
        <v>3421385.3769154726</v>
      </c>
      <c r="AA87" s="45">
        <f>Tax!AA109</f>
        <v>3479621.929518473</v>
      </c>
      <c r="AB87" s="45">
        <f>Tax!AB109</f>
        <v>3543014.91257796</v>
      </c>
      <c r="AC87" s="45">
        <f>Tax!AC109</f>
        <v>3521401.717710882</v>
      </c>
      <c r="AD87" s="45">
        <f>Tax!AD109</f>
        <v>3325282.1203396544</v>
      </c>
      <c r="AE87" s="45">
        <f>Tax!AE109</f>
        <v>2202700.325412804</v>
      </c>
    </row>
    <row r="88">
      <c r="A88" s="6" t="inlineStr">
        <is>
          <t xml:space="preserve">Debt service</t>
        </is>
      </c>
      <c r="B88" s="10" t="inlineStr">
        <is>
          <t xml:space="preserve">€</t>
        </is>
      </c>
      <c r="F88" s="45">
        <f>Debt!F13</f>
        <v>551915.1400212483</v>
      </c>
      <c r="G88" s="45">
        <f>Debt!G13</f>
        <v>1103830.2800424965</v>
      </c>
      <c r="H88" s="45">
        <f>Debt!H13</f>
        <v>2293148.2405143427</v>
      </c>
      <c r="I88" s="45">
        <f>Debt!I13</f>
        <v>2228217.0475706663</v>
      </c>
      <c r="J88" s="45">
        <f>Debt!J13</f>
        <v>2163285.8546269904</v>
      </c>
      <c r="K88" s="45">
        <f>Debt!K13</f>
        <v>2098354.661683314</v>
      </c>
      <c r="L88" s="45">
        <f>Debt!L13</f>
        <v>2033423.4687396376</v>
      </c>
      <c r="M88" s="45">
        <f>Debt!M13</f>
        <v>1968492.2757959617</v>
      </c>
      <c r="N88" s="45">
        <f>Debt!N13</f>
        <v>1903561.0828522854</v>
      </c>
      <c r="O88" s="45">
        <f>Debt!O13</f>
        <v>1838629.8899086094</v>
      </c>
      <c r="P88" s="45">
        <f>Debt!P13</f>
        <v>1773698.696964933</v>
      </c>
      <c r="Q88" s="45">
        <f>Debt!Q13</f>
        <v>1708767.504021257</v>
      </c>
      <c r="R88" s="45">
        <f>Debt!R13</f>
        <v>1643836.3110775806</v>
      </c>
      <c r="S88" s="45">
        <f>Debt!S13</f>
        <v>1578905.1181339044</v>
      </c>
      <c r="T88" s="45">
        <f>Debt!T13</f>
        <v>1513973.9251902283</v>
      </c>
      <c r="U88" s="45">
        <f>Debt!U13</f>
        <v>1449042.7322465521</v>
      </c>
      <c r="V88" s="45">
        <f>Debt!V13</f>
        <v>1384111.5393028758</v>
      </c>
      <c r="W88" s="45">
        <f>Debt!W13</f>
        <v>1319180.3463591996</v>
      </c>
      <c r="X88" s="45">
        <f>Debt!X13</f>
        <v>1254249.1534155395</v>
      </c>
      <c r="Y88" s="45">
        <f>Debt!Y13</f>
        <v>0</v>
      </c>
      <c r="Z88" s="45">
        <f>Debt!Z13</f>
        <v>0</v>
      </c>
      <c r="AA88" s="45">
        <f>Debt!AA13</f>
        <v>0</v>
      </c>
      <c r="AB88" s="45">
        <f>Debt!AB13</f>
        <v>0</v>
      </c>
      <c r="AC88" s="45">
        <f>Debt!AC13</f>
        <v>0</v>
      </c>
      <c r="AD88" s="45">
        <f>Debt!AD13</f>
        <v>0</v>
      </c>
      <c r="AE88" s="45">
        <f>Debt!AE13</f>
        <v>0</v>
      </c>
    </row>
    <row r="89">
      <c r="A89" s="6" t="inlineStr">
        <is>
          <t xml:space="preserve">Unpaid cash from the year before</t>
        </is>
      </c>
      <c r="B89" s="10" t="inlineStr">
        <is>
          <t xml:space="preserve">€</t>
        </is>
      </c>
      <c r="F89" s="23">
        <f>E121</f>
        <v>0</v>
      </c>
      <c r="G89" s="23">
        <f>F121</f>
        <v>0</v>
      </c>
      <c r="H89" s="23">
        <f>G121</f>
        <v>0</v>
      </c>
      <c r="I89" s="23">
        <f>H121</f>
        <v>0</v>
      </c>
      <c r="J89" s="23">
        <f>I121</f>
        <v>0</v>
      </c>
      <c r="K89" s="23">
        <f>J121</f>
        <v>0</v>
      </c>
      <c r="L89" s="23">
        <f>K121</f>
        <v>0</v>
      </c>
      <c r="M89" s="23">
        <f>L121</f>
        <v>0</v>
      </c>
      <c r="N89" s="23">
        <f>M121</f>
        <v>0</v>
      </c>
      <c r="O89" s="23">
        <f>N121</f>
        <v>0</v>
      </c>
      <c r="P89" s="23">
        <f>O121</f>
        <v>0</v>
      </c>
      <c r="Q89" s="23">
        <f>P121</f>
        <v>0</v>
      </c>
      <c r="R89" s="23">
        <f>Q121</f>
        <v>0</v>
      </c>
      <c r="S89" s="23">
        <f>R121</f>
        <v>0</v>
      </c>
      <c r="T89" s="23">
        <f>S121</f>
        <v>0</v>
      </c>
      <c r="U89" s="23">
        <f>T121</f>
        <v>0</v>
      </c>
      <c r="V89" s="23">
        <f>U121</f>
        <v>0</v>
      </c>
      <c r="W89" s="23">
        <f>V121</f>
        <v>0</v>
      </c>
      <c r="X89" s="23">
        <f>W121</f>
        <v>0</v>
      </c>
      <c r="Y89" s="23">
        <f>X121</f>
        <v>0</v>
      </c>
      <c r="Z89" s="23">
        <f>Y121</f>
        <v>0</v>
      </c>
      <c r="AA89" s="23">
        <f>Z121</f>
        <v>0</v>
      </c>
      <c r="AB89" s="23">
        <f>AA121</f>
        <v>0</v>
      </c>
      <c r="AC89" s="23">
        <f>AB121</f>
        <v>0</v>
      </c>
      <c r="AD89" s="23">
        <f>AC121</f>
        <v>0</v>
      </c>
      <c r="AE89" s="23">
        <f>AD121</f>
        <v>0</v>
      </c>
    </row>
    <row r="90">
      <c r="A90" s="6" t="inlineStr">
        <is>
          <t xml:space="preserve">Cash after debt service</t>
        </is>
      </c>
      <c r="B90" s="10" t="inlineStr">
        <is>
          <t xml:space="preserve">€</t>
        </is>
      </c>
      <c r="F90" s="23">
        <f>F87-F88+F89</f>
        <v>1335136.0549719844</v>
      </c>
      <c r="G90" s="23">
        <f>G87-G88+G89</f>
        <v>1787470.5168906073</v>
      </c>
      <c r="H90" s="23">
        <f>H87-H88+H89</f>
        <v>454244.95696913963</v>
      </c>
      <c r="I90" s="23">
        <f>I87-I88+I89</f>
        <v>557604.9002700606</v>
      </c>
      <c r="J90" s="23">
        <f>J87-J88+J89</f>
        <v>674567.2435022709</v>
      </c>
      <c r="K90" s="23">
        <f>K87-K88+K89</f>
        <v>753241.3206313951</v>
      </c>
      <c r="L90" s="23">
        <f>L87-L88+L89</f>
        <v>1278110.7406846746</v>
      </c>
      <c r="M90" s="23">
        <f>M87-M88+M89</f>
        <v>1026722.3859645315</v>
      </c>
      <c r="N90" s="23">
        <f>N87-N88+N89</f>
        <v>1147347.4875634117</v>
      </c>
      <c r="O90" s="23">
        <f>O87-O88+O89</f>
        <v>1265656.3117363723</v>
      </c>
      <c r="P90" s="23">
        <f>P87-P88+P89</f>
        <v>1264119.9621321135</v>
      </c>
      <c r="Q90" s="23">
        <f>Q87-Q88+Q89</f>
        <v>1384035.7970102413</v>
      </c>
      <c r="R90" s="23">
        <f>R87-R88+R89</f>
        <v>1506050.7260727903</v>
      </c>
      <c r="S90" s="23">
        <f>S87-S88+S89</f>
        <v>1625524.506532616</v>
      </c>
      <c r="T90" s="23">
        <f>T87-T88+T89</f>
        <v>1749457.41726578</v>
      </c>
      <c r="U90" s="23">
        <f>U87-U88+U89</f>
        <v>1873209.7517247559</v>
      </c>
      <c r="V90" s="23">
        <f>V87-V88+V89</f>
        <v>1983518.13510767</v>
      </c>
      <c r="W90" s="23">
        <f>W87-W88+W89</f>
        <v>1999421.800938422</v>
      </c>
      <c r="X90" s="23">
        <f>X87-X88+X89</f>
        <v>2122029.557547912</v>
      </c>
      <c r="Y90" s="23">
        <f>Y87-Y88+Y89</f>
        <v>3434807.1715150094</v>
      </c>
      <c r="Z90" s="23">
        <f>Z87-Z88+Z89</f>
        <v>3421385.3769154726</v>
      </c>
      <c r="AA90" s="23">
        <f>AA87-AA88+AA89</f>
        <v>3479621.929518473</v>
      </c>
      <c r="AB90" s="23">
        <f>AB87-AB88+AB89</f>
        <v>3543014.91257796</v>
      </c>
      <c r="AC90" s="23">
        <f>AC87-AC88+AC89</f>
        <v>3521401.717710882</v>
      </c>
      <c r="AD90" s="23">
        <f>AD87-AD88+AD89</f>
        <v>3325282.1203396544</v>
      </c>
      <c r="AE90" s="23">
        <f>AE87-AE88+AE89</f>
        <v>2202700.325412804</v>
      </c>
    </row>
    <row r="91">
      <c r="A91" s="6" t="inlineStr">
        <is>
          <t xml:space="preserve">Cash held back under the lock-up, used for a shortfall</t>
        </is>
      </c>
      <c r="B91" s="10" t="inlineStr">
        <is>
          <t xml:space="preserve">€</t>
        </is>
      </c>
      <c r="F91" s="23">
        <f>IF(AND(F90&lt;0,E120&gt;0),MIN(E120,-F90),0)</f>
        <v>0</v>
      </c>
      <c r="G91" s="23">
        <f>IF(AND(G90&lt;0,F120&gt;0),MIN(F120,-G90),0)</f>
        <v>0</v>
      </c>
      <c r="H91" s="23">
        <f>IF(AND(H90&lt;0,G120&gt;0),MIN(G120,-H90),0)</f>
        <v>0</v>
      </c>
      <c r="I91" s="23">
        <f>IF(AND(I90&lt;0,H120&gt;0),MIN(H120,-I90),0)</f>
        <v>0</v>
      </c>
      <c r="J91" s="23">
        <f>IF(AND(J90&lt;0,I120&gt;0),MIN(I120,-J90),0)</f>
        <v>0</v>
      </c>
      <c r="K91" s="23">
        <f>IF(AND(K90&lt;0,J120&gt;0),MIN(J120,-K90),0)</f>
        <v>0</v>
      </c>
      <c r="L91" s="23">
        <f>IF(AND(L90&lt;0,K120&gt;0),MIN(K120,-L90),0)</f>
        <v>0</v>
      </c>
      <c r="M91" s="23">
        <f>IF(AND(M90&lt;0,L120&gt;0),MIN(L120,-M90),0)</f>
        <v>0</v>
      </c>
      <c r="N91" s="23">
        <f>IF(AND(N90&lt;0,M120&gt;0),MIN(M120,-N90),0)</f>
        <v>0</v>
      </c>
      <c r="O91" s="23">
        <f>IF(AND(O90&lt;0,N120&gt;0),MIN(N120,-O90),0)</f>
        <v>0</v>
      </c>
      <c r="P91" s="23">
        <f>IF(AND(P90&lt;0,O120&gt;0),MIN(O120,-P90),0)</f>
        <v>0</v>
      </c>
      <c r="Q91" s="23">
        <f>IF(AND(Q90&lt;0,P120&gt;0),MIN(P120,-Q90),0)</f>
        <v>0</v>
      </c>
      <c r="R91" s="23">
        <f>IF(AND(R90&lt;0,Q120&gt;0),MIN(Q120,-R90),0)</f>
        <v>0</v>
      </c>
      <c r="S91" s="23">
        <f>IF(AND(S90&lt;0,R120&gt;0),MIN(R120,-S90),0)</f>
        <v>0</v>
      </c>
      <c r="T91" s="23">
        <f>IF(AND(T90&lt;0,S120&gt;0),MIN(S120,-T90),0)</f>
        <v>0</v>
      </c>
      <c r="U91" s="23">
        <f>IF(AND(U90&lt;0,T120&gt;0),MIN(T120,-U90),0)</f>
        <v>0</v>
      </c>
      <c r="V91" s="23">
        <f>IF(AND(V90&lt;0,U120&gt;0),MIN(U120,-V90),0)</f>
        <v>0</v>
      </c>
      <c r="W91" s="23">
        <f>IF(AND(W90&lt;0,V120&gt;0),MIN(V120,-W90),0)</f>
        <v>0</v>
      </c>
      <c r="X91" s="23">
        <f>IF(AND(X90&lt;0,W120&gt;0),MIN(W120,-X90),0)</f>
        <v>0</v>
      </c>
      <c r="Y91" s="23">
        <f>IF(AND(Y90&lt;0,X120&gt;0),MIN(X120,-Y90),0)</f>
        <v>0</v>
      </c>
      <c r="Z91" s="23">
        <f>IF(AND(Z90&lt;0,Y120&gt;0),MIN(Y120,-Z90),0)</f>
        <v>0</v>
      </c>
      <c r="AA91" s="23">
        <f>IF(AND(AA90&lt;0,Z120&gt;0),MIN(Z120,-AA90),0)</f>
        <v>0</v>
      </c>
      <c r="AB91" s="23">
        <f>IF(AND(AB90&lt;0,AA120&gt;0),MIN(AA120,-AB90),0)</f>
        <v>0</v>
      </c>
      <c r="AC91" s="23">
        <f>IF(AND(AC90&lt;0,AB120&gt;0),MIN(AB120,-AC90),0)</f>
        <v>0</v>
      </c>
      <c r="AD91" s="23">
        <f>IF(AND(AD90&lt;0,AC120&gt;0),MIN(AC120,-AD90),0)</f>
        <v>0</v>
      </c>
      <c r="AE91" s="23">
        <f>IF(AND(AE90&lt;0,AD120&gt;0),MIN(AD120,-AE90),0)</f>
        <v>0</v>
      </c>
    </row>
    <row r="92">
      <c r="A92" s="6" t="inlineStr">
        <is>
          <t xml:space="preserve">Cash after that</t>
        </is>
      </c>
      <c r="B92" s="10" t="inlineStr">
        <is>
          <t xml:space="preserve">€</t>
        </is>
      </c>
      <c r="F92" s="23">
        <f>F90+F91</f>
        <v>1335136.0549719844</v>
      </c>
      <c r="G92" s="23">
        <f>G90+G91</f>
        <v>1787470.5168906073</v>
      </c>
      <c r="H92" s="23">
        <f>H90+H91</f>
        <v>454244.95696913963</v>
      </c>
      <c r="I92" s="23">
        <f>I90+I91</f>
        <v>557604.9002700606</v>
      </c>
      <c r="J92" s="23">
        <f>J90+J91</f>
        <v>674567.2435022709</v>
      </c>
      <c r="K92" s="23">
        <f>K90+K91</f>
        <v>753241.3206313951</v>
      </c>
      <c r="L92" s="23">
        <f>L90+L91</f>
        <v>1278110.7406846746</v>
      </c>
      <c r="M92" s="23">
        <f>M90+M91</f>
        <v>1026722.3859645315</v>
      </c>
      <c r="N92" s="23">
        <f>N90+N91</f>
        <v>1147347.4875634117</v>
      </c>
      <c r="O92" s="23">
        <f>O90+O91</f>
        <v>1265656.3117363723</v>
      </c>
      <c r="P92" s="23">
        <f>P90+P91</f>
        <v>1264119.9621321135</v>
      </c>
      <c r="Q92" s="23">
        <f>Q90+Q91</f>
        <v>1384035.7970102413</v>
      </c>
      <c r="R92" s="23">
        <f>R90+R91</f>
        <v>1506050.7260727903</v>
      </c>
      <c r="S92" s="23">
        <f>S90+S91</f>
        <v>1625524.506532616</v>
      </c>
      <c r="T92" s="23">
        <f>T90+T91</f>
        <v>1749457.41726578</v>
      </c>
      <c r="U92" s="23">
        <f>U90+U91</f>
        <v>1873209.7517247559</v>
      </c>
      <c r="V92" s="23">
        <f>V90+V91</f>
        <v>1983518.13510767</v>
      </c>
      <c r="W92" s="23">
        <f>W90+W91</f>
        <v>1999421.800938422</v>
      </c>
      <c r="X92" s="23">
        <f>X90+X91</f>
        <v>2122029.557547912</v>
      </c>
      <c r="Y92" s="23">
        <f>Y90+Y91</f>
        <v>3434807.1715150094</v>
      </c>
      <c r="Z92" s="23">
        <f>Z90+Z91</f>
        <v>3421385.3769154726</v>
      </c>
      <c r="AA92" s="23">
        <f>AA90+AA91</f>
        <v>3479621.929518473</v>
      </c>
      <c r="AB92" s="23">
        <f>AB90+AB91</f>
        <v>3543014.91257796</v>
      </c>
      <c r="AC92" s="23">
        <f>AC90+AC91</f>
        <v>3521401.717710882</v>
      </c>
      <c r="AD92" s="23">
        <f>AD90+AD91</f>
        <v>3325282.1203396544</v>
      </c>
      <c r="AE92" s="23">
        <f>AE90+AE91</f>
        <v>2202700.325412804</v>
      </c>
    </row>
    <row r="93">
      <c r="A93" s="6" t="inlineStr">
        <is>
          <t xml:space="preserve">DSRA at the start</t>
        </is>
      </c>
      <c r="B93" s="10" t="inlineStr">
        <is>
          <t xml:space="preserve">€</t>
        </is>
      </c>
      <c r="F93" s="23">
        <f>E118</f>
        <v>573287.0601285857</v>
      </c>
      <c r="G93" s="23">
        <f>F118</f>
        <v>573287.0601285857</v>
      </c>
      <c r="H93" s="23">
        <f>G118</f>
        <v>573287.0601285857</v>
      </c>
      <c r="I93" s="23">
        <f>H118</f>
        <v>557054.2618926666</v>
      </c>
      <c r="J93" s="23">
        <f>I118</f>
        <v>540821.4636567476</v>
      </c>
      <c r="K93" s="23">
        <f>J118</f>
        <v>524588.6654208285</v>
      </c>
      <c r="L93" s="23">
        <f>K118</f>
        <v>508355.8671849094</v>
      </c>
      <c r="M93" s="23">
        <f>L118</f>
        <v>492123.06894899043</v>
      </c>
      <c r="N93" s="23">
        <f>M118</f>
        <v>475890.27071307134</v>
      </c>
      <c r="O93" s="23">
        <f>N118</f>
        <v>459657.47247715236</v>
      </c>
      <c r="P93" s="23">
        <f>O118</f>
        <v>443424.67424123327</v>
      </c>
      <c r="Q93" s="23">
        <f>P118</f>
        <v>427191.87600531423</v>
      </c>
      <c r="R93" s="23">
        <f>Q118</f>
        <v>410959.07776939514</v>
      </c>
      <c r="S93" s="23">
        <f>R118</f>
        <v>394726.2795334761</v>
      </c>
      <c r="T93" s="23">
        <f>S118</f>
        <v>378493.48129755707</v>
      </c>
      <c r="U93" s="23">
        <f>T118</f>
        <v>362260.68306163803</v>
      </c>
      <c r="V93" s="23">
        <f>U118</f>
        <v>346027.88482571894</v>
      </c>
      <c r="W93" s="23">
        <f>V118</f>
        <v>329795.0865897999</v>
      </c>
      <c r="X93" s="23">
        <f>W118</f>
        <v>313562.2883538849</v>
      </c>
      <c r="Y93" s="23">
        <f>X118</f>
        <v>0</v>
      </c>
      <c r="Z93" s="23">
        <f>Y118</f>
        <v>0</v>
      </c>
      <c r="AA93" s="23">
        <f>Z118</f>
        <v>0</v>
      </c>
      <c r="AB93" s="23">
        <f>AA118</f>
        <v>0</v>
      </c>
      <c r="AC93" s="23">
        <f>AB118</f>
        <v>0</v>
      </c>
      <c r="AD93" s="23">
        <f>AC118</f>
        <v>0</v>
      </c>
      <c r="AE93" s="23">
        <f>AD118</f>
        <v>0</v>
      </c>
    </row>
    <row r="94">
      <c r="A94" s="6" t="inlineStr">
        <is>
          <t xml:space="preserve">DSRA target</t>
        </is>
      </c>
      <c r="B94" s="10" t="inlineStr">
        <is>
          <t xml:space="preserve">€</t>
        </is>
      </c>
      <c r="F94" s="45">
        <f>Debt!F14</f>
        <v>573287.0601285857</v>
      </c>
      <c r="G94" s="45">
        <f>Debt!G14</f>
        <v>573287.0601285857</v>
      </c>
      <c r="H94" s="45">
        <f>Debt!H14</f>
        <v>557054.2618926666</v>
      </c>
      <c r="I94" s="45">
        <f>Debt!I14</f>
        <v>540821.4636567476</v>
      </c>
      <c r="J94" s="45">
        <f>Debt!J14</f>
        <v>524588.6654208285</v>
      </c>
      <c r="K94" s="45">
        <f>Debt!K14</f>
        <v>508355.8671849094</v>
      </c>
      <c r="L94" s="45">
        <f>Debt!L14</f>
        <v>492123.06894899043</v>
      </c>
      <c r="M94" s="45">
        <f>Debt!M14</f>
        <v>475890.27071307134</v>
      </c>
      <c r="N94" s="45">
        <f>Debt!N14</f>
        <v>459657.47247715236</v>
      </c>
      <c r="O94" s="45">
        <f>Debt!O14</f>
        <v>443424.67424123327</v>
      </c>
      <c r="P94" s="45">
        <f>Debt!P14</f>
        <v>427191.87600531423</v>
      </c>
      <c r="Q94" s="45">
        <f>Debt!Q14</f>
        <v>410959.07776939514</v>
      </c>
      <c r="R94" s="45">
        <f>Debt!R14</f>
        <v>394726.2795334761</v>
      </c>
      <c r="S94" s="45">
        <f>Debt!S14</f>
        <v>378493.48129755707</v>
      </c>
      <c r="T94" s="45">
        <f>Debt!T14</f>
        <v>362260.68306163803</v>
      </c>
      <c r="U94" s="45">
        <f>Debt!U14</f>
        <v>346027.88482571894</v>
      </c>
      <c r="V94" s="45">
        <f>Debt!V14</f>
        <v>329795.0865897999</v>
      </c>
      <c r="W94" s="45">
        <f>Debt!W14</f>
        <v>313562.2883538849</v>
      </c>
      <c r="X94" s="45">
        <f>Debt!X14</f>
        <v>0</v>
      </c>
      <c r="Y94" s="45">
        <f>Debt!Y14</f>
        <v>0</v>
      </c>
      <c r="Z94" s="45">
        <f>Debt!Z14</f>
        <v>0</v>
      </c>
      <c r="AA94" s="45">
        <f>Debt!AA14</f>
        <v>0</v>
      </c>
      <c r="AB94" s="45">
        <f>Debt!AB14</f>
        <v>0</v>
      </c>
      <c r="AC94" s="45">
        <f>Debt!AC14</f>
        <v>0</v>
      </c>
      <c r="AD94" s="45">
        <f>Debt!AD14</f>
        <v>0</v>
      </c>
      <c r="AE94" s="45">
        <f>Debt!AE14</f>
        <v>0</v>
      </c>
    </row>
    <row r="95">
      <c r="A95" s="6" t="inlineStr">
        <is>
          <t xml:space="preserve">DSRA top-up from surplus cash</t>
        </is>
      </c>
      <c r="B95" s="10" t="inlineStr">
        <is>
          <t xml:space="preserve">€</t>
        </is>
      </c>
      <c r="F95" s="23">
        <f>IF(F94&gt;F93,MIN(F94-F93,MAX(0,F92)),0)</f>
        <v>0</v>
      </c>
      <c r="G95" s="23">
        <f>IF(G94&gt;G93,MIN(G94-G93,MAX(0,G92)),0)</f>
        <v>0</v>
      </c>
      <c r="H95" s="23">
        <f>IF(H94&gt;H93,MIN(H94-H93,MAX(0,H92)),0)</f>
        <v>0</v>
      </c>
      <c r="I95" s="23">
        <f>IF(I94&gt;I93,MIN(I94-I93,MAX(0,I92)),0)</f>
        <v>0</v>
      </c>
      <c r="J95" s="23">
        <f>IF(J94&gt;J93,MIN(J94-J93,MAX(0,J92)),0)</f>
        <v>0</v>
      </c>
      <c r="K95" s="23">
        <f>IF(K94&gt;K93,MIN(K94-K93,MAX(0,K92)),0)</f>
        <v>0</v>
      </c>
      <c r="L95" s="23">
        <f>IF(L94&gt;L93,MIN(L94-L93,MAX(0,L92)),0)</f>
        <v>0</v>
      </c>
      <c r="M95" s="23">
        <f>IF(M94&gt;M93,MIN(M94-M93,MAX(0,M92)),0)</f>
        <v>0</v>
      </c>
      <c r="N95" s="23">
        <f>IF(N94&gt;N93,MIN(N94-N93,MAX(0,N92)),0)</f>
        <v>0</v>
      </c>
      <c r="O95" s="23">
        <f>IF(O94&gt;O93,MIN(O94-O93,MAX(0,O92)),0)</f>
        <v>0</v>
      </c>
      <c r="P95" s="23">
        <f>IF(P94&gt;P93,MIN(P94-P93,MAX(0,P92)),0)</f>
        <v>0</v>
      </c>
      <c r="Q95" s="23">
        <f>IF(Q94&gt;Q93,MIN(Q94-Q93,MAX(0,Q92)),0)</f>
        <v>0</v>
      </c>
      <c r="R95" s="23">
        <f>IF(R94&gt;R93,MIN(R94-R93,MAX(0,R92)),0)</f>
        <v>0</v>
      </c>
      <c r="S95" s="23">
        <f>IF(S94&gt;S93,MIN(S94-S93,MAX(0,S92)),0)</f>
        <v>0</v>
      </c>
      <c r="T95" s="23">
        <f>IF(T94&gt;T93,MIN(T94-T93,MAX(0,T92)),0)</f>
        <v>0</v>
      </c>
      <c r="U95" s="23">
        <f>IF(U94&gt;U93,MIN(U94-U93,MAX(0,U92)),0)</f>
        <v>0</v>
      </c>
      <c r="V95" s="23">
        <f>IF(V94&gt;V93,MIN(V94-V93,MAX(0,V92)),0)</f>
        <v>0</v>
      </c>
      <c r="W95" s="23">
        <f>IF(W94&gt;W93,MIN(W94-W93,MAX(0,W92)),0)</f>
        <v>0</v>
      </c>
      <c r="X95" s="23">
        <f>IF(X94&gt;X93,MIN(X94-X93,MAX(0,X92)),0)</f>
        <v>0</v>
      </c>
      <c r="Y95" s="23">
        <f>IF(Y94&gt;Y93,MIN(Y94-Y93,MAX(0,Y92)),0)</f>
        <v>0</v>
      </c>
      <c r="Z95" s="23">
        <f>IF(Z94&gt;Z93,MIN(Z94-Z93,MAX(0,Z92)),0)</f>
        <v>0</v>
      </c>
      <c r="AA95" s="23">
        <f>IF(AA94&gt;AA93,MIN(AA94-AA93,MAX(0,AA92)),0)</f>
        <v>0</v>
      </c>
      <c r="AB95" s="23">
        <f>IF(AB94&gt;AB93,MIN(AB94-AB93,MAX(0,AB92)),0)</f>
        <v>0</v>
      </c>
      <c r="AC95" s="23">
        <f>IF(AC94&gt;AC93,MIN(AC94-AC93,MAX(0,AC92)),0)</f>
        <v>0</v>
      </c>
      <c r="AD95" s="23">
        <f>IF(AD94&gt;AD93,MIN(AD94-AD93,MAX(0,AD92)),0)</f>
        <v>0</v>
      </c>
      <c r="AE95" s="23">
        <f>IF(AE94&gt;AE93,MIN(AE94-AE93,MAX(0,AE92)),0)</f>
        <v>0</v>
      </c>
    </row>
    <row r="96">
      <c r="A96" s="6" t="inlineStr">
        <is>
          <t xml:space="preserve">DSRA release above the target</t>
        </is>
      </c>
      <c r="B96" s="10" t="inlineStr">
        <is>
          <t xml:space="preserve">€</t>
        </is>
      </c>
      <c r="F96" s="23">
        <f>IF(F94&gt;F93,0,F93-F94)</f>
        <v>0</v>
      </c>
      <c r="G96" s="23">
        <f>IF(G94&gt;G93,0,G93-G94)</f>
        <v>0</v>
      </c>
      <c r="H96" s="23">
        <f>IF(H94&gt;H93,0,H93-H94)</f>
        <v>16232.798235919094</v>
      </c>
      <c r="I96" s="23">
        <f>IF(I94&gt;I93,0,I93-I94)</f>
        <v>16232.798235918977</v>
      </c>
      <c r="J96" s="23">
        <f>IF(J94&gt;J93,0,J93-J94)</f>
        <v>16232.798235919094</v>
      </c>
      <c r="K96" s="23">
        <f>IF(K94&gt;K93,0,K93-K94)</f>
        <v>16232.798235919094</v>
      </c>
      <c r="L96" s="23">
        <f>IF(L94&gt;L93,0,L93-L94)</f>
        <v>16232.798235918977</v>
      </c>
      <c r="M96" s="23">
        <f>IF(M94&gt;M93,0,M93-M94)</f>
        <v>16232.798235919094</v>
      </c>
      <c r="N96" s="23">
        <f>IF(N94&gt;N93,0,N93-N94)</f>
        <v>16232.798235918977</v>
      </c>
      <c r="O96" s="23">
        <f>IF(O94&gt;O93,0,O93-O94)</f>
        <v>16232.798235919094</v>
      </c>
      <c r="P96" s="23">
        <f>IF(P94&gt;P93,0,P93-P94)</f>
        <v>16232.798235919036</v>
      </c>
      <c r="Q96" s="23">
        <f>IF(Q94&gt;Q93,0,Q93-Q94)</f>
        <v>16232.798235919094</v>
      </c>
      <c r="R96" s="23">
        <f>IF(R94&gt;R93,0,R93-R94)</f>
        <v>16232.798235919036</v>
      </c>
      <c r="S96" s="23">
        <f>IF(S94&gt;S93,0,S93-S94)</f>
        <v>16232.798235919036</v>
      </c>
      <c r="T96" s="23">
        <f>IF(T94&gt;T93,0,T93-T94)</f>
        <v>16232.798235919036</v>
      </c>
      <c r="U96" s="23">
        <f>IF(U94&gt;U93,0,U93-U94)</f>
        <v>16232.798235919094</v>
      </c>
      <c r="V96" s="23">
        <f>IF(V94&gt;V93,0,V93-V94)</f>
        <v>16232.798235919036</v>
      </c>
      <c r="W96" s="23">
        <f>IF(W94&gt;W93,0,W93-W94)</f>
        <v>16232.79823591502</v>
      </c>
      <c r="X96" s="23">
        <f>IF(X94&gt;X93,0,X93-X94)</f>
        <v>313562.2883538849</v>
      </c>
      <c r="Y96" s="23">
        <f>IF(Y94&gt;Y93,0,Y93-Y94)</f>
        <v>0</v>
      </c>
      <c r="Z96" s="23">
        <f>IF(Z94&gt;Z93,0,Z93-Z94)</f>
        <v>0</v>
      </c>
      <c r="AA96" s="23">
        <f>IF(AA94&gt;AA93,0,AA93-AA94)</f>
        <v>0</v>
      </c>
      <c r="AB96" s="23">
        <f>IF(AB94&gt;AB93,0,AB93-AB94)</f>
        <v>0</v>
      </c>
      <c r="AC96" s="23">
        <f>IF(AC94&gt;AC93,0,AC93-AC94)</f>
        <v>0</v>
      </c>
      <c r="AD96" s="23">
        <f>IF(AD94&gt;AD93,0,AD93-AD94)</f>
        <v>0</v>
      </c>
      <c r="AE96" s="23">
        <f>IF(AE94&gt;AE93,0,AE93-AE94)</f>
        <v>0</v>
      </c>
    </row>
    <row r="97">
      <c r="A97" s="6" t="inlineStr">
        <is>
          <t xml:space="preserve">Cash after DSRA top-up and release</t>
        </is>
      </c>
      <c r="B97" s="10" t="inlineStr">
        <is>
          <t xml:space="preserve">€</t>
        </is>
      </c>
      <c r="F97" s="23">
        <f>F92-F95+F96</f>
        <v>1335136.0549719844</v>
      </c>
      <c r="G97" s="23">
        <f>G92-G95+G96</f>
        <v>1787470.5168906073</v>
      </c>
      <c r="H97" s="23">
        <f>H92-H95+H96</f>
        <v>470477.7552050587</v>
      </c>
      <c r="I97" s="23">
        <f>I92-I95+I96</f>
        <v>573837.6985059796</v>
      </c>
      <c r="J97" s="23">
        <f>J92-J95+J96</f>
        <v>690800.04173819</v>
      </c>
      <c r="K97" s="23">
        <f>K92-K95+K96</f>
        <v>769474.1188673142</v>
      </c>
      <c r="L97" s="23">
        <f>L92-L95+L96</f>
        <v>1294343.5389205934</v>
      </c>
      <c r="M97" s="23">
        <f>M92-M95+M96</f>
        <v>1042955.1842004505</v>
      </c>
      <c r="N97" s="23">
        <f>N92-N95+N96</f>
        <v>1163580.2857993306</v>
      </c>
      <c r="O97" s="23">
        <f>O92-O95+O96</f>
        <v>1281889.1099722914</v>
      </c>
      <c r="P97" s="23">
        <f>P92-P95+P96</f>
        <v>1280352.7603680326</v>
      </c>
      <c r="Q97" s="23">
        <f>Q92-Q95+Q96</f>
        <v>1400268.5952461604</v>
      </c>
      <c r="R97" s="23">
        <f>R92-R95+R96</f>
        <v>1522283.5243087094</v>
      </c>
      <c r="S97" s="23">
        <f>S92-S95+S96</f>
        <v>1641757.304768535</v>
      </c>
      <c r="T97" s="23">
        <f>T92-T95+T96</f>
        <v>1765690.2155016991</v>
      </c>
      <c r="U97" s="23">
        <f>U92-U95+U96</f>
        <v>1889442.549960675</v>
      </c>
      <c r="V97" s="23">
        <f>V92-V95+V96</f>
        <v>1999750.933343589</v>
      </c>
      <c r="W97" s="23">
        <f>W92-W95+W96</f>
        <v>2015654.599174337</v>
      </c>
      <c r="X97" s="23">
        <f>X92-X95+X96</f>
        <v>2435591.845901797</v>
      </c>
      <c r="Y97" s="23">
        <f>Y92-Y95+Y96</f>
        <v>3434807.1715150094</v>
      </c>
      <c r="Z97" s="23">
        <f>Z92-Z95+Z96</f>
        <v>3421385.3769154726</v>
      </c>
      <c r="AA97" s="23">
        <f>AA92-AA95+AA96</f>
        <v>3479621.929518473</v>
      </c>
      <c r="AB97" s="23">
        <f>AB92-AB95+AB96</f>
        <v>3543014.91257796</v>
      </c>
      <c r="AC97" s="23">
        <f>AC92-AC95+AC96</f>
        <v>3521401.717710882</v>
      </c>
      <c r="AD97" s="23">
        <f>AD92-AD95+AD96</f>
        <v>3325282.1203396544</v>
      </c>
      <c r="AE97" s="23">
        <f>AE92-AE95+AE96</f>
        <v>2202700.325412804</v>
      </c>
    </row>
    <row r="98">
      <c r="A98" s="6" t="inlineStr">
        <is>
          <t xml:space="preserve">DSRA drawn for a shortfall</t>
        </is>
      </c>
      <c r="B98" s="10" t="inlineStr">
        <is>
          <t xml:space="preserve">€</t>
        </is>
      </c>
      <c r="F98" s="23">
        <f>IF(F97&lt;0,MIN(F93+F95-F96,-F97),0)</f>
        <v>0</v>
      </c>
      <c r="G98" s="23">
        <f>IF(G97&lt;0,MIN(G93+G95-G96,-G97),0)</f>
        <v>0</v>
      </c>
      <c r="H98" s="23">
        <f>IF(H97&lt;0,MIN(H93+H95-H96,-H97),0)</f>
        <v>0</v>
      </c>
      <c r="I98" s="23">
        <f>IF(I97&lt;0,MIN(I93+I95-I96,-I97),0)</f>
        <v>0</v>
      </c>
      <c r="J98" s="23">
        <f>IF(J97&lt;0,MIN(J93+J95-J96,-J97),0)</f>
        <v>0</v>
      </c>
      <c r="K98" s="23">
        <f>IF(K97&lt;0,MIN(K93+K95-K96,-K97),0)</f>
        <v>0</v>
      </c>
      <c r="L98" s="23">
        <f>IF(L97&lt;0,MIN(L93+L95-L96,-L97),0)</f>
        <v>0</v>
      </c>
      <c r="M98" s="23">
        <f>IF(M97&lt;0,MIN(M93+M95-M96,-M97),0)</f>
        <v>0</v>
      </c>
      <c r="N98" s="23">
        <f>IF(N97&lt;0,MIN(N93+N95-N96,-N97),0)</f>
        <v>0</v>
      </c>
      <c r="O98" s="23">
        <f>IF(O97&lt;0,MIN(O93+O95-O96,-O97),0)</f>
        <v>0</v>
      </c>
      <c r="P98" s="23">
        <f>IF(P97&lt;0,MIN(P93+P95-P96,-P97),0)</f>
        <v>0</v>
      </c>
      <c r="Q98" s="23">
        <f>IF(Q97&lt;0,MIN(Q93+Q95-Q96,-Q97),0)</f>
        <v>0</v>
      </c>
      <c r="R98" s="23">
        <f>IF(R97&lt;0,MIN(R93+R95-R96,-R97),0)</f>
        <v>0</v>
      </c>
      <c r="S98" s="23">
        <f>IF(S97&lt;0,MIN(S93+S95-S96,-S97),0)</f>
        <v>0</v>
      </c>
      <c r="T98" s="23">
        <f>IF(T97&lt;0,MIN(T93+T95-T96,-T97),0)</f>
        <v>0</v>
      </c>
      <c r="U98" s="23">
        <f>IF(U97&lt;0,MIN(U93+U95-U96,-U97),0)</f>
        <v>0</v>
      </c>
      <c r="V98" s="23">
        <f>IF(V97&lt;0,MIN(V93+V95-V96,-V97),0)</f>
        <v>0</v>
      </c>
      <c r="W98" s="23">
        <f>IF(W97&lt;0,MIN(W93+W95-W96,-W97),0)</f>
        <v>0</v>
      </c>
      <c r="X98" s="23">
        <f>IF(X97&lt;0,MIN(X93+X95-X96,-X97),0)</f>
        <v>0</v>
      </c>
      <c r="Y98" s="23">
        <f>IF(Y97&lt;0,MIN(Y93+Y95-Y96,-Y97),0)</f>
        <v>0</v>
      </c>
      <c r="Z98" s="23">
        <f>IF(Z97&lt;0,MIN(Z93+Z95-Z96,-Z97),0)</f>
        <v>0</v>
      </c>
      <c r="AA98" s="23">
        <f>IF(AA97&lt;0,MIN(AA93+AA95-AA96,-AA97),0)</f>
        <v>0</v>
      </c>
      <c r="AB98" s="23">
        <f>IF(AB97&lt;0,MIN(AB93+AB95-AB96,-AB97),0)</f>
        <v>0</v>
      </c>
      <c r="AC98" s="23">
        <f>IF(AC97&lt;0,MIN(AC93+AC95-AC96,-AC97),0)</f>
        <v>0</v>
      </c>
      <c r="AD98" s="23">
        <f>IF(AD97&lt;0,MIN(AD93+AD95-AD96,-AD97),0)</f>
        <v>0</v>
      </c>
      <c r="AE98" s="23">
        <f>IF(AE97&lt;0,MIN(AE93+AE95-AE96,-AE97),0)</f>
        <v>0</v>
      </c>
    </row>
    <row r="99">
      <c r="A99" s="6" t="inlineStr">
        <is>
          <t xml:space="preserve">Cash after the DSRA</t>
        </is>
      </c>
      <c r="B99" s="10" t="inlineStr">
        <is>
          <t xml:space="preserve">€</t>
        </is>
      </c>
      <c r="F99" s="23">
        <f>F97+F98</f>
        <v>1335136.0549719844</v>
      </c>
      <c r="G99" s="23">
        <f>G97+G98</f>
        <v>1787470.5168906073</v>
      </c>
      <c r="H99" s="23">
        <f>H97+H98</f>
        <v>470477.7552050587</v>
      </c>
      <c r="I99" s="23">
        <f>I97+I98</f>
        <v>573837.6985059796</v>
      </c>
      <c r="J99" s="23">
        <f>J97+J98</f>
        <v>690800.04173819</v>
      </c>
      <c r="K99" s="23">
        <f>K97+K98</f>
        <v>769474.1188673142</v>
      </c>
      <c r="L99" s="23">
        <f>L97+L98</f>
        <v>1294343.5389205934</v>
      </c>
      <c r="M99" s="23">
        <f>M97+M98</f>
        <v>1042955.1842004505</v>
      </c>
      <c r="N99" s="23">
        <f>N97+N98</f>
        <v>1163580.2857993306</v>
      </c>
      <c r="O99" s="23">
        <f>O97+O98</f>
        <v>1281889.1099722914</v>
      </c>
      <c r="P99" s="23">
        <f>P97+P98</f>
        <v>1280352.7603680326</v>
      </c>
      <c r="Q99" s="23">
        <f>Q97+Q98</f>
        <v>1400268.5952461604</v>
      </c>
      <c r="R99" s="23">
        <f>R97+R98</f>
        <v>1522283.5243087094</v>
      </c>
      <c r="S99" s="23">
        <f>S97+S98</f>
        <v>1641757.304768535</v>
      </c>
      <c r="T99" s="23">
        <f>T97+T98</f>
        <v>1765690.2155016991</v>
      </c>
      <c r="U99" s="23">
        <f>U97+U98</f>
        <v>1889442.549960675</v>
      </c>
      <c r="V99" s="23">
        <f>V97+V98</f>
        <v>1999750.933343589</v>
      </c>
      <c r="W99" s="23">
        <f>W97+W98</f>
        <v>2015654.599174337</v>
      </c>
      <c r="X99" s="23">
        <f>X97+X98</f>
        <v>2435591.845901797</v>
      </c>
      <c r="Y99" s="23">
        <f>Y97+Y98</f>
        <v>3434807.1715150094</v>
      </c>
      <c r="Z99" s="23">
        <f>Z97+Z98</f>
        <v>3421385.3769154726</v>
      </c>
      <c r="AA99" s="23">
        <f>AA97+AA98</f>
        <v>3479621.929518473</v>
      </c>
      <c r="AB99" s="23">
        <f>AB97+AB98</f>
        <v>3543014.91257796</v>
      </c>
      <c r="AC99" s="23">
        <f>AC97+AC98</f>
        <v>3521401.717710882</v>
      </c>
      <c r="AD99" s="23">
        <f>AD97+AD98</f>
        <v>3325282.1203396544</v>
      </c>
      <c r="AE99" s="23">
        <f>AE97+AE98</f>
        <v>2202700.325412804</v>
      </c>
    </row>
    <row r="100">
      <c r="A100" s="6" t="inlineStr">
        <is>
          <t xml:space="preserve">Reserve instalments still to pay</t>
        </is>
      </c>
      <c r="F100" s="23">
        <f>E104</f>
        <v>6</v>
      </c>
      <c r="G100" s="23">
        <f>F104</f>
        <v>6</v>
      </c>
      <c r="H100" s="23">
        <f>G104</f>
        <v>6</v>
      </c>
      <c r="I100" s="23">
        <f>H104</f>
        <v>6</v>
      </c>
      <c r="J100" s="23">
        <f>I104</f>
        <v>6</v>
      </c>
      <c r="K100" s="23">
        <f>J104</f>
        <v>6</v>
      </c>
      <c r="L100" s="23">
        <f>K104</f>
        <v>6</v>
      </c>
      <c r="M100" s="23">
        <f>L104</f>
        <v>6</v>
      </c>
      <c r="N100" s="23">
        <f>M104</f>
        <v>6</v>
      </c>
      <c r="O100" s="23">
        <f>N104</f>
        <v>6</v>
      </c>
      <c r="P100" s="23">
        <f>O104</f>
        <v>6</v>
      </c>
      <c r="Q100" s="23">
        <f>P104</f>
        <v>6</v>
      </c>
      <c r="R100" s="23">
        <f>Q104</f>
        <v>6</v>
      </c>
      <c r="S100" s="23">
        <f>R104</f>
        <v>6</v>
      </c>
      <c r="T100" s="23">
        <f>S104</f>
        <v>6</v>
      </c>
      <c r="U100" s="23">
        <f>T104</f>
        <v>6</v>
      </c>
      <c r="V100" s="23">
        <f>U104</f>
        <v>6</v>
      </c>
      <c r="W100" s="23">
        <f>V104</f>
        <v>6</v>
      </c>
      <c r="X100" s="23">
        <f>W104</f>
        <v>6</v>
      </c>
      <c r="Y100" s="23">
        <f>X104</f>
        <v>6</v>
      </c>
      <c r="Z100" s="23">
        <f>Y104</f>
        <v>6</v>
      </c>
      <c r="AA100" s="23">
        <f>Z104</f>
        <v>5</v>
      </c>
      <c r="AB100" s="23">
        <f>AA104</f>
        <v>4</v>
      </c>
      <c r="AC100" s="23">
        <f>AB104</f>
        <v>3</v>
      </c>
      <c r="AD100" s="23">
        <f>AC104</f>
        <v>2</v>
      </c>
      <c r="AE100" s="23">
        <f>AD104</f>
        <v>1</v>
      </c>
    </row>
    <row r="101">
      <c r="A101" s="6" t="inlineStr">
        <is>
          <t xml:space="preserve">Decommissioning reserve at the start</t>
        </is>
      </c>
      <c r="B101" s="10" t="inlineStr">
        <is>
          <t xml:space="preserve">€</t>
        </is>
      </c>
      <c r="E101" s="9">
        <v>0</v>
      </c>
      <c r="F101" s="23">
        <f>E119</f>
        <v>0</v>
      </c>
      <c r="G101" s="23">
        <f>F119</f>
        <v>0</v>
      </c>
      <c r="H101" s="23">
        <f>G119</f>
        <v>0</v>
      </c>
      <c r="I101" s="23">
        <f>H119</f>
        <v>0</v>
      </c>
      <c r="J101" s="23">
        <f>I119</f>
        <v>0</v>
      </c>
      <c r="K101" s="23">
        <f>J119</f>
        <v>0</v>
      </c>
      <c r="L101" s="23">
        <f>K119</f>
        <v>0</v>
      </c>
      <c r="M101" s="23">
        <f>L119</f>
        <v>0</v>
      </c>
      <c r="N101" s="23">
        <f>M119</f>
        <v>0</v>
      </c>
      <c r="O101" s="23">
        <f>N119</f>
        <v>0</v>
      </c>
      <c r="P101" s="23">
        <f>O119</f>
        <v>0</v>
      </c>
      <c r="Q101" s="23">
        <f>P119</f>
        <v>0</v>
      </c>
      <c r="R101" s="23">
        <f>Q119</f>
        <v>0</v>
      </c>
      <c r="S101" s="23">
        <f>R119</f>
        <v>0</v>
      </c>
      <c r="T101" s="23">
        <f>S119</f>
        <v>0</v>
      </c>
      <c r="U101" s="23">
        <f>T119</f>
        <v>0</v>
      </c>
      <c r="V101" s="23">
        <f>U119</f>
        <v>0</v>
      </c>
      <c r="W101" s="23">
        <f>V119</f>
        <v>0</v>
      </c>
      <c r="X101" s="23">
        <f>W119</f>
        <v>0</v>
      </c>
      <c r="Y101" s="23">
        <f>X119</f>
        <v>0</v>
      </c>
      <c r="Z101" s="23">
        <f>Y119</f>
        <v>0</v>
      </c>
      <c r="AA101" s="23">
        <f>Z119</f>
        <v>450690.3190348829</v>
      </c>
      <c r="AB101" s="23">
        <f>AA119</f>
        <v>901380.6380697659</v>
      </c>
      <c r="AC101" s="23">
        <f>AB119</f>
        <v>1352070.9571046487</v>
      </c>
      <c r="AD101" s="23">
        <f>AC119</f>
        <v>1802761.2761395315</v>
      </c>
      <c r="AE101" s="23">
        <f>AD119</f>
        <v>2253451.5951744146</v>
      </c>
    </row>
    <row r="102">
      <c r="A102" s="6" t="inlineStr">
        <is>
          <t xml:space="preserve">Planned reserve instalment</t>
        </is>
      </c>
      <c r="B102" s="10" t="inlineStr">
        <is>
          <t xml:space="preserve">€</t>
        </is>
      </c>
      <c r="F102" s="23">
        <f>IF(F100&gt;0,(Timing!$C$34-F101)/F100,0)</f>
        <v>450690.3190348829</v>
      </c>
      <c r="G102" s="23">
        <f>IF(G100&gt;0,(Timing!$C$34-G101)/G100,0)</f>
        <v>450690.3190348829</v>
      </c>
      <c r="H102" s="23">
        <f>IF(H100&gt;0,(Timing!$C$34-H101)/H100,0)</f>
        <v>450690.3190348829</v>
      </c>
      <c r="I102" s="23">
        <f>IF(I100&gt;0,(Timing!$C$34-I101)/I100,0)</f>
        <v>450690.3190348829</v>
      </c>
      <c r="J102" s="23">
        <f>IF(J100&gt;0,(Timing!$C$34-J101)/J100,0)</f>
        <v>450690.3190348829</v>
      </c>
      <c r="K102" s="23">
        <f>IF(K100&gt;0,(Timing!$C$34-K101)/K100,0)</f>
        <v>450690.3190348829</v>
      </c>
      <c r="L102" s="23">
        <f>IF(L100&gt;0,(Timing!$C$34-L101)/L100,0)</f>
        <v>450690.3190348829</v>
      </c>
      <c r="M102" s="23">
        <f>IF(M100&gt;0,(Timing!$C$34-M101)/M100,0)</f>
        <v>450690.3190348829</v>
      </c>
      <c r="N102" s="23">
        <f>IF(N100&gt;0,(Timing!$C$34-N101)/N100,0)</f>
        <v>450690.3190348829</v>
      </c>
      <c r="O102" s="23">
        <f>IF(O100&gt;0,(Timing!$C$34-O101)/O100,0)</f>
        <v>450690.3190348829</v>
      </c>
      <c r="P102" s="23">
        <f>IF(P100&gt;0,(Timing!$C$34-P101)/P100,0)</f>
        <v>450690.3190348829</v>
      </c>
      <c r="Q102" s="23">
        <f>IF(Q100&gt;0,(Timing!$C$34-Q101)/Q100,0)</f>
        <v>450690.3190348829</v>
      </c>
      <c r="R102" s="23">
        <f>IF(R100&gt;0,(Timing!$C$34-R101)/R100,0)</f>
        <v>450690.3190348829</v>
      </c>
      <c r="S102" s="23">
        <f>IF(S100&gt;0,(Timing!$C$34-S101)/S100,0)</f>
        <v>450690.3190348829</v>
      </c>
      <c r="T102" s="23">
        <f>IF(T100&gt;0,(Timing!$C$34-T101)/T100,0)</f>
        <v>450690.3190348829</v>
      </c>
      <c r="U102" s="23">
        <f>IF(U100&gt;0,(Timing!$C$34-U101)/U100,0)</f>
        <v>450690.3190348829</v>
      </c>
      <c r="V102" s="23">
        <f>IF(V100&gt;0,(Timing!$C$34-V101)/V100,0)</f>
        <v>450690.3190348829</v>
      </c>
      <c r="W102" s="23">
        <f>IF(W100&gt;0,(Timing!$C$34-W101)/W100,0)</f>
        <v>450690.3190348829</v>
      </c>
      <c r="X102" s="23">
        <f>IF(X100&gt;0,(Timing!$C$34-X101)/X100,0)</f>
        <v>450690.3190348829</v>
      </c>
      <c r="Y102" s="23">
        <f>IF(Y100&gt;0,(Timing!$C$34-Y101)/Y100,0)</f>
        <v>450690.3190348829</v>
      </c>
      <c r="Z102" s="23">
        <f>IF(Z100&gt;0,(Timing!$C$34-Z101)/Z100,0)</f>
        <v>450690.3190348829</v>
      </c>
      <c r="AA102" s="23">
        <f>IF(AA100&gt;0,(Timing!$C$34-AA101)/AA100,0)</f>
        <v>450690.31903488294</v>
      </c>
      <c r="AB102" s="23">
        <f>IF(AB100&gt;0,(Timing!$C$34-AB101)/AB100,0)</f>
        <v>450690.3190348829</v>
      </c>
      <c r="AC102" s="23">
        <f>IF(AC100&gt;0,(Timing!$C$34-AC101)/AC100,0)</f>
        <v>450690.3190348829</v>
      </c>
      <c r="AD102" s="23">
        <f>IF(AD100&gt;0,(Timing!$C$34-AD101)/AD100,0)</f>
        <v>450690.31903488294</v>
      </c>
      <c r="AE102" s="23">
        <f>IF(AE100&gt;0,(Timing!$C$34-AE101)/AE100,0)</f>
        <v>450690.3190348828</v>
      </c>
    </row>
    <row r="103">
      <c r="A103" s="6" t="inlineStr">
        <is>
          <t xml:space="preserve">Paid into the reserve</t>
        </is>
      </c>
      <c r="B103" s="10" t="inlineStr">
        <is>
          <t xml:space="preserve">€</t>
        </is>
      </c>
      <c r="F103" s="23">
        <f>IF(AND(Timing!F81=1,F100&gt;0),IF(Timing!F72=1,Timing!$C$34-F101,MIN(MAX(0,F99),F102)),0)</f>
        <v>0</v>
      </c>
      <c r="G103" s="23">
        <f>IF(AND(Timing!G81=1,G100&gt;0),IF(Timing!G72=1,Timing!$C$34-G101,MIN(MAX(0,G99),G102)),0)</f>
        <v>0</v>
      </c>
      <c r="H103" s="23">
        <f>IF(AND(Timing!H81=1,H100&gt;0),IF(Timing!H72=1,Timing!$C$34-H101,MIN(MAX(0,H99),H102)),0)</f>
        <v>0</v>
      </c>
      <c r="I103" s="23">
        <f>IF(AND(Timing!I81=1,I100&gt;0),IF(Timing!I72=1,Timing!$C$34-I101,MIN(MAX(0,I99),I102)),0)</f>
        <v>0</v>
      </c>
      <c r="J103" s="23">
        <f>IF(AND(Timing!J81=1,J100&gt;0),IF(Timing!J72=1,Timing!$C$34-J101,MIN(MAX(0,J99),J102)),0)</f>
        <v>0</v>
      </c>
      <c r="K103" s="23">
        <f>IF(AND(Timing!K81=1,K100&gt;0),IF(Timing!K72=1,Timing!$C$34-K101,MIN(MAX(0,K99),K102)),0)</f>
        <v>0</v>
      </c>
      <c r="L103" s="23">
        <f>IF(AND(Timing!L81=1,L100&gt;0),IF(Timing!L72=1,Timing!$C$34-L101,MIN(MAX(0,L99),L102)),0)</f>
        <v>0</v>
      </c>
      <c r="M103" s="23">
        <f>IF(AND(Timing!M81=1,M100&gt;0),IF(Timing!M72=1,Timing!$C$34-M101,MIN(MAX(0,M99),M102)),0)</f>
        <v>0</v>
      </c>
      <c r="N103" s="23">
        <f>IF(AND(Timing!N81=1,N100&gt;0),IF(Timing!N72=1,Timing!$C$34-N101,MIN(MAX(0,N99),N102)),0)</f>
        <v>0</v>
      </c>
      <c r="O103" s="23">
        <f>IF(AND(Timing!O81=1,O100&gt;0),IF(Timing!O72=1,Timing!$C$34-O101,MIN(MAX(0,O99),O102)),0)</f>
        <v>0</v>
      </c>
      <c r="P103" s="23">
        <f>IF(AND(Timing!P81=1,P100&gt;0),IF(Timing!P72=1,Timing!$C$34-P101,MIN(MAX(0,P99),P102)),0)</f>
        <v>0</v>
      </c>
      <c r="Q103" s="23">
        <f>IF(AND(Timing!Q81=1,Q100&gt;0),IF(Timing!Q72=1,Timing!$C$34-Q101,MIN(MAX(0,Q99),Q102)),0)</f>
        <v>0</v>
      </c>
      <c r="R103" s="23">
        <f>IF(AND(Timing!R81=1,R100&gt;0),IF(Timing!R72=1,Timing!$C$34-R101,MIN(MAX(0,R99),R102)),0)</f>
        <v>0</v>
      </c>
      <c r="S103" s="23">
        <f>IF(AND(Timing!S81=1,S100&gt;0),IF(Timing!S72=1,Timing!$C$34-S101,MIN(MAX(0,S99),S102)),0)</f>
        <v>0</v>
      </c>
      <c r="T103" s="23">
        <f>IF(AND(Timing!T81=1,T100&gt;0),IF(Timing!T72=1,Timing!$C$34-T101,MIN(MAX(0,T99),T102)),0)</f>
        <v>0</v>
      </c>
      <c r="U103" s="23">
        <f>IF(AND(Timing!U81=1,U100&gt;0),IF(Timing!U72=1,Timing!$C$34-U101,MIN(MAX(0,U99),U102)),0)</f>
        <v>0</v>
      </c>
      <c r="V103" s="23">
        <f>IF(AND(Timing!V81=1,V100&gt;0),IF(Timing!V72=1,Timing!$C$34-V101,MIN(MAX(0,V99),V102)),0)</f>
        <v>0</v>
      </c>
      <c r="W103" s="23">
        <f>IF(AND(Timing!W81=1,W100&gt;0),IF(Timing!W72=1,Timing!$C$34-W101,MIN(MAX(0,W99),W102)),0)</f>
        <v>0</v>
      </c>
      <c r="X103" s="23">
        <f>IF(AND(Timing!X81=1,X100&gt;0),IF(Timing!X72=1,Timing!$C$34-X101,MIN(MAX(0,X99),X102)),0)</f>
        <v>0</v>
      </c>
      <c r="Y103" s="23">
        <f>IF(AND(Timing!Y81=1,Y100&gt;0),IF(Timing!Y72=1,Timing!$C$34-Y101,MIN(MAX(0,Y99),Y102)),0)</f>
        <v>0</v>
      </c>
      <c r="Z103" s="23">
        <f>IF(AND(Timing!Z81=1,Z100&gt;0),IF(Timing!Z72=1,Timing!$C$34-Z101,MIN(MAX(0,Z99),Z102)),0)</f>
        <v>450690.3190348829</v>
      </c>
      <c r="AA103" s="23">
        <f>IF(AND(Timing!AA81=1,AA100&gt;0),IF(Timing!AA72=1,Timing!$C$34-AA101,MIN(MAX(0,AA99),AA102)),0)</f>
        <v>450690.31903488294</v>
      </c>
      <c r="AB103" s="23">
        <f>IF(AND(Timing!AB81=1,AB100&gt;0),IF(Timing!AB72=1,Timing!$C$34-AB101,MIN(MAX(0,AB99),AB102)),0)</f>
        <v>450690.3190348829</v>
      </c>
      <c r="AC103" s="23">
        <f>IF(AND(Timing!AC81=1,AC100&gt;0),IF(Timing!AC72=1,Timing!$C$34-AC101,MIN(MAX(0,AC99),AC102)),0)</f>
        <v>450690.3190348829</v>
      </c>
      <c r="AD103" s="23">
        <f>IF(AND(Timing!AD81=1,AD100&gt;0),IF(Timing!AD72=1,Timing!$C$34-AD101,MIN(MAX(0,AD99),AD102)),0)</f>
        <v>450690.31903488294</v>
      </c>
      <c r="AE103" s="23">
        <f>IF(AND(Timing!AE81=1,AE100&gt;0),IF(Timing!AE72=1,Timing!$C$34-AE101,MIN(MAX(0,AE99),AE102)),0)</f>
        <v>450690.3190348828</v>
      </c>
    </row>
    <row r="104">
      <c r="A104" s="6" t="inlineStr">
        <is>
          <t xml:space="preserve">Reserve instalments left</t>
        </is>
      </c>
      <c r="E104" s="23">
        <f>SUM(Timing!$F$81:$AE$81)</f>
        <v>6</v>
      </c>
      <c r="F104" s="23">
        <f>F100-IF(AND(Timing!F81=1,F100&gt;0),1,0)</f>
        <v>6</v>
      </c>
      <c r="G104" s="23">
        <f>G100-IF(AND(Timing!G81=1,G100&gt;0),1,0)</f>
        <v>6</v>
      </c>
      <c r="H104" s="23">
        <f>H100-IF(AND(Timing!H81=1,H100&gt;0),1,0)</f>
        <v>6</v>
      </c>
      <c r="I104" s="23">
        <f>I100-IF(AND(Timing!I81=1,I100&gt;0),1,0)</f>
        <v>6</v>
      </c>
      <c r="J104" s="23">
        <f>J100-IF(AND(Timing!J81=1,J100&gt;0),1,0)</f>
        <v>6</v>
      </c>
      <c r="K104" s="23">
        <f>K100-IF(AND(Timing!K81=1,K100&gt;0),1,0)</f>
        <v>6</v>
      </c>
      <c r="L104" s="23">
        <f>L100-IF(AND(Timing!L81=1,L100&gt;0),1,0)</f>
        <v>6</v>
      </c>
      <c r="M104" s="23">
        <f>M100-IF(AND(Timing!M81=1,M100&gt;0),1,0)</f>
        <v>6</v>
      </c>
      <c r="N104" s="23">
        <f>N100-IF(AND(Timing!N81=1,N100&gt;0),1,0)</f>
        <v>6</v>
      </c>
      <c r="O104" s="23">
        <f>O100-IF(AND(Timing!O81=1,O100&gt;0),1,0)</f>
        <v>6</v>
      </c>
      <c r="P104" s="23">
        <f>P100-IF(AND(Timing!P81=1,P100&gt;0),1,0)</f>
        <v>6</v>
      </c>
      <c r="Q104" s="23">
        <f>Q100-IF(AND(Timing!Q81=1,Q100&gt;0),1,0)</f>
        <v>6</v>
      </c>
      <c r="R104" s="23">
        <f>R100-IF(AND(Timing!R81=1,R100&gt;0),1,0)</f>
        <v>6</v>
      </c>
      <c r="S104" s="23">
        <f>S100-IF(AND(Timing!S81=1,S100&gt;0),1,0)</f>
        <v>6</v>
      </c>
      <c r="T104" s="23">
        <f>T100-IF(AND(Timing!T81=1,T100&gt;0),1,0)</f>
        <v>6</v>
      </c>
      <c r="U104" s="23">
        <f>U100-IF(AND(Timing!U81=1,U100&gt;0),1,0)</f>
        <v>6</v>
      </c>
      <c r="V104" s="23">
        <f>V100-IF(AND(Timing!V81=1,V100&gt;0),1,0)</f>
        <v>6</v>
      </c>
      <c r="W104" s="23">
        <f>W100-IF(AND(Timing!W81=1,W100&gt;0),1,0)</f>
        <v>6</v>
      </c>
      <c r="X104" s="23">
        <f>X100-IF(AND(Timing!X81=1,X100&gt;0),1,0)</f>
        <v>6</v>
      </c>
      <c r="Y104" s="23">
        <f>Y100-IF(AND(Timing!Y81=1,Y100&gt;0),1,0)</f>
        <v>6</v>
      </c>
      <c r="Z104" s="23">
        <f>Z100-IF(AND(Timing!Z81=1,Z100&gt;0),1,0)</f>
        <v>5</v>
      </c>
      <c r="AA104" s="23">
        <f>AA100-IF(AND(Timing!AA81=1,AA100&gt;0),1,0)</f>
        <v>4</v>
      </c>
      <c r="AB104" s="23">
        <f>AB100-IF(AND(Timing!AB81=1,AB100&gt;0),1,0)</f>
        <v>3</v>
      </c>
      <c r="AC104" s="23">
        <f>AC100-IF(AND(Timing!AC81=1,AC100&gt;0),1,0)</f>
        <v>2</v>
      </c>
      <c r="AD104" s="23">
        <f>AD100-IF(AND(Timing!AD81=1,AD100&gt;0),1,0)</f>
        <v>1</v>
      </c>
      <c r="AE104" s="23">
        <f>AE100-IF(AND(Timing!AE81=1,AE100&gt;0),1,0)</f>
        <v>0</v>
      </c>
    </row>
    <row r="105">
      <c r="A105" s="6" t="inlineStr">
        <is>
          <t xml:space="preserve">Cash after the reserve</t>
        </is>
      </c>
      <c r="B105" s="10" t="inlineStr">
        <is>
          <t xml:space="preserve">€</t>
        </is>
      </c>
      <c r="F105" s="23">
        <f>F99-F103</f>
        <v>1335136.0549719844</v>
      </c>
      <c r="G105" s="23">
        <f>G99-G103</f>
        <v>1787470.5168906073</v>
      </c>
      <c r="H105" s="23">
        <f>H99-H103</f>
        <v>470477.7552050587</v>
      </c>
      <c r="I105" s="23">
        <f>I99-I103</f>
        <v>573837.6985059796</v>
      </c>
      <c r="J105" s="23">
        <f>J99-J103</f>
        <v>690800.04173819</v>
      </c>
      <c r="K105" s="23">
        <f>K99-K103</f>
        <v>769474.1188673142</v>
      </c>
      <c r="L105" s="23">
        <f>L99-L103</f>
        <v>1294343.5389205934</v>
      </c>
      <c r="M105" s="23">
        <f>M99-M103</f>
        <v>1042955.1842004505</v>
      </c>
      <c r="N105" s="23">
        <f>N99-N103</f>
        <v>1163580.2857993306</v>
      </c>
      <c r="O105" s="23">
        <f>O99-O103</f>
        <v>1281889.1099722914</v>
      </c>
      <c r="P105" s="23">
        <f>P99-P103</f>
        <v>1280352.7603680326</v>
      </c>
      <c r="Q105" s="23">
        <f>Q99-Q103</f>
        <v>1400268.5952461604</v>
      </c>
      <c r="R105" s="23">
        <f>R99-R103</f>
        <v>1522283.5243087094</v>
      </c>
      <c r="S105" s="23">
        <f>S99-S103</f>
        <v>1641757.304768535</v>
      </c>
      <c r="T105" s="23">
        <f>T99-T103</f>
        <v>1765690.2155016991</v>
      </c>
      <c r="U105" s="23">
        <f>U99-U103</f>
        <v>1889442.549960675</v>
      </c>
      <c r="V105" s="23">
        <f>V99-V103</f>
        <v>1999750.933343589</v>
      </c>
      <c r="W105" s="23">
        <f>W99-W103</f>
        <v>2015654.599174337</v>
      </c>
      <c r="X105" s="23">
        <f>X99-X103</f>
        <v>2435591.845901797</v>
      </c>
      <c r="Y105" s="23">
        <f>Y99-Y103</f>
        <v>3434807.1715150094</v>
      </c>
      <c r="Z105" s="23">
        <f>Z99-Z103</f>
        <v>2970695.0578805897</v>
      </c>
      <c r="AA105" s="23">
        <f>AA99-AA103</f>
        <v>3028931.61048359</v>
      </c>
      <c r="AB105" s="23">
        <f>AB99-AB103</f>
        <v>3092324.5935430774</v>
      </c>
      <c r="AC105" s="23">
        <f>AC99-AC103</f>
        <v>3070711.398675999</v>
      </c>
      <c r="AD105" s="23">
        <f>AD99-AD103</f>
        <v>2874591.8013047716</v>
      </c>
      <c r="AE105" s="23">
        <f>AE99-AE103</f>
        <v>1752010.006377921</v>
      </c>
    </row>
    <row r="106">
      <c r="A106" s="6" t="inlineStr">
        <is>
          <t xml:space="preserve">Decommissioning paid</t>
        </is>
      </c>
      <c r="B106" s="10" t="inlineStr">
        <is>
          <t xml:space="preserve">€</t>
        </is>
      </c>
      <c r="F106" s="23">
        <f>IF(Timing!F72=1,Timing!$C$34,0)</f>
        <v>0</v>
      </c>
      <c r="G106" s="23">
        <f>IF(Timing!G72=1,Timing!$C$34,0)</f>
        <v>0</v>
      </c>
      <c r="H106" s="23">
        <f>IF(Timing!H72=1,Timing!$C$34,0)</f>
        <v>0</v>
      </c>
      <c r="I106" s="23">
        <f>IF(Timing!I72=1,Timing!$C$34,0)</f>
        <v>0</v>
      </c>
      <c r="J106" s="23">
        <f>IF(Timing!J72=1,Timing!$C$34,0)</f>
        <v>0</v>
      </c>
      <c r="K106" s="23">
        <f>IF(Timing!K72=1,Timing!$C$34,0)</f>
        <v>0</v>
      </c>
      <c r="L106" s="23">
        <f>IF(Timing!L72=1,Timing!$C$34,0)</f>
        <v>0</v>
      </c>
      <c r="M106" s="23">
        <f>IF(Timing!M72=1,Timing!$C$34,0)</f>
        <v>0</v>
      </c>
      <c r="N106" s="23">
        <f>IF(Timing!N72=1,Timing!$C$34,0)</f>
        <v>0</v>
      </c>
      <c r="O106" s="23">
        <f>IF(Timing!O72=1,Timing!$C$34,0)</f>
        <v>0</v>
      </c>
      <c r="P106" s="23">
        <f>IF(Timing!P72=1,Timing!$C$34,0)</f>
        <v>0</v>
      </c>
      <c r="Q106" s="23">
        <f>IF(Timing!Q72=1,Timing!$C$34,0)</f>
        <v>0</v>
      </c>
      <c r="R106" s="23">
        <f>IF(Timing!R72=1,Timing!$C$34,0)</f>
        <v>0</v>
      </c>
      <c r="S106" s="23">
        <f>IF(Timing!S72=1,Timing!$C$34,0)</f>
        <v>0</v>
      </c>
      <c r="T106" s="23">
        <f>IF(Timing!T72=1,Timing!$C$34,0)</f>
        <v>0</v>
      </c>
      <c r="U106" s="23">
        <f>IF(Timing!U72=1,Timing!$C$34,0)</f>
        <v>0</v>
      </c>
      <c r="V106" s="23">
        <f>IF(Timing!V72=1,Timing!$C$34,0)</f>
        <v>0</v>
      </c>
      <c r="W106" s="23">
        <f>IF(Timing!W72=1,Timing!$C$34,0)</f>
        <v>0</v>
      </c>
      <c r="X106" s="23">
        <f>IF(Timing!X72=1,Timing!$C$34,0)</f>
        <v>0</v>
      </c>
      <c r="Y106" s="23">
        <f>IF(Timing!Y72=1,Timing!$C$34,0)</f>
        <v>0</v>
      </c>
      <c r="Z106" s="23">
        <f>IF(Timing!Z72=1,Timing!$C$34,0)</f>
        <v>0</v>
      </c>
      <c r="AA106" s="23">
        <f>IF(Timing!AA72=1,Timing!$C$34,0)</f>
        <v>0</v>
      </c>
      <c r="AB106" s="23">
        <f>IF(Timing!AB72=1,Timing!$C$34,0)</f>
        <v>0</v>
      </c>
      <c r="AC106" s="23">
        <f>IF(Timing!AC72=1,Timing!$C$34,0)</f>
        <v>0</v>
      </c>
      <c r="AD106" s="23">
        <f>IF(Timing!AD72=1,Timing!$C$34,0)</f>
        <v>0</v>
      </c>
      <c r="AE106" s="23">
        <f>IF(Timing!AE72=1,Timing!$C$34,0)</f>
        <v>2704141.9142092974</v>
      </c>
    </row>
    <row r="107">
      <c r="A107" s="41" t="inlineStr">
        <is>
          <t xml:space="preserve">DSCR</t>
        </is>
      </c>
      <c r="F107" s="47">
        <f>IF(F88&gt;=Inputs!$C$158,F87/F88,"")</f>
        <v>3.419096629457534</v>
      </c>
      <c r="G107" s="47">
        <f>IF(G88&gt;=Inputs!$C$158,G87/G88,"")</f>
        <v>2.619334556415495</v>
      </c>
      <c r="H107" s="47">
        <f>IF(H88&gt;=Inputs!$C$158,H87/H88,"")</f>
        <v>1.1980879164040674</v>
      </c>
      <c r="I107" s="47">
        <f>IF(I88&gt;=Inputs!$C$158,I87/I88,"")</f>
        <v>1.2502471206195978</v>
      </c>
      <c r="J107" s="47">
        <f>IF(J88&gt;=Inputs!$C$158,J87/J88,"")</f>
        <v>1.3118252920941809</v>
      </c>
      <c r="K107" s="47">
        <f>IF(K88&gt;=Inputs!$C$158,K87/K88,"")</f>
        <v>1.3589675922692401</v>
      </c>
      <c r="L107" s="47">
        <f>IF(L88&gt;=Inputs!$C$158,L87/L88,"")</f>
        <v>1.628551189820228</v>
      </c>
      <c r="M107" s="47">
        <f>IF(M88&gt;=Inputs!$C$158,M87/M88,"")</f>
        <v>1.5215780618439945</v>
      </c>
      <c r="N107" s="47">
        <f>IF(N88&gt;=Inputs!$C$158,N87/N88,"")</f>
        <v>1.602737415625367</v>
      </c>
      <c r="O107" s="47">
        <f>IF(O88&gt;=Inputs!$C$158,O87/O88,"")</f>
        <v>1.6883692681615672</v>
      </c>
      <c r="P107" s="47">
        <f>IF(P88&gt;=Inputs!$C$158,P87/P88,"")</f>
        <v>1.7127027630426825</v>
      </c>
      <c r="Q107" s="47">
        <f>IF(Q88&gt;=Inputs!$C$158,Q87/Q88,"")</f>
        <v>1.809961445166284</v>
      </c>
      <c r="R107" s="47">
        <f>IF(R88&gt;=Inputs!$C$158,R87/R88,"")</f>
        <v>1.9161804712085548</v>
      </c>
      <c r="S107" s="47">
        <f>IF(S88&gt;=Inputs!$C$158,S87/S88,"")</f>
        <v>2.0295264027352133</v>
      </c>
      <c r="T107" s="47">
        <f>IF(T88&gt;=Inputs!$C$158,T87/T88,"")</f>
        <v>2.155539991909678</v>
      </c>
      <c r="U107" s="47">
        <f>IF(U88&gt;=Inputs!$C$158,U87/U88,"")</f>
        <v>2.292722229675441</v>
      </c>
      <c r="V107" s="47">
        <f>IF(V88&gt;=Inputs!$C$158,V87/V88,"")</f>
        <v>2.4330623499509962</v>
      </c>
      <c r="W107" s="47">
        <f>IF(W88&gt;=Inputs!$C$158,W87/W88,"")</f>
        <v>2.5156546308900207</v>
      </c>
      <c r="X107" s="47">
        <f>IF(X88&gt;=Inputs!$C$158,X87/X88,"")</f>
        <v>2.6918724256414723</v>
      </c>
      <c r="Y107" s="47" t="str">
        <f>IF(Y88&gt;=Inputs!$C$158,Y87/Y88,"")</f>
        <v/>
      </c>
      <c r="Z107" s="47" t="str">
        <f>IF(Z88&gt;=Inputs!$C$158,Z87/Z88,"")</f>
        <v/>
      </c>
      <c r="AA107" s="47" t="str">
        <f>IF(AA88&gt;=Inputs!$C$158,AA87/AA88,"")</f>
        <v/>
      </c>
      <c r="AB107" s="47" t="str">
        <f>IF(AB88&gt;=Inputs!$C$158,AB87/AB88,"")</f>
        <v/>
      </c>
      <c r="AC107" s="47" t="str">
        <f>IF(AC88&gt;=Inputs!$C$158,AC87/AC88,"")</f>
        <v/>
      </c>
      <c r="AD107" s="47" t="str">
        <f>IF(AD88&gt;=Inputs!$C$158,AD87/AD88,"")</f>
        <v/>
      </c>
      <c r="AE107" s="47" t="str">
        <f>IF(AE88&gt;=Inputs!$C$158,AE87/AE88,"")</f>
        <v/>
      </c>
    </row>
    <row r="108">
      <c r="A108" s="6" t="inlineStr">
        <is>
          <t xml:space="preserve">Lock-up (1 = distributions held back)</t>
        </is>
      </c>
      <c r="F108" s="23">
        <f>IF(F88&gt;=Inputs!$C$158,IF(AND(F87/F88&lt;Inputs!$C$81,Timing!F59&lt;=Timing!$C$23),1,0),0)</f>
        <v>0</v>
      </c>
      <c r="G108" s="23">
        <f>IF(G88&gt;=Inputs!$C$158,IF(AND(G87/G88&lt;Inputs!$C$81,Timing!G59&lt;=Timing!$C$23),1,0),0)</f>
        <v>0</v>
      </c>
      <c r="H108" s="23">
        <f>IF(H88&gt;=Inputs!$C$158,IF(AND(H87/H88&lt;Inputs!$C$81,Timing!H59&lt;=Timing!$C$23),1,0),0)</f>
        <v>0</v>
      </c>
      <c r="I108" s="23">
        <f>IF(I88&gt;=Inputs!$C$158,IF(AND(I87/I88&lt;Inputs!$C$81,Timing!I59&lt;=Timing!$C$23),1,0),0)</f>
        <v>0</v>
      </c>
      <c r="J108" s="23">
        <f>IF(J88&gt;=Inputs!$C$158,IF(AND(J87/J88&lt;Inputs!$C$81,Timing!J59&lt;=Timing!$C$23),1,0),0)</f>
        <v>0</v>
      </c>
      <c r="K108" s="23">
        <f>IF(K88&gt;=Inputs!$C$158,IF(AND(K87/K88&lt;Inputs!$C$81,Timing!K59&lt;=Timing!$C$23),1,0),0)</f>
        <v>0</v>
      </c>
      <c r="L108" s="23">
        <f>IF(L88&gt;=Inputs!$C$158,IF(AND(L87/L88&lt;Inputs!$C$81,Timing!L59&lt;=Timing!$C$23),1,0),0)</f>
        <v>0</v>
      </c>
      <c r="M108" s="23">
        <f>IF(M88&gt;=Inputs!$C$158,IF(AND(M87/M88&lt;Inputs!$C$81,Timing!M59&lt;=Timing!$C$23),1,0),0)</f>
        <v>0</v>
      </c>
      <c r="N108" s="23">
        <f>IF(N88&gt;=Inputs!$C$158,IF(AND(N87/N88&lt;Inputs!$C$81,Timing!N59&lt;=Timing!$C$23),1,0),0)</f>
        <v>0</v>
      </c>
      <c r="O108" s="23">
        <f>IF(O88&gt;=Inputs!$C$158,IF(AND(O87/O88&lt;Inputs!$C$81,Timing!O59&lt;=Timing!$C$23),1,0),0)</f>
        <v>0</v>
      </c>
      <c r="P108" s="23">
        <f>IF(P88&gt;=Inputs!$C$158,IF(AND(P87/P88&lt;Inputs!$C$81,Timing!P59&lt;=Timing!$C$23),1,0),0)</f>
        <v>0</v>
      </c>
      <c r="Q108" s="23">
        <f>IF(Q88&gt;=Inputs!$C$158,IF(AND(Q87/Q88&lt;Inputs!$C$81,Timing!Q59&lt;=Timing!$C$23),1,0),0)</f>
        <v>0</v>
      </c>
      <c r="R108" s="23">
        <f>IF(R88&gt;=Inputs!$C$158,IF(AND(R87/R88&lt;Inputs!$C$81,Timing!R59&lt;=Timing!$C$23),1,0),0)</f>
        <v>0</v>
      </c>
      <c r="S108" s="23">
        <f>IF(S88&gt;=Inputs!$C$158,IF(AND(S87/S88&lt;Inputs!$C$81,Timing!S59&lt;=Timing!$C$23),1,0),0)</f>
        <v>0</v>
      </c>
      <c r="T108" s="23">
        <f>IF(T88&gt;=Inputs!$C$158,IF(AND(T87/T88&lt;Inputs!$C$81,Timing!T59&lt;=Timing!$C$23),1,0),0)</f>
        <v>0</v>
      </c>
      <c r="U108" s="23">
        <f>IF(U88&gt;=Inputs!$C$158,IF(AND(U87/U88&lt;Inputs!$C$81,Timing!U59&lt;=Timing!$C$23),1,0),0)</f>
        <v>0</v>
      </c>
      <c r="V108" s="23">
        <f>IF(V88&gt;=Inputs!$C$158,IF(AND(V87/V88&lt;Inputs!$C$81,Timing!V59&lt;=Timing!$C$23),1,0),0)</f>
        <v>0</v>
      </c>
      <c r="W108" s="23">
        <f>IF(W88&gt;=Inputs!$C$158,IF(AND(W87/W88&lt;Inputs!$C$81,Timing!W59&lt;=Timing!$C$23),1,0),0)</f>
        <v>0</v>
      </c>
      <c r="X108" s="23">
        <f>IF(X88&gt;=Inputs!$C$158,IF(AND(X87/X88&lt;Inputs!$C$81,Timing!X59&lt;=Timing!$C$23),1,0),0)</f>
        <v>0</v>
      </c>
      <c r="Y108" s="23">
        <f>IF(Y88&gt;=Inputs!$C$158,IF(AND(Y87/Y88&lt;Inputs!$C$81,Timing!Y59&lt;=Timing!$C$23),1,0),0)</f>
        <v>0</v>
      </c>
      <c r="Z108" s="23">
        <f>IF(Z88&gt;=Inputs!$C$158,IF(AND(Z87/Z88&lt;Inputs!$C$81,Timing!Z59&lt;=Timing!$C$23),1,0),0)</f>
        <v>0</v>
      </c>
      <c r="AA108" s="23">
        <f>IF(AA88&gt;=Inputs!$C$158,IF(AND(AA87/AA88&lt;Inputs!$C$81,Timing!AA59&lt;=Timing!$C$23),1,0),0)</f>
        <v>0</v>
      </c>
      <c r="AB108" s="23">
        <f>IF(AB88&gt;=Inputs!$C$158,IF(AND(AB87/AB88&lt;Inputs!$C$81,Timing!AB59&lt;=Timing!$C$23),1,0),0)</f>
        <v>0</v>
      </c>
      <c r="AC108" s="23">
        <f>IF(AC88&gt;=Inputs!$C$158,IF(AND(AC87/AC88&lt;Inputs!$C$81,Timing!AC59&lt;=Timing!$C$23),1,0),0)</f>
        <v>0</v>
      </c>
      <c r="AD108" s="23">
        <f>IF(AD88&gt;=Inputs!$C$158,IF(AND(AD87/AD88&lt;Inputs!$C$81,Timing!AD59&lt;=Timing!$C$23),1,0),0)</f>
        <v>0</v>
      </c>
      <c r="AE108" s="23">
        <f>IF(AE88&gt;=Inputs!$C$158,IF(AND(AE87/AE88&lt;Inputs!$C$81,Timing!AE59&lt;=Timing!$C$23),1,0),0)</f>
        <v>0</v>
      </c>
    </row>
    <row r="109">
      <c r="A109" s="6" t="inlineStr">
        <is>
          <t xml:space="preserve">Cash held back, after use for a shortfall</t>
        </is>
      </c>
      <c r="B109" s="10" t="inlineStr">
        <is>
          <t xml:space="preserve">€</t>
        </is>
      </c>
      <c r="F109" s="23">
        <f>E120-F91</f>
        <v>0</v>
      </c>
      <c r="G109" s="23">
        <f>F120-G91</f>
        <v>0</v>
      </c>
      <c r="H109" s="23">
        <f>G120-H91</f>
        <v>0</v>
      </c>
      <c r="I109" s="23">
        <f>H120-I91</f>
        <v>0</v>
      </c>
      <c r="J109" s="23">
        <f>I120-J91</f>
        <v>0</v>
      </c>
      <c r="K109" s="23">
        <f>J120-K91</f>
        <v>0</v>
      </c>
      <c r="L109" s="23">
        <f>K120-L91</f>
        <v>0</v>
      </c>
      <c r="M109" s="23">
        <f>L120-M91</f>
        <v>0</v>
      </c>
      <c r="N109" s="23">
        <f>M120-N91</f>
        <v>0</v>
      </c>
      <c r="O109" s="23">
        <f>N120-O91</f>
        <v>0</v>
      </c>
      <c r="P109" s="23">
        <f>O120-P91</f>
        <v>0</v>
      </c>
      <c r="Q109" s="23">
        <f>P120-Q91</f>
        <v>0</v>
      </c>
      <c r="R109" s="23">
        <f>Q120-R91</f>
        <v>0</v>
      </c>
      <c r="S109" s="23">
        <f>R120-S91</f>
        <v>0</v>
      </c>
      <c r="T109" s="23">
        <f>S120-T91</f>
        <v>0</v>
      </c>
      <c r="U109" s="23">
        <f>T120-U91</f>
        <v>0</v>
      </c>
      <c r="V109" s="23">
        <f>U120-V91</f>
        <v>0</v>
      </c>
      <c r="W109" s="23">
        <f>V120-W91</f>
        <v>0</v>
      </c>
      <c r="X109" s="23">
        <f>W120-X91</f>
        <v>0</v>
      </c>
      <c r="Y109" s="23">
        <f>X120-Y91</f>
        <v>0</v>
      </c>
      <c r="Z109" s="23">
        <f>Y120-Z91</f>
        <v>0</v>
      </c>
      <c r="AA109" s="23">
        <f>Z120-AA91</f>
        <v>0</v>
      </c>
      <c r="AB109" s="23">
        <f>AA120-AB91</f>
        <v>0</v>
      </c>
      <c r="AC109" s="23">
        <f>AB120-AC91</f>
        <v>0</v>
      </c>
      <c r="AD109" s="23">
        <f>AC120-AD91</f>
        <v>0</v>
      </c>
      <c r="AE109" s="23">
        <f>AD120-AE91</f>
        <v>0</v>
      </c>
    </row>
    <row r="110">
      <c r="A110" s="6" t="inlineStr">
        <is>
          <t xml:space="preserve">Held back this year</t>
        </is>
      </c>
      <c r="B110" s="10" t="inlineStr">
        <is>
          <t xml:space="preserve">€</t>
        </is>
      </c>
      <c r="F110" s="23">
        <f>IF(AND(F108=1,F105&gt;0),F105,0)</f>
        <v>0</v>
      </c>
      <c r="G110" s="23">
        <f>IF(AND(G108=1,G105&gt;0),G105,0)</f>
        <v>0</v>
      </c>
      <c r="H110" s="23">
        <f>IF(AND(H108=1,H105&gt;0),H105,0)</f>
        <v>0</v>
      </c>
      <c r="I110" s="23">
        <f>IF(AND(I108=1,I105&gt;0),I105,0)</f>
        <v>0</v>
      </c>
      <c r="J110" s="23">
        <f>IF(AND(J108=1,J105&gt;0),J105,0)</f>
        <v>0</v>
      </c>
      <c r="K110" s="23">
        <f>IF(AND(K108=1,K105&gt;0),K105,0)</f>
        <v>0</v>
      </c>
      <c r="L110" s="23">
        <f>IF(AND(L108=1,L105&gt;0),L105,0)</f>
        <v>0</v>
      </c>
      <c r="M110" s="23">
        <f>IF(AND(M108=1,M105&gt;0),M105,0)</f>
        <v>0</v>
      </c>
      <c r="N110" s="23">
        <f>IF(AND(N108=1,N105&gt;0),N105,0)</f>
        <v>0</v>
      </c>
      <c r="O110" s="23">
        <f>IF(AND(O108=1,O105&gt;0),O105,0)</f>
        <v>0</v>
      </c>
      <c r="P110" s="23">
        <f>IF(AND(P108=1,P105&gt;0),P105,0)</f>
        <v>0</v>
      </c>
      <c r="Q110" s="23">
        <f>IF(AND(Q108=1,Q105&gt;0),Q105,0)</f>
        <v>0</v>
      </c>
      <c r="R110" s="23">
        <f>IF(AND(R108=1,R105&gt;0),R105,0)</f>
        <v>0</v>
      </c>
      <c r="S110" s="23">
        <f>IF(AND(S108=1,S105&gt;0),S105,0)</f>
        <v>0</v>
      </c>
      <c r="T110" s="23">
        <f>IF(AND(T108=1,T105&gt;0),T105,0)</f>
        <v>0</v>
      </c>
      <c r="U110" s="23">
        <f>IF(AND(U108=1,U105&gt;0),U105,0)</f>
        <v>0</v>
      </c>
      <c r="V110" s="23">
        <f>IF(AND(V108=1,V105&gt;0),V105,0)</f>
        <v>0</v>
      </c>
      <c r="W110" s="23">
        <f>IF(AND(W108=1,W105&gt;0),W105,0)</f>
        <v>0</v>
      </c>
      <c r="X110" s="23">
        <f>IF(AND(X108=1,X105&gt;0),X105,0)</f>
        <v>0</v>
      </c>
      <c r="Y110" s="23">
        <f>IF(AND(Y108=1,Y105&gt;0),Y105,0)</f>
        <v>0</v>
      </c>
      <c r="Z110" s="23">
        <f>IF(AND(Z108=1,Z105&gt;0),Z105,0)</f>
        <v>0</v>
      </c>
      <c r="AA110" s="23">
        <f>IF(AND(AA108=1,AA105&gt;0),AA105,0)</f>
        <v>0</v>
      </c>
      <c r="AB110" s="23">
        <f>IF(AND(AB108=1,AB105&gt;0),AB105,0)</f>
        <v>0</v>
      </c>
      <c r="AC110" s="23">
        <f>IF(AND(AC108=1,AC105&gt;0),AC105,0)</f>
        <v>0</v>
      </c>
      <c r="AD110" s="23">
        <f>IF(AND(AD108=1,AD105&gt;0),AD105,0)</f>
        <v>0</v>
      </c>
      <c r="AE110" s="23">
        <f>IF(AND(AE108=1,AE105&gt;0),AE105,0)</f>
        <v>0</v>
      </c>
    </row>
    <row r="111">
      <c r="A111" s="6" t="inlineStr">
        <is>
          <t xml:space="preserve">Released after a lock-up</t>
        </is>
      </c>
      <c r="B111" s="10" t="inlineStr">
        <is>
          <t xml:space="preserve">€</t>
        </is>
      </c>
      <c r="F111" s="23">
        <f>IF(AND(F108=0,F109&gt;0),F109,0)</f>
        <v>0</v>
      </c>
      <c r="G111" s="23">
        <f>IF(AND(G108=0,G109&gt;0),G109,0)</f>
        <v>0</v>
      </c>
      <c r="H111" s="23">
        <f>IF(AND(H108=0,H109&gt;0),H109,0)</f>
        <v>0</v>
      </c>
      <c r="I111" s="23">
        <f>IF(AND(I108=0,I109&gt;0),I109,0)</f>
        <v>0</v>
      </c>
      <c r="J111" s="23">
        <f>IF(AND(J108=0,J109&gt;0),J109,0)</f>
        <v>0</v>
      </c>
      <c r="K111" s="23">
        <f>IF(AND(K108=0,K109&gt;0),K109,0)</f>
        <v>0</v>
      </c>
      <c r="L111" s="23">
        <f>IF(AND(L108=0,L109&gt;0),L109,0)</f>
        <v>0</v>
      </c>
      <c r="M111" s="23">
        <f>IF(AND(M108=0,M109&gt;0),M109,0)</f>
        <v>0</v>
      </c>
      <c r="N111" s="23">
        <f>IF(AND(N108=0,N109&gt;0),N109,0)</f>
        <v>0</v>
      </c>
      <c r="O111" s="23">
        <f>IF(AND(O108=0,O109&gt;0),O109,0)</f>
        <v>0</v>
      </c>
      <c r="P111" s="23">
        <f>IF(AND(P108=0,P109&gt;0),P109,0)</f>
        <v>0</v>
      </c>
      <c r="Q111" s="23">
        <f>IF(AND(Q108=0,Q109&gt;0),Q109,0)</f>
        <v>0</v>
      </c>
      <c r="R111" s="23">
        <f>IF(AND(R108=0,R109&gt;0),R109,0)</f>
        <v>0</v>
      </c>
      <c r="S111" s="23">
        <f>IF(AND(S108=0,S109&gt;0),S109,0)</f>
        <v>0</v>
      </c>
      <c r="T111" s="23">
        <f>IF(AND(T108=0,T109&gt;0),T109,0)</f>
        <v>0</v>
      </c>
      <c r="U111" s="23">
        <f>IF(AND(U108=0,U109&gt;0),U109,0)</f>
        <v>0</v>
      </c>
      <c r="V111" s="23">
        <f>IF(AND(V108=0,V109&gt;0),V109,0)</f>
        <v>0</v>
      </c>
      <c r="W111" s="23">
        <f>IF(AND(W108=0,W109&gt;0),W109,0)</f>
        <v>0</v>
      </c>
      <c r="X111" s="23">
        <f>IF(AND(X108=0,X109&gt;0),X109,0)</f>
        <v>0</v>
      </c>
      <c r="Y111" s="23">
        <f>IF(AND(Y108=0,Y109&gt;0),Y109,0)</f>
        <v>0</v>
      </c>
      <c r="Z111" s="23">
        <f>IF(AND(Z108=0,Z109&gt;0),Z109,0)</f>
        <v>0</v>
      </c>
      <c r="AA111" s="23">
        <f>IF(AND(AA108=0,AA109&gt;0),AA109,0)</f>
        <v>0</v>
      </c>
      <c r="AB111" s="23">
        <f>IF(AND(AB108=0,AB109&gt;0),AB109,0)</f>
        <v>0</v>
      </c>
      <c r="AC111" s="23">
        <f>IF(AND(AC108=0,AC109&gt;0),AC109,0)</f>
        <v>0</v>
      </c>
      <c r="AD111" s="23">
        <f>IF(AND(AD108=0,AD109&gt;0),AD109,0)</f>
        <v>0</v>
      </c>
      <c r="AE111" s="23">
        <f>IF(AND(AE108=0,AE109&gt;0),AE109,0)</f>
        <v>0</v>
      </c>
    </row>
    <row r="112">
      <c r="A112" s="6" t="inlineStr">
        <is>
          <t xml:space="preserve">Cash after the lock-up</t>
        </is>
      </c>
      <c r="B112" s="10" t="inlineStr">
        <is>
          <t xml:space="preserve">€</t>
        </is>
      </c>
      <c r="F112" s="23">
        <f>F105-F110+F111</f>
        <v>1335136.0549719844</v>
      </c>
      <c r="G112" s="23">
        <f>G105-G110+G111</f>
        <v>1787470.5168906073</v>
      </c>
      <c r="H112" s="23">
        <f>H105-H110+H111</f>
        <v>470477.7552050587</v>
      </c>
      <c r="I112" s="23">
        <f>I105-I110+I111</f>
        <v>573837.6985059796</v>
      </c>
      <c r="J112" s="23">
        <f>J105-J110+J111</f>
        <v>690800.04173819</v>
      </c>
      <c r="K112" s="23">
        <f>K105-K110+K111</f>
        <v>769474.1188673142</v>
      </c>
      <c r="L112" s="23">
        <f>L105-L110+L111</f>
        <v>1294343.5389205934</v>
      </c>
      <c r="M112" s="23">
        <f>M105-M110+M111</f>
        <v>1042955.1842004505</v>
      </c>
      <c r="N112" s="23">
        <f>N105-N110+N111</f>
        <v>1163580.2857993306</v>
      </c>
      <c r="O112" s="23">
        <f>O105-O110+O111</f>
        <v>1281889.1099722914</v>
      </c>
      <c r="P112" s="23">
        <f>P105-P110+P111</f>
        <v>1280352.7603680326</v>
      </c>
      <c r="Q112" s="23">
        <f>Q105-Q110+Q111</f>
        <v>1400268.5952461604</v>
      </c>
      <c r="R112" s="23">
        <f>R105-R110+R111</f>
        <v>1522283.5243087094</v>
      </c>
      <c r="S112" s="23">
        <f>S105-S110+S111</f>
        <v>1641757.304768535</v>
      </c>
      <c r="T112" s="23">
        <f>T105-T110+T111</f>
        <v>1765690.2155016991</v>
      </c>
      <c r="U112" s="23">
        <f>U105-U110+U111</f>
        <v>1889442.549960675</v>
      </c>
      <c r="V112" s="23">
        <f>V105-V110+V111</f>
        <v>1999750.933343589</v>
      </c>
      <c r="W112" s="23">
        <f>W105-W110+W111</f>
        <v>2015654.599174337</v>
      </c>
      <c r="X112" s="23">
        <f>X105-X110+X111</f>
        <v>2435591.845901797</v>
      </c>
      <c r="Y112" s="23">
        <f>Y105-Y110+Y111</f>
        <v>3434807.1715150094</v>
      </c>
      <c r="Z112" s="23">
        <f>Z105-Z110+Z111</f>
        <v>2970695.0578805897</v>
      </c>
      <c r="AA112" s="23">
        <f>AA105-AA110+AA111</f>
        <v>3028931.61048359</v>
      </c>
      <c r="AB112" s="23">
        <f>AB105-AB110+AB111</f>
        <v>3092324.5935430774</v>
      </c>
      <c r="AC112" s="23">
        <f>AC105-AC110+AC111</f>
        <v>3070711.398675999</v>
      </c>
      <c r="AD112" s="23">
        <f>AD105-AD110+AD111</f>
        <v>2874591.8013047716</v>
      </c>
      <c r="AE112" s="23">
        <f>AE105-AE110+AE111</f>
        <v>1752010.006377921</v>
      </c>
    </row>
    <row r="113">
      <c r="A113" s="6" t="inlineStr">
        <is>
          <t xml:space="preserve">DSRA before the final release</t>
        </is>
      </c>
      <c r="B113" s="10" t="inlineStr">
        <is>
          <t xml:space="preserve">€</t>
        </is>
      </c>
      <c r="F113" s="23">
        <f>F93+F95-F96-F98</f>
        <v>573287.0601285857</v>
      </c>
      <c r="G113" s="23">
        <f>G93+G95-G96-G98</f>
        <v>573287.0601285857</v>
      </c>
      <c r="H113" s="23">
        <f>H93+H95-H96-H98</f>
        <v>557054.2618926666</v>
      </c>
      <c r="I113" s="23">
        <f>I93+I95-I96-I98</f>
        <v>540821.4636567476</v>
      </c>
      <c r="J113" s="23">
        <f>J93+J95-J96-J98</f>
        <v>524588.6654208285</v>
      </c>
      <c r="K113" s="23">
        <f>K93+K95-K96-K98</f>
        <v>508355.8671849094</v>
      </c>
      <c r="L113" s="23">
        <f>L93+L95-L96-L98</f>
        <v>492123.06894899043</v>
      </c>
      <c r="M113" s="23">
        <f>M93+M95-M96-M98</f>
        <v>475890.27071307134</v>
      </c>
      <c r="N113" s="23">
        <f>N93+N95-N96-N98</f>
        <v>459657.47247715236</v>
      </c>
      <c r="O113" s="23">
        <f>O93+O95-O96-O98</f>
        <v>443424.67424123327</v>
      </c>
      <c r="P113" s="23">
        <f>P93+P95-P96-P98</f>
        <v>427191.87600531423</v>
      </c>
      <c r="Q113" s="23">
        <f>Q93+Q95-Q96-Q98</f>
        <v>410959.07776939514</v>
      </c>
      <c r="R113" s="23">
        <f>R93+R95-R96-R98</f>
        <v>394726.2795334761</v>
      </c>
      <c r="S113" s="23">
        <f>S93+S95-S96-S98</f>
        <v>378493.48129755707</v>
      </c>
      <c r="T113" s="23">
        <f>T93+T95-T96-T98</f>
        <v>362260.68306163803</v>
      </c>
      <c r="U113" s="23">
        <f>U93+U95-U96-U98</f>
        <v>346027.88482571894</v>
      </c>
      <c r="V113" s="23">
        <f>V93+V95-V96-V98</f>
        <v>329795.0865897999</v>
      </c>
      <c r="W113" s="23">
        <f>W93+W95-W96-W98</f>
        <v>313562.2883538849</v>
      </c>
      <c r="X113" s="23">
        <f>X93+X95-X96-X98</f>
        <v>0</v>
      </c>
      <c r="Y113" s="23">
        <f>Y93+Y95-Y96-Y98</f>
        <v>0</v>
      </c>
      <c r="Z113" s="23">
        <f>Z93+Z95-Z96-Z98</f>
        <v>0</v>
      </c>
      <c r="AA113" s="23">
        <f>AA93+AA95-AA96-AA98</f>
        <v>0</v>
      </c>
      <c r="AB113" s="23">
        <f>AB93+AB95-AB96-AB98</f>
        <v>0</v>
      </c>
      <c r="AC113" s="23">
        <f>AC93+AC95-AC96-AC98</f>
        <v>0</v>
      </c>
      <c r="AD113" s="23">
        <f>AD93+AD95-AD96-AD98</f>
        <v>0</v>
      </c>
      <c r="AE113" s="23">
        <f>AE93+AE95-AE96-AE98</f>
        <v>0</v>
      </c>
    </row>
    <row r="114">
      <c r="A114" s="6" t="inlineStr">
        <is>
          <t xml:space="preserve">Reserve before the final release</t>
        </is>
      </c>
      <c r="B114" s="10" t="inlineStr">
        <is>
          <t xml:space="preserve">€</t>
        </is>
      </c>
      <c r="F114" s="23">
        <f>F101+F103-F106</f>
        <v>0</v>
      </c>
      <c r="G114" s="23">
        <f>G101+G103-G106</f>
        <v>0</v>
      </c>
      <c r="H114" s="23">
        <f>H101+H103-H106</f>
        <v>0</v>
      </c>
      <c r="I114" s="23">
        <f>I101+I103-I106</f>
        <v>0</v>
      </c>
      <c r="J114" s="23">
        <f>J101+J103-J106</f>
        <v>0</v>
      </c>
      <c r="K114" s="23">
        <f>K101+K103-K106</f>
        <v>0</v>
      </c>
      <c r="L114" s="23">
        <f>L101+L103-L106</f>
        <v>0</v>
      </c>
      <c r="M114" s="23">
        <f>M101+M103-M106</f>
        <v>0</v>
      </c>
      <c r="N114" s="23">
        <f>N101+N103-N106</f>
        <v>0</v>
      </c>
      <c r="O114" s="23">
        <f>O101+O103-O106</f>
        <v>0</v>
      </c>
      <c r="P114" s="23">
        <f>P101+P103-P106</f>
        <v>0</v>
      </c>
      <c r="Q114" s="23">
        <f>Q101+Q103-Q106</f>
        <v>0</v>
      </c>
      <c r="R114" s="23">
        <f>R101+R103-R106</f>
        <v>0</v>
      </c>
      <c r="S114" s="23">
        <f>S101+S103-S106</f>
        <v>0</v>
      </c>
      <c r="T114" s="23">
        <f>T101+T103-T106</f>
        <v>0</v>
      </c>
      <c r="U114" s="23">
        <f>U101+U103-U106</f>
        <v>0</v>
      </c>
      <c r="V114" s="23">
        <f>V101+V103-V106</f>
        <v>0</v>
      </c>
      <c r="W114" s="23">
        <f>W101+W103-W106</f>
        <v>0</v>
      </c>
      <c r="X114" s="23">
        <f>X101+X103-X106</f>
        <v>0</v>
      </c>
      <c r="Y114" s="23">
        <f>Y101+Y103-Y106</f>
        <v>0</v>
      </c>
      <c r="Z114" s="23">
        <f>Z101+Z103-Z106</f>
        <v>450690.3190348829</v>
      </c>
      <c r="AA114" s="23">
        <f>AA101+AA103-AA106</f>
        <v>901380.6380697659</v>
      </c>
      <c r="AB114" s="23">
        <f>AB101+AB103-AB106</f>
        <v>1352070.9571046487</v>
      </c>
      <c r="AC114" s="23">
        <f>AC101+AC103-AC106</f>
        <v>1802761.2761395315</v>
      </c>
      <c r="AD114" s="23">
        <f>AD101+AD103-AD106</f>
        <v>2253451.5951744146</v>
      </c>
      <c r="AE114" s="23">
        <f>AE101+AE103-AE106</f>
        <v>0</v>
      </c>
    </row>
    <row r="115">
      <c r="A115" s="6" t="inlineStr">
        <is>
          <t xml:space="preserve">Cash held back before the final release</t>
        </is>
      </c>
      <c r="B115" s="10" t="inlineStr">
        <is>
          <t xml:space="preserve">€</t>
        </is>
      </c>
      <c r="F115" s="23">
        <f>F109+F110-F111</f>
        <v>0</v>
      </c>
      <c r="G115" s="23">
        <f>G109+G110-G111</f>
        <v>0</v>
      </c>
      <c r="H115" s="23">
        <f>H109+H110-H111</f>
        <v>0</v>
      </c>
      <c r="I115" s="23">
        <f>I109+I110-I111</f>
        <v>0</v>
      </c>
      <c r="J115" s="23">
        <f>J109+J110-J111</f>
        <v>0</v>
      </c>
      <c r="K115" s="23">
        <f>K109+K110-K111</f>
        <v>0</v>
      </c>
      <c r="L115" s="23">
        <f>L109+L110-L111</f>
        <v>0</v>
      </c>
      <c r="M115" s="23">
        <f>M109+M110-M111</f>
        <v>0</v>
      </c>
      <c r="N115" s="23">
        <f>N109+N110-N111</f>
        <v>0</v>
      </c>
      <c r="O115" s="23">
        <f>O109+O110-O111</f>
        <v>0</v>
      </c>
      <c r="P115" s="23">
        <f>P109+P110-P111</f>
        <v>0</v>
      </c>
      <c r="Q115" s="23">
        <f>Q109+Q110-Q111</f>
        <v>0</v>
      </c>
      <c r="R115" s="23">
        <f>R109+R110-R111</f>
        <v>0</v>
      </c>
      <c r="S115" s="23">
        <f>S109+S110-S111</f>
        <v>0</v>
      </c>
      <c r="T115" s="23">
        <f>T109+T110-T111</f>
        <v>0</v>
      </c>
      <c r="U115" s="23">
        <f>U109+U110-U111</f>
        <v>0</v>
      </c>
      <c r="V115" s="23">
        <f>V109+V110-V111</f>
        <v>0</v>
      </c>
      <c r="W115" s="23">
        <f>W109+W110-W111</f>
        <v>0</v>
      </c>
      <c r="X115" s="23">
        <f>X109+X110-X111</f>
        <v>0</v>
      </c>
      <c r="Y115" s="23">
        <f>Y109+Y110-Y111</f>
        <v>0</v>
      </c>
      <c r="Z115" s="23">
        <f>Z109+Z110-Z111</f>
        <v>0</v>
      </c>
      <c r="AA115" s="23">
        <f>AA109+AA110-AA111</f>
        <v>0</v>
      </c>
      <c r="AB115" s="23">
        <f>AB109+AB110-AB111</f>
        <v>0</v>
      </c>
      <c r="AC115" s="23">
        <f>AC109+AC110-AC111</f>
        <v>0</v>
      </c>
      <c r="AD115" s="23">
        <f>AD109+AD110-AD111</f>
        <v>0</v>
      </c>
      <c r="AE115" s="23">
        <f>AE109+AE110-AE111</f>
        <v>0</v>
      </c>
    </row>
    <row r="116">
      <c r="A116" s="6" t="inlineStr">
        <is>
          <t xml:space="preserve">Released in the final year</t>
        </is>
      </c>
      <c r="B116" s="10" t="inlineStr">
        <is>
          <t xml:space="preserve">€</t>
        </is>
      </c>
      <c r="F116" s="23">
        <f>IF(Timing!F72=1,F113+F115+F114,0)</f>
        <v>0</v>
      </c>
      <c r="G116" s="23">
        <f>IF(Timing!G72=1,G113+G115+G114,0)</f>
        <v>0</v>
      </c>
      <c r="H116" s="23">
        <f>IF(Timing!H72=1,H113+H115+H114,0)</f>
        <v>0</v>
      </c>
      <c r="I116" s="23">
        <f>IF(Timing!I72=1,I113+I115+I114,0)</f>
        <v>0</v>
      </c>
      <c r="J116" s="23">
        <f>IF(Timing!J72=1,J113+J115+J114,0)</f>
        <v>0</v>
      </c>
      <c r="K116" s="23">
        <f>IF(Timing!K72=1,K113+K115+K114,0)</f>
        <v>0</v>
      </c>
      <c r="L116" s="23">
        <f>IF(Timing!L72=1,L113+L115+L114,0)</f>
        <v>0</v>
      </c>
      <c r="M116" s="23">
        <f>IF(Timing!M72=1,M113+M115+M114,0)</f>
        <v>0</v>
      </c>
      <c r="N116" s="23">
        <f>IF(Timing!N72=1,N113+N115+N114,0)</f>
        <v>0</v>
      </c>
      <c r="O116" s="23">
        <f>IF(Timing!O72=1,O113+O115+O114,0)</f>
        <v>0</v>
      </c>
      <c r="P116" s="23">
        <f>IF(Timing!P72=1,P113+P115+P114,0)</f>
        <v>0</v>
      </c>
      <c r="Q116" s="23">
        <f>IF(Timing!Q72=1,Q113+Q115+Q114,0)</f>
        <v>0</v>
      </c>
      <c r="R116" s="23">
        <f>IF(Timing!R72=1,R113+R115+R114,0)</f>
        <v>0</v>
      </c>
      <c r="S116" s="23">
        <f>IF(Timing!S72=1,S113+S115+S114,0)</f>
        <v>0</v>
      </c>
      <c r="T116" s="23">
        <f>IF(Timing!T72=1,T113+T115+T114,0)</f>
        <v>0</v>
      </c>
      <c r="U116" s="23">
        <f>IF(Timing!U72=1,U113+U115+U114,0)</f>
        <v>0</v>
      </c>
      <c r="V116" s="23">
        <f>IF(Timing!V72=1,V113+V115+V114,0)</f>
        <v>0</v>
      </c>
      <c r="W116" s="23">
        <f>IF(Timing!W72=1,W113+W115+W114,0)</f>
        <v>0</v>
      </c>
      <c r="X116" s="23">
        <f>IF(Timing!X72=1,X113+X115+X114,0)</f>
        <v>0</v>
      </c>
      <c r="Y116" s="23">
        <f>IF(Timing!Y72=1,Y113+Y115+Y114,0)</f>
        <v>0</v>
      </c>
      <c r="Z116" s="23">
        <f>IF(Timing!Z72=1,Z113+Z115+Z114,0)</f>
        <v>0</v>
      </c>
      <c r="AA116" s="23">
        <f>IF(Timing!AA72=1,AA113+AA115+AA114,0)</f>
        <v>0</v>
      </c>
      <c r="AB116" s="23">
        <f>IF(Timing!AB72=1,AB113+AB115+AB114,0)</f>
        <v>0</v>
      </c>
      <c r="AC116" s="23">
        <f>IF(Timing!AC72=1,AC113+AC115+AC114,0)</f>
        <v>0</v>
      </c>
      <c r="AD116" s="23">
        <f>IF(Timing!AD72=1,AD113+AD115+AD114,0)</f>
        <v>0</v>
      </c>
      <c r="AE116" s="23">
        <f>IF(Timing!AE72=1,AE113+AE115+AE114,0)</f>
        <v>0</v>
      </c>
    </row>
    <row r="117">
      <c r="A117" s="6" t="inlineStr">
        <is>
          <t xml:space="preserve">Cash at the year end</t>
        </is>
      </c>
      <c r="B117" s="10" t="inlineStr">
        <is>
          <t xml:space="preserve">€</t>
        </is>
      </c>
      <c r="F117" s="23">
        <f>F112+F116</f>
        <v>1335136.0549719844</v>
      </c>
      <c r="G117" s="23">
        <f>G112+G116</f>
        <v>1787470.5168906073</v>
      </c>
      <c r="H117" s="23">
        <f>H112+H116</f>
        <v>470477.7552050587</v>
      </c>
      <c r="I117" s="23">
        <f>I112+I116</f>
        <v>573837.6985059796</v>
      </c>
      <c r="J117" s="23">
        <f>J112+J116</f>
        <v>690800.04173819</v>
      </c>
      <c r="K117" s="23">
        <f>K112+K116</f>
        <v>769474.1188673142</v>
      </c>
      <c r="L117" s="23">
        <f>L112+L116</f>
        <v>1294343.5389205934</v>
      </c>
      <c r="M117" s="23">
        <f>M112+M116</f>
        <v>1042955.1842004505</v>
      </c>
      <c r="N117" s="23">
        <f>N112+N116</f>
        <v>1163580.2857993306</v>
      </c>
      <c r="O117" s="23">
        <f>O112+O116</f>
        <v>1281889.1099722914</v>
      </c>
      <c r="P117" s="23">
        <f>P112+P116</f>
        <v>1280352.7603680326</v>
      </c>
      <c r="Q117" s="23">
        <f>Q112+Q116</f>
        <v>1400268.5952461604</v>
      </c>
      <c r="R117" s="23">
        <f>R112+R116</f>
        <v>1522283.5243087094</v>
      </c>
      <c r="S117" s="23">
        <f>S112+S116</f>
        <v>1641757.304768535</v>
      </c>
      <c r="T117" s="23">
        <f>T112+T116</f>
        <v>1765690.2155016991</v>
      </c>
      <c r="U117" s="23">
        <f>U112+U116</f>
        <v>1889442.549960675</v>
      </c>
      <c r="V117" s="23">
        <f>V112+V116</f>
        <v>1999750.933343589</v>
      </c>
      <c r="W117" s="23">
        <f>W112+W116</f>
        <v>2015654.599174337</v>
      </c>
      <c r="X117" s="23">
        <f>X112+X116</f>
        <v>2435591.845901797</v>
      </c>
      <c r="Y117" s="23">
        <f>Y112+Y116</f>
        <v>3434807.1715150094</v>
      </c>
      <c r="Z117" s="23">
        <f>Z112+Z116</f>
        <v>2970695.0578805897</v>
      </c>
      <c r="AA117" s="23">
        <f>AA112+AA116</f>
        <v>3028931.61048359</v>
      </c>
      <c r="AB117" s="23">
        <f>AB112+AB116</f>
        <v>3092324.5935430774</v>
      </c>
      <c r="AC117" s="23">
        <f>AC112+AC116</f>
        <v>3070711.398675999</v>
      </c>
      <c r="AD117" s="23">
        <f>AD112+AD116</f>
        <v>2874591.8013047716</v>
      </c>
      <c r="AE117" s="23">
        <f>AE112+AE116</f>
        <v>1752010.006377921</v>
      </c>
    </row>
    <row r="118">
      <c r="A118" s="6" t="inlineStr">
        <is>
          <t xml:space="preserve">DSRA at the year end</t>
        </is>
      </c>
      <c r="B118" s="10" t="inlineStr">
        <is>
          <t xml:space="preserve">€</t>
        </is>
      </c>
      <c r="E118" s="23">
        <f>Debt!$C$15</f>
        <v>573287.0601285857</v>
      </c>
      <c r="F118" s="23">
        <f>IF(Timing!F72=1,0,F113)</f>
        <v>573287.0601285857</v>
      </c>
      <c r="G118" s="23">
        <f>IF(Timing!G72=1,0,G113)</f>
        <v>573287.0601285857</v>
      </c>
      <c r="H118" s="23">
        <f>IF(Timing!H72=1,0,H113)</f>
        <v>557054.2618926666</v>
      </c>
      <c r="I118" s="23">
        <f>IF(Timing!I72=1,0,I113)</f>
        <v>540821.4636567476</v>
      </c>
      <c r="J118" s="23">
        <f>IF(Timing!J72=1,0,J113)</f>
        <v>524588.6654208285</v>
      </c>
      <c r="K118" s="23">
        <f>IF(Timing!K72=1,0,K113)</f>
        <v>508355.8671849094</v>
      </c>
      <c r="L118" s="23">
        <f>IF(Timing!L72=1,0,L113)</f>
        <v>492123.06894899043</v>
      </c>
      <c r="M118" s="23">
        <f>IF(Timing!M72=1,0,M113)</f>
        <v>475890.27071307134</v>
      </c>
      <c r="N118" s="23">
        <f>IF(Timing!N72=1,0,N113)</f>
        <v>459657.47247715236</v>
      </c>
      <c r="O118" s="23">
        <f>IF(Timing!O72=1,0,O113)</f>
        <v>443424.67424123327</v>
      </c>
      <c r="P118" s="23">
        <f>IF(Timing!P72=1,0,P113)</f>
        <v>427191.87600531423</v>
      </c>
      <c r="Q118" s="23">
        <f>IF(Timing!Q72=1,0,Q113)</f>
        <v>410959.07776939514</v>
      </c>
      <c r="R118" s="23">
        <f>IF(Timing!R72=1,0,R113)</f>
        <v>394726.2795334761</v>
      </c>
      <c r="S118" s="23">
        <f>IF(Timing!S72=1,0,S113)</f>
        <v>378493.48129755707</v>
      </c>
      <c r="T118" s="23">
        <f>IF(Timing!T72=1,0,T113)</f>
        <v>362260.68306163803</v>
      </c>
      <c r="U118" s="23">
        <f>IF(Timing!U72=1,0,U113)</f>
        <v>346027.88482571894</v>
      </c>
      <c r="V118" s="23">
        <f>IF(Timing!V72=1,0,V113)</f>
        <v>329795.0865897999</v>
      </c>
      <c r="W118" s="23">
        <f>IF(Timing!W72=1,0,W113)</f>
        <v>313562.2883538849</v>
      </c>
      <c r="X118" s="23">
        <f>IF(Timing!X72=1,0,X113)</f>
        <v>0</v>
      </c>
      <c r="Y118" s="23">
        <f>IF(Timing!Y72=1,0,Y113)</f>
        <v>0</v>
      </c>
      <c r="Z118" s="23">
        <f>IF(Timing!Z72=1,0,Z113)</f>
        <v>0</v>
      </c>
      <c r="AA118" s="23">
        <f>IF(Timing!AA72=1,0,AA113)</f>
        <v>0</v>
      </c>
      <c r="AB118" s="23">
        <f>IF(Timing!AB72=1,0,AB113)</f>
        <v>0</v>
      </c>
      <c r="AC118" s="23">
        <f>IF(Timing!AC72=1,0,AC113)</f>
        <v>0</v>
      </c>
      <c r="AD118" s="23">
        <f>IF(Timing!AD72=1,0,AD113)</f>
        <v>0</v>
      </c>
      <c r="AE118" s="23">
        <f>IF(Timing!AE72=1,0,AE113)</f>
        <v>0</v>
      </c>
    </row>
    <row r="119">
      <c r="A119" s="6" t="inlineStr">
        <is>
          <t xml:space="preserve">Decommissioning reserve at the year end</t>
        </is>
      </c>
      <c r="B119" s="10" t="inlineStr">
        <is>
          <t xml:space="preserve">€</t>
        </is>
      </c>
      <c r="F119" s="23">
        <f>IF(Timing!F72=1,0,F114)</f>
        <v>0</v>
      </c>
      <c r="G119" s="23">
        <f>IF(Timing!G72=1,0,G114)</f>
        <v>0</v>
      </c>
      <c r="H119" s="23">
        <f>IF(Timing!H72=1,0,H114)</f>
        <v>0</v>
      </c>
      <c r="I119" s="23">
        <f>IF(Timing!I72=1,0,I114)</f>
        <v>0</v>
      </c>
      <c r="J119" s="23">
        <f>IF(Timing!J72=1,0,J114)</f>
        <v>0</v>
      </c>
      <c r="K119" s="23">
        <f>IF(Timing!K72=1,0,K114)</f>
        <v>0</v>
      </c>
      <c r="L119" s="23">
        <f>IF(Timing!L72=1,0,L114)</f>
        <v>0</v>
      </c>
      <c r="M119" s="23">
        <f>IF(Timing!M72=1,0,M114)</f>
        <v>0</v>
      </c>
      <c r="N119" s="23">
        <f>IF(Timing!N72=1,0,N114)</f>
        <v>0</v>
      </c>
      <c r="O119" s="23">
        <f>IF(Timing!O72=1,0,O114)</f>
        <v>0</v>
      </c>
      <c r="P119" s="23">
        <f>IF(Timing!P72=1,0,P114)</f>
        <v>0</v>
      </c>
      <c r="Q119" s="23">
        <f>IF(Timing!Q72=1,0,Q114)</f>
        <v>0</v>
      </c>
      <c r="R119" s="23">
        <f>IF(Timing!R72=1,0,R114)</f>
        <v>0</v>
      </c>
      <c r="S119" s="23">
        <f>IF(Timing!S72=1,0,S114)</f>
        <v>0</v>
      </c>
      <c r="T119" s="23">
        <f>IF(Timing!T72=1,0,T114)</f>
        <v>0</v>
      </c>
      <c r="U119" s="23">
        <f>IF(Timing!U72=1,0,U114)</f>
        <v>0</v>
      </c>
      <c r="V119" s="23">
        <f>IF(Timing!V72=1,0,V114)</f>
        <v>0</v>
      </c>
      <c r="W119" s="23">
        <f>IF(Timing!W72=1,0,W114)</f>
        <v>0</v>
      </c>
      <c r="X119" s="23">
        <f>IF(Timing!X72=1,0,X114)</f>
        <v>0</v>
      </c>
      <c r="Y119" s="23">
        <f>IF(Timing!Y72=1,0,Y114)</f>
        <v>0</v>
      </c>
      <c r="Z119" s="23">
        <f>IF(Timing!Z72=1,0,Z114)</f>
        <v>450690.3190348829</v>
      </c>
      <c r="AA119" s="23">
        <f>IF(Timing!AA72=1,0,AA114)</f>
        <v>901380.6380697659</v>
      </c>
      <c r="AB119" s="23">
        <f>IF(Timing!AB72=1,0,AB114)</f>
        <v>1352070.9571046487</v>
      </c>
      <c r="AC119" s="23">
        <f>IF(Timing!AC72=1,0,AC114)</f>
        <v>1802761.2761395315</v>
      </c>
      <c r="AD119" s="23">
        <f>IF(Timing!AD72=1,0,AD114)</f>
        <v>2253451.5951744146</v>
      </c>
      <c r="AE119" s="23">
        <f>IF(Timing!AE72=1,0,AE114)</f>
        <v>0</v>
      </c>
    </row>
    <row r="120">
      <c r="A120" s="6" t="inlineStr">
        <is>
          <t xml:space="preserve">Cash held back at the year end</t>
        </is>
      </c>
      <c r="B120" s="10" t="inlineStr">
        <is>
          <t xml:space="preserve">€</t>
        </is>
      </c>
      <c r="E120" s="9">
        <v>0</v>
      </c>
      <c r="F120" s="23">
        <f>IF(Timing!F72=1,0,F115)</f>
        <v>0</v>
      </c>
      <c r="G120" s="23">
        <f>IF(Timing!G72=1,0,G115)</f>
        <v>0</v>
      </c>
      <c r="H120" s="23">
        <f>IF(Timing!H72=1,0,H115)</f>
        <v>0</v>
      </c>
      <c r="I120" s="23">
        <f>IF(Timing!I72=1,0,I115)</f>
        <v>0</v>
      </c>
      <c r="J120" s="23">
        <f>IF(Timing!J72=1,0,J115)</f>
        <v>0</v>
      </c>
      <c r="K120" s="23">
        <f>IF(Timing!K72=1,0,K115)</f>
        <v>0</v>
      </c>
      <c r="L120" s="23">
        <f>IF(Timing!L72=1,0,L115)</f>
        <v>0</v>
      </c>
      <c r="M120" s="23">
        <f>IF(Timing!M72=1,0,M115)</f>
        <v>0</v>
      </c>
      <c r="N120" s="23">
        <f>IF(Timing!N72=1,0,N115)</f>
        <v>0</v>
      </c>
      <c r="O120" s="23">
        <f>IF(Timing!O72=1,0,O115)</f>
        <v>0</v>
      </c>
      <c r="P120" s="23">
        <f>IF(Timing!P72=1,0,P115)</f>
        <v>0</v>
      </c>
      <c r="Q120" s="23">
        <f>IF(Timing!Q72=1,0,Q115)</f>
        <v>0</v>
      </c>
      <c r="R120" s="23">
        <f>IF(Timing!R72=1,0,R115)</f>
        <v>0</v>
      </c>
      <c r="S120" s="23">
        <f>IF(Timing!S72=1,0,S115)</f>
        <v>0</v>
      </c>
      <c r="T120" s="23">
        <f>IF(Timing!T72=1,0,T115)</f>
        <v>0</v>
      </c>
      <c r="U120" s="23">
        <f>IF(Timing!U72=1,0,U115)</f>
        <v>0</v>
      </c>
      <c r="V120" s="23">
        <f>IF(Timing!V72=1,0,V115)</f>
        <v>0</v>
      </c>
      <c r="W120" s="23">
        <f>IF(Timing!W72=1,0,W115)</f>
        <v>0</v>
      </c>
      <c r="X120" s="23">
        <f>IF(Timing!X72=1,0,X115)</f>
        <v>0</v>
      </c>
      <c r="Y120" s="23">
        <f>IF(Timing!Y72=1,0,Y115)</f>
        <v>0</v>
      </c>
      <c r="Z120" s="23">
        <f>IF(Timing!Z72=1,0,Z115)</f>
        <v>0</v>
      </c>
      <c r="AA120" s="23">
        <f>IF(Timing!AA72=1,0,AA115)</f>
        <v>0</v>
      </c>
      <c r="AB120" s="23">
        <f>IF(Timing!AB72=1,0,AB115)</f>
        <v>0</v>
      </c>
      <c r="AC120" s="23">
        <f>IF(Timing!AC72=1,0,AC115)</f>
        <v>0</v>
      </c>
      <c r="AD120" s="23">
        <f>IF(Timing!AD72=1,0,AD115)</f>
        <v>0</v>
      </c>
      <c r="AE120" s="23">
        <f>IF(Timing!AE72=1,0,AE115)</f>
        <v>0</v>
      </c>
    </row>
    <row r="121">
      <c r="A121" s="6" t="inlineStr">
        <is>
          <t xml:space="preserve">Unpaid cash at the year end (shortfall; no payments by the owners)</t>
        </is>
      </c>
      <c r="B121" s="10" t="inlineStr">
        <is>
          <t xml:space="preserve">€</t>
        </is>
      </c>
      <c r="E121" s="9">
        <v>0</v>
      </c>
      <c r="F121" s="23">
        <f>IF(F117&gt;=0,0,F117)</f>
        <v>0</v>
      </c>
      <c r="G121" s="23">
        <f>IF(G117&gt;=0,0,G117)</f>
        <v>0</v>
      </c>
      <c r="H121" s="23">
        <f>IF(H117&gt;=0,0,H117)</f>
        <v>0</v>
      </c>
      <c r="I121" s="23">
        <f>IF(I117&gt;=0,0,I117)</f>
        <v>0</v>
      </c>
      <c r="J121" s="23">
        <f>IF(J117&gt;=0,0,J117)</f>
        <v>0</v>
      </c>
      <c r="K121" s="23">
        <f>IF(K117&gt;=0,0,K117)</f>
        <v>0</v>
      </c>
      <c r="L121" s="23">
        <f>IF(L117&gt;=0,0,L117)</f>
        <v>0</v>
      </c>
      <c r="M121" s="23">
        <f>IF(M117&gt;=0,0,M117)</f>
        <v>0</v>
      </c>
      <c r="N121" s="23">
        <f>IF(N117&gt;=0,0,N117)</f>
        <v>0</v>
      </c>
      <c r="O121" s="23">
        <f>IF(O117&gt;=0,0,O117)</f>
        <v>0</v>
      </c>
      <c r="P121" s="23">
        <f>IF(P117&gt;=0,0,P117)</f>
        <v>0</v>
      </c>
      <c r="Q121" s="23">
        <f>IF(Q117&gt;=0,0,Q117)</f>
        <v>0</v>
      </c>
      <c r="R121" s="23">
        <f>IF(R117&gt;=0,0,R117)</f>
        <v>0</v>
      </c>
      <c r="S121" s="23">
        <f>IF(S117&gt;=0,0,S117)</f>
        <v>0</v>
      </c>
      <c r="T121" s="23">
        <f>IF(T117&gt;=0,0,T117)</f>
        <v>0</v>
      </c>
      <c r="U121" s="23">
        <f>IF(U117&gt;=0,0,U117)</f>
        <v>0</v>
      </c>
      <c r="V121" s="23">
        <f>IF(V117&gt;=0,0,V117)</f>
        <v>0</v>
      </c>
      <c r="W121" s="23">
        <f>IF(W117&gt;=0,0,W117)</f>
        <v>0</v>
      </c>
      <c r="X121" s="23">
        <f>IF(X117&gt;=0,0,X117)</f>
        <v>0</v>
      </c>
      <c r="Y121" s="23">
        <f>IF(Y117&gt;=0,0,Y117)</f>
        <v>0</v>
      </c>
      <c r="Z121" s="23">
        <f>IF(Z117&gt;=0,0,Z117)</f>
        <v>0</v>
      </c>
      <c r="AA121" s="23">
        <f>IF(AA117&gt;=0,0,AA117)</f>
        <v>0</v>
      </c>
      <c r="AB121" s="23">
        <f>IF(AB117&gt;=0,0,AB117)</f>
        <v>0</v>
      </c>
      <c r="AC121" s="23">
        <f>IF(AC117&gt;=0,0,AC117)</f>
        <v>0</v>
      </c>
      <c r="AD121" s="23">
        <f>IF(AD117&gt;=0,0,AD117)</f>
        <v>0</v>
      </c>
      <c r="AE121" s="23">
        <f>IF(AE117&gt;=0,0,AE117)</f>
        <v>0</v>
      </c>
    </row>
    <row r="122">
      <c r="A122" s="41" t="inlineStr">
        <is>
          <t xml:space="preserve">Cash available to equity (before legal limits on distributions)</t>
        </is>
      </c>
      <c r="B122" s="10" t="inlineStr">
        <is>
          <t xml:space="preserve">€</t>
        </is>
      </c>
      <c r="F122" s="42">
        <f>IF(F117&gt;=0,F117,0)</f>
        <v>1335136.0549719844</v>
      </c>
      <c r="G122" s="42">
        <f>IF(G117&gt;=0,G117,0)</f>
        <v>1787470.5168906073</v>
      </c>
      <c r="H122" s="42">
        <f>IF(H117&gt;=0,H117,0)</f>
        <v>470477.7552050587</v>
      </c>
      <c r="I122" s="42">
        <f>IF(I117&gt;=0,I117,0)</f>
        <v>573837.6985059796</v>
      </c>
      <c r="J122" s="42">
        <f>IF(J117&gt;=0,J117,0)</f>
        <v>690800.04173819</v>
      </c>
      <c r="K122" s="42">
        <f>IF(K117&gt;=0,K117,0)</f>
        <v>769474.1188673142</v>
      </c>
      <c r="L122" s="42">
        <f>IF(L117&gt;=0,L117,0)</f>
        <v>1294343.5389205934</v>
      </c>
      <c r="M122" s="42">
        <f>IF(M117&gt;=0,M117,0)</f>
        <v>1042955.1842004505</v>
      </c>
      <c r="N122" s="42">
        <f>IF(N117&gt;=0,N117,0)</f>
        <v>1163580.2857993306</v>
      </c>
      <c r="O122" s="42">
        <f>IF(O117&gt;=0,O117,0)</f>
        <v>1281889.1099722914</v>
      </c>
      <c r="P122" s="42">
        <f>IF(P117&gt;=0,P117,0)</f>
        <v>1280352.7603680326</v>
      </c>
      <c r="Q122" s="42">
        <f>IF(Q117&gt;=0,Q117,0)</f>
        <v>1400268.5952461604</v>
      </c>
      <c r="R122" s="42">
        <f>IF(R117&gt;=0,R117,0)</f>
        <v>1522283.5243087094</v>
      </c>
      <c r="S122" s="42">
        <f>IF(S117&gt;=0,S117,0)</f>
        <v>1641757.304768535</v>
      </c>
      <c r="T122" s="42">
        <f>IF(T117&gt;=0,T117,0)</f>
        <v>1765690.2155016991</v>
      </c>
      <c r="U122" s="42">
        <f>IF(U117&gt;=0,U117,0)</f>
        <v>1889442.549960675</v>
      </c>
      <c r="V122" s="42">
        <f>IF(V117&gt;=0,V117,0)</f>
        <v>1999750.933343589</v>
      </c>
      <c r="W122" s="42">
        <f>IF(W117&gt;=0,W117,0)</f>
        <v>2015654.599174337</v>
      </c>
      <c r="X122" s="42">
        <f>IF(X117&gt;=0,X117,0)</f>
        <v>2435591.845901797</v>
      </c>
      <c r="Y122" s="42">
        <f>IF(Y117&gt;=0,Y117,0)</f>
        <v>3434807.1715150094</v>
      </c>
      <c r="Z122" s="42">
        <f>IF(Z117&gt;=0,Z117,0)</f>
        <v>2970695.0578805897</v>
      </c>
      <c r="AA122" s="42">
        <f>IF(AA117&gt;=0,AA117,0)</f>
        <v>3028931.61048359</v>
      </c>
      <c r="AB122" s="42">
        <f>IF(AB117&gt;=0,AB117,0)</f>
        <v>3092324.5935430774</v>
      </c>
      <c r="AC122" s="42">
        <f>IF(AC117&gt;=0,AC117,0)</f>
        <v>3070711.398675999</v>
      </c>
      <c r="AD122" s="42">
        <f>IF(AD117&gt;=0,AD117,0)</f>
        <v>2874591.8013047716</v>
      </c>
      <c r="AE122" s="42">
        <f>IF(AE117&gt;=0,AE117,0)</f>
        <v>1752010.006377921</v>
      </c>
    </row>
    <row r="123">
      <c r="A123" s="6" t="inlineStr">
        <is>
          <t xml:space="preserve">Project cash flow before tax</t>
        </is>
      </c>
      <c r="B123" s="10" t="inlineStr">
        <is>
          <t xml:space="preserve">€</t>
        </is>
      </c>
      <c r="F123" s="23">
        <f>Operations!F162-Operations!F170-F106</f>
        <v>1887051.1949932326</v>
      </c>
      <c r="G123" s="23">
        <f>Operations!G162-Operations!G170-G106</f>
        <v>2891300.796933104</v>
      </c>
      <c r="H123" s="23">
        <f>Operations!H162-Operations!H170-H106</f>
        <v>2747393.1974834823</v>
      </c>
      <c r="I123" s="23">
        <f>Operations!I162-Operations!I170-I106</f>
        <v>2785821.947840727</v>
      </c>
      <c r="J123" s="23">
        <f>Operations!J162-Operations!J170-J106</f>
        <v>2837853.0981292613</v>
      </c>
      <c r="K123" s="23">
        <f>Operations!K162-Operations!K170-K106</f>
        <v>2851595.982314709</v>
      </c>
      <c r="L123" s="23">
        <f>Operations!L162-Operations!L170-L106</f>
        <v>3311534.209424312</v>
      </c>
      <c r="M123" s="23">
        <f>Operations!M162-Operations!M170-M106</f>
        <v>2995214.661760493</v>
      </c>
      <c r="N123" s="23">
        <f>Operations!N162-Operations!N170-N106</f>
        <v>3050908.570415697</v>
      </c>
      <c r="O123" s="23">
        <f>Operations!O162-Operations!O170-O106</f>
        <v>3104286.2016449817</v>
      </c>
      <c r="P123" s="23">
        <f>Operations!P162-Operations!P170-P106</f>
        <v>3037818.6590970466</v>
      </c>
      <c r="Q123" s="23">
        <f>Operations!Q162-Operations!Q170-Q106</f>
        <v>3092803.3010314982</v>
      </c>
      <c r="R123" s="23">
        <f>Operations!R162-Operations!R170-R106</f>
        <v>3149887.037150371</v>
      </c>
      <c r="S123" s="23">
        <f>Operations!S162-Operations!S170-S106</f>
        <v>3204429.6246665204</v>
      </c>
      <c r="T123" s="23">
        <f>Operations!T162-Operations!T170-T106</f>
        <v>3263431.3424560083</v>
      </c>
      <c r="U123" s="23">
        <f>Operations!U162-Operations!U170-U106</f>
        <v>3322252.483971308</v>
      </c>
      <c r="V123" s="23">
        <f>Operations!V162-Operations!V170-V106</f>
        <v>3383323.6744105457</v>
      </c>
      <c r="W123" s="23">
        <f>Operations!W162-Operations!W170-W106</f>
        <v>3441662.1472976217</v>
      </c>
      <c r="X123" s="23">
        <f>Operations!X162-Operations!X170-X106</f>
        <v>3504784.710963452</v>
      </c>
      <c r="Y123" s="23">
        <f>Operations!Y162-Operations!Y170-Y106</f>
        <v>3567709.1715150094</v>
      </c>
      <c r="Z123" s="23">
        <f>Operations!Z162-Operations!Z170-Z106</f>
        <v>3552397.3769154726</v>
      </c>
      <c r="AA123" s="23">
        <f>Operations!AA162-Operations!AA170-AA106</f>
        <v>3613181.929518473</v>
      </c>
      <c r="AB123" s="23">
        <f>Operations!AB162-Operations!AB170-AB106</f>
        <v>3679066.91257796</v>
      </c>
      <c r="AC123" s="23">
        <f>Operations!AC162-Operations!AC170-AC106</f>
        <v>3744701.717710882</v>
      </c>
      <c r="AD123" s="23">
        <f>Operations!AD162-Operations!AD170-AD106</f>
        <v>3812888.1203396544</v>
      </c>
      <c r="AE123" s="23">
        <f>Operations!AE162-Operations!AE170-AE106</f>
        <v>-249679.5887964936</v>
      </c>
    </row>
    <row r="124">
      <c r="A124" s="6" t="inlineStr">
        <is>
          <t xml:space="preserve">Project cash flow after tax (taxes without debt)</t>
        </is>
      </c>
      <c r="B124" s="10" t="inlineStr">
        <is>
          <t xml:space="preserve">€</t>
        </is>
      </c>
      <c r="F124" s="23">
        <f>F123-Tax!F240</f>
        <v>1886729.1949932326</v>
      </c>
      <c r="G124" s="23">
        <f>G123-Tax!G240</f>
        <v>2891300.796933104</v>
      </c>
      <c r="H124" s="23">
        <f>H123-Tax!H240</f>
        <v>2747393.1974834823</v>
      </c>
      <c r="I124" s="23">
        <f>I123-Tax!I240</f>
        <v>2785821.947840727</v>
      </c>
      <c r="J124" s="23">
        <f>J123-Tax!J240</f>
        <v>2837853.0981292613</v>
      </c>
      <c r="K124" s="23">
        <f>K123-Tax!K240</f>
        <v>2851595.982314709</v>
      </c>
      <c r="L124" s="23">
        <f>L123-Tax!L240</f>
        <v>3311534.209424312</v>
      </c>
      <c r="M124" s="23">
        <f>M123-Tax!M240</f>
        <v>2995214.661760493</v>
      </c>
      <c r="N124" s="23">
        <f>N123-Tax!N240</f>
        <v>3050908.570415697</v>
      </c>
      <c r="O124" s="23">
        <f>O123-Tax!O240</f>
        <v>3104286.2016449817</v>
      </c>
      <c r="P124" s="23">
        <f>P123-Tax!P240</f>
        <v>3037818.6590970466</v>
      </c>
      <c r="Q124" s="23">
        <f>Q123-Tax!Q240</f>
        <v>3092803.3010314982</v>
      </c>
      <c r="R124" s="23">
        <f>R123-Tax!R240</f>
        <v>3149887.037150371</v>
      </c>
      <c r="S124" s="23">
        <f>S123-Tax!S240</f>
        <v>3204429.6246665204</v>
      </c>
      <c r="T124" s="23">
        <f>T123-Tax!T240</f>
        <v>3263431.3424560083</v>
      </c>
      <c r="U124" s="23">
        <f>U123-Tax!U240</f>
        <v>3322252.483971308</v>
      </c>
      <c r="V124" s="23">
        <f>V123-Tax!V240</f>
        <v>3358557.6744105457</v>
      </c>
      <c r="W124" s="23">
        <f>W123-Tax!W240</f>
        <v>3314164.1472976217</v>
      </c>
      <c r="X124" s="23">
        <f>X123-Tax!X240</f>
        <v>3374570.710963452</v>
      </c>
      <c r="Y124" s="23">
        <f>Y123-Tax!Y240</f>
        <v>3428829.1715150094</v>
      </c>
      <c r="Z124" s="23">
        <f>Z123-Tax!Z240</f>
        <v>3079715.3769154726</v>
      </c>
      <c r="AA124" s="23">
        <f>AA123-Tax!AA240</f>
        <v>3134115.929518473</v>
      </c>
      <c r="AB124" s="23">
        <f>AB123-Tax!AB240</f>
        <v>3193798.91257796</v>
      </c>
      <c r="AC124" s="23">
        <f>AC123-Tax!AC240</f>
        <v>3253371.717710882</v>
      </c>
      <c r="AD124" s="23">
        <f>AD123-Tax!AD240</f>
        <v>3325282.1203396544</v>
      </c>
      <c r="AE124" s="23">
        <f>AE123-Tax!AE240</f>
        <v>-501441.5887964936</v>
      </c>
    </row>
    <row r="126">
      <c r="A126" s="5" t="inlineStr">
        <is>
          <t xml:space="preserve">Downside</t>
        </is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>
      <c r="A127" s="6" t="inlineStr">
        <is>
          <t xml:space="preserve">CFADS</t>
        </is>
      </c>
      <c r="B127" s="10" t="inlineStr">
        <is>
          <t xml:space="preserve">€</t>
        </is>
      </c>
      <c r="F127" s="45">
        <f>Tax!F142</f>
        <v>1453615.112304504</v>
      </c>
      <c r="G127" s="45">
        <f>Tax!G142</f>
        <v>1934443.9192025843</v>
      </c>
      <c r="H127" s="45">
        <f>Tax!H142</f>
        <v>3151921.8944625584</v>
      </c>
      <c r="I127" s="45">
        <f>Tax!I142</f>
        <v>2683529.8667177265</v>
      </c>
      <c r="J127" s="45">
        <f>Tax!J142</f>
        <v>2558516.524607921</v>
      </c>
      <c r="K127" s="45">
        <f>Tax!K142</f>
        <v>2502426.270594942</v>
      </c>
      <c r="L127" s="45">
        <f>Tax!L142</f>
        <v>4338307.176837427</v>
      </c>
      <c r="M127" s="45">
        <f>Tax!M142</f>
        <v>2756836.8576003914</v>
      </c>
      <c r="N127" s="45">
        <f>Tax!N142</f>
        <v>2729025.784782538</v>
      </c>
      <c r="O127" s="45">
        <f>Tax!O142</f>
        <v>2698206.6364277154</v>
      </c>
      <c r="P127" s="45">
        <f>Tax!P142</f>
        <v>2528807.3220999893</v>
      </c>
      <c r="Q127" s="45">
        <f>Tax!Q142</f>
        <v>2486740.259837407</v>
      </c>
      <c r="R127" s="45">
        <f>Tax!R142</f>
        <v>2444947.022996936</v>
      </c>
      <c r="S127" s="45">
        <f>Tax!S142</f>
        <v>2399689.182738581</v>
      </c>
      <c r="T127" s="45">
        <f>Tax!T142</f>
        <v>2356540.2441139184</v>
      </c>
      <c r="U127" s="45">
        <f>Tax!U142</f>
        <v>2311761.2314536283</v>
      </c>
      <c r="V127" s="45">
        <f>Tax!V142</f>
        <v>2267268.9329940462</v>
      </c>
      <c r="W127" s="45">
        <f>Tax!W142</f>
        <v>2154168.9757873775</v>
      </c>
      <c r="X127" s="45">
        <f>Tax!X142</f>
        <v>2211960.57311389</v>
      </c>
      <c r="Y127" s="45">
        <f>Tax!Y142</f>
        <v>2248314.5406976775</v>
      </c>
      <c r="Z127" s="45">
        <f>Tax!Z142</f>
        <v>2204383.992413605</v>
      </c>
      <c r="AA127" s="45">
        <f>Tax!AA142</f>
        <v>2239956.984071967</v>
      </c>
      <c r="AB127" s="45">
        <f>Tax!AB142</f>
        <v>2279453.4884312395</v>
      </c>
      <c r="AC127" s="45">
        <f>Tax!AC142</f>
        <v>2318573.6346889487</v>
      </c>
      <c r="AD127" s="45">
        <f>Tax!AD142</f>
        <v>2363417.3461972345</v>
      </c>
      <c r="AE127" s="45">
        <f>Tax!AE142</f>
        <v>1642374.952655662</v>
      </c>
    </row>
    <row r="128">
      <c r="A128" s="6" t="inlineStr">
        <is>
          <t xml:space="preserve">Debt service</t>
        </is>
      </c>
      <c r="B128" s="10" t="inlineStr">
        <is>
          <t xml:space="preserve">€</t>
        </is>
      </c>
      <c r="F128" s="45">
        <f>Debt!F13</f>
        <v>551915.1400212483</v>
      </c>
      <c r="G128" s="45">
        <f>Debt!G13</f>
        <v>1103830.2800424965</v>
      </c>
      <c r="H128" s="45">
        <f>Debt!H13</f>
        <v>2293148.2405143427</v>
      </c>
      <c r="I128" s="45">
        <f>Debt!I13</f>
        <v>2228217.0475706663</v>
      </c>
      <c r="J128" s="45">
        <f>Debt!J13</f>
        <v>2163285.8546269904</v>
      </c>
      <c r="K128" s="45">
        <f>Debt!K13</f>
        <v>2098354.661683314</v>
      </c>
      <c r="L128" s="45">
        <f>Debt!L13</f>
        <v>2033423.4687396376</v>
      </c>
      <c r="M128" s="45">
        <f>Debt!M13</f>
        <v>1968492.2757959617</v>
      </c>
      <c r="N128" s="45">
        <f>Debt!N13</f>
        <v>1903561.0828522854</v>
      </c>
      <c r="O128" s="45">
        <f>Debt!O13</f>
        <v>1838629.8899086094</v>
      </c>
      <c r="P128" s="45">
        <f>Debt!P13</f>
        <v>1773698.696964933</v>
      </c>
      <c r="Q128" s="45">
        <f>Debt!Q13</f>
        <v>1708767.504021257</v>
      </c>
      <c r="R128" s="45">
        <f>Debt!R13</f>
        <v>1643836.3110775806</v>
      </c>
      <c r="S128" s="45">
        <f>Debt!S13</f>
        <v>1578905.1181339044</v>
      </c>
      <c r="T128" s="45">
        <f>Debt!T13</f>
        <v>1513973.9251902283</v>
      </c>
      <c r="U128" s="45">
        <f>Debt!U13</f>
        <v>1449042.7322465521</v>
      </c>
      <c r="V128" s="45">
        <f>Debt!V13</f>
        <v>1384111.5393028758</v>
      </c>
      <c r="W128" s="45">
        <f>Debt!W13</f>
        <v>1319180.3463591996</v>
      </c>
      <c r="X128" s="45">
        <f>Debt!X13</f>
        <v>1254249.1534155395</v>
      </c>
      <c r="Y128" s="45">
        <f>Debt!Y13</f>
        <v>0</v>
      </c>
      <c r="Z128" s="45">
        <f>Debt!Z13</f>
        <v>0</v>
      </c>
      <c r="AA128" s="45">
        <f>Debt!AA13</f>
        <v>0</v>
      </c>
      <c r="AB128" s="45">
        <f>Debt!AB13</f>
        <v>0</v>
      </c>
      <c r="AC128" s="45">
        <f>Debt!AC13</f>
        <v>0</v>
      </c>
      <c r="AD128" s="45">
        <f>Debt!AD13</f>
        <v>0</v>
      </c>
      <c r="AE128" s="45">
        <f>Debt!AE13</f>
        <v>0</v>
      </c>
    </row>
    <row r="129">
      <c r="A129" s="6" t="inlineStr">
        <is>
          <t xml:space="preserve">Unpaid cash from the year before</t>
        </is>
      </c>
      <c r="B129" s="10" t="inlineStr">
        <is>
          <t xml:space="preserve">€</t>
        </is>
      </c>
      <c r="F129" s="23">
        <f>E161</f>
        <v>0</v>
      </c>
      <c r="G129" s="23">
        <f>F161</f>
        <v>0</v>
      </c>
      <c r="H129" s="23">
        <f>G161</f>
        <v>0</v>
      </c>
      <c r="I129" s="23">
        <f>H161</f>
        <v>0</v>
      </c>
      <c r="J129" s="23">
        <f>I161</f>
        <v>0</v>
      </c>
      <c r="K129" s="23">
        <f>J161</f>
        <v>0</v>
      </c>
      <c r="L129" s="23">
        <f>K161</f>
        <v>0</v>
      </c>
      <c r="M129" s="23">
        <f>L161</f>
        <v>0</v>
      </c>
      <c r="N129" s="23">
        <f>M161</f>
        <v>0</v>
      </c>
      <c r="O129" s="23">
        <f>N161</f>
        <v>0</v>
      </c>
      <c r="P129" s="23">
        <f>O161</f>
        <v>0</v>
      </c>
      <c r="Q129" s="23">
        <f>P161</f>
        <v>0</v>
      </c>
      <c r="R129" s="23">
        <f>Q161</f>
        <v>0</v>
      </c>
      <c r="S129" s="23">
        <f>R161</f>
        <v>0</v>
      </c>
      <c r="T129" s="23">
        <f>S161</f>
        <v>0</v>
      </c>
      <c r="U129" s="23">
        <f>T161</f>
        <v>0</v>
      </c>
      <c r="V129" s="23">
        <f>U161</f>
        <v>0</v>
      </c>
      <c r="W129" s="23">
        <f>V161</f>
        <v>0</v>
      </c>
      <c r="X129" s="23">
        <f>W161</f>
        <v>0</v>
      </c>
      <c r="Y129" s="23">
        <f>X161</f>
        <v>0</v>
      </c>
      <c r="Z129" s="23">
        <f>Y161</f>
        <v>0</v>
      </c>
      <c r="AA129" s="23">
        <f>Z161</f>
        <v>0</v>
      </c>
      <c r="AB129" s="23">
        <f>AA161</f>
        <v>0</v>
      </c>
      <c r="AC129" s="23">
        <f>AB161</f>
        <v>0</v>
      </c>
      <c r="AD129" s="23">
        <f>AC161</f>
        <v>0</v>
      </c>
      <c r="AE129" s="23">
        <f>AD161</f>
        <v>0</v>
      </c>
    </row>
    <row r="130">
      <c r="A130" s="6" t="inlineStr">
        <is>
          <t xml:space="preserve">Cash after debt service</t>
        </is>
      </c>
      <c r="B130" s="10" t="inlineStr">
        <is>
          <t xml:space="preserve">€</t>
        </is>
      </c>
      <c r="F130" s="23">
        <f>F127-F128+F129</f>
        <v>901699.9722832558</v>
      </c>
      <c r="G130" s="23">
        <f>G127-G128+G129</f>
        <v>830613.6391600878</v>
      </c>
      <c r="H130" s="23">
        <f>H127-H128+H129</f>
        <v>858773.6539482158</v>
      </c>
      <c r="I130" s="23">
        <f>I127-I128+I129</f>
        <v>455312.81914706016</v>
      </c>
      <c r="J130" s="23">
        <f>J127-J128+J129</f>
        <v>395230.66998093063</v>
      </c>
      <c r="K130" s="23">
        <f>K127-K128+K129</f>
        <v>404071.6089116279</v>
      </c>
      <c r="L130" s="23">
        <f>L127-L128+L129</f>
        <v>2304883.708097789</v>
      </c>
      <c r="M130" s="23">
        <f>M127-M128+M129</f>
        <v>788344.5818044296</v>
      </c>
      <c r="N130" s="23">
        <f>N127-N128+N129</f>
        <v>825464.7019302528</v>
      </c>
      <c r="O130" s="23">
        <f>O127-O128+O129</f>
        <v>859576.746519106</v>
      </c>
      <c r="P130" s="23">
        <f>P127-P128+P129</f>
        <v>755108.6251350562</v>
      </c>
      <c r="Q130" s="23">
        <f>Q127-Q128+Q129</f>
        <v>777972.7558161502</v>
      </c>
      <c r="R130" s="23">
        <f>R127-R128+R129</f>
        <v>801110.7119193554</v>
      </c>
      <c r="S130" s="23">
        <f>S127-S128+S129</f>
        <v>820784.0646046768</v>
      </c>
      <c r="T130" s="23">
        <f>T127-T128+T129</f>
        <v>842566.3189236901</v>
      </c>
      <c r="U130" s="23">
        <f>U127-U128+U129</f>
        <v>862718.4992070762</v>
      </c>
      <c r="V130" s="23">
        <f>V127-V128+V129</f>
        <v>883157.3936911705</v>
      </c>
      <c r="W130" s="23">
        <f>W127-W128+W129</f>
        <v>834988.6294281778</v>
      </c>
      <c r="X130" s="23">
        <f>X127-X128+X129</f>
        <v>957711.4196983504</v>
      </c>
      <c r="Y130" s="23">
        <f>Y127-Y128+Y129</f>
        <v>2248314.5406976775</v>
      </c>
      <c r="Z130" s="23">
        <f>Z127-Z128+Z129</f>
        <v>2204383.992413605</v>
      </c>
      <c r="AA130" s="23">
        <f>AA127-AA128+AA129</f>
        <v>2239956.984071967</v>
      </c>
      <c r="AB130" s="23">
        <f>AB127-AB128+AB129</f>
        <v>2279453.4884312395</v>
      </c>
      <c r="AC130" s="23">
        <f>AC127-AC128+AC129</f>
        <v>2318573.6346889487</v>
      </c>
      <c r="AD130" s="23">
        <f>AD127-AD128+AD129</f>
        <v>2363417.3461972345</v>
      </c>
      <c r="AE130" s="23">
        <f>AE127-AE128+AE129</f>
        <v>1642374.952655662</v>
      </c>
    </row>
    <row r="131">
      <c r="A131" s="6" t="inlineStr">
        <is>
          <t xml:space="preserve">Cash held back under the lock-up, used for a shortfall</t>
        </is>
      </c>
      <c r="B131" s="10" t="inlineStr">
        <is>
          <t xml:space="preserve">€</t>
        </is>
      </c>
      <c r="F131" s="23">
        <f>IF(AND(F130&lt;0,E160&gt;0),MIN(E160,-F130),0)</f>
        <v>0</v>
      </c>
      <c r="G131" s="23">
        <f>IF(AND(G130&lt;0,F160&gt;0),MIN(F160,-G130),0)</f>
        <v>0</v>
      </c>
      <c r="H131" s="23">
        <f>IF(AND(H130&lt;0,G160&gt;0),MIN(G160,-H130),0)</f>
        <v>0</v>
      </c>
      <c r="I131" s="23">
        <f>IF(AND(I130&lt;0,H160&gt;0),MIN(H160,-I130),0)</f>
        <v>0</v>
      </c>
      <c r="J131" s="23">
        <f>IF(AND(J130&lt;0,I160&gt;0),MIN(I160,-J130),0)</f>
        <v>0</v>
      </c>
      <c r="K131" s="23">
        <f>IF(AND(K130&lt;0,J160&gt;0),MIN(J160,-K130),0)</f>
        <v>0</v>
      </c>
      <c r="L131" s="23">
        <f>IF(AND(L130&lt;0,K160&gt;0),MIN(K160,-L130),0)</f>
        <v>0</v>
      </c>
      <c r="M131" s="23">
        <f>IF(AND(M130&lt;0,L160&gt;0),MIN(L160,-M130),0)</f>
        <v>0</v>
      </c>
      <c r="N131" s="23">
        <f>IF(AND(N130&lt;0,M160&gt;0),MIN(M160,-N130),0)</f>
        <v>0</v>
      </c>
      <c r="O131" s="23">
        <f>IF(AND(O130&lt;0,N160&gt;0),MIN(N160,-O130),0)</f>
        <v>0</v>
      </c>
      <c r="P131" s="23">
        <f>IF(AND(P130&lt;0,O160&gt;0),MIN(O160,-P130),0)</f>
        <v>0</v>
      </c>
      <c r="Q131" s="23">
        <f>IF(AND(Q130&lt;0,P160&gt;0),MIN(P160,-Q130),0)</f>
        <v>0</v>
      </c>
      <c r="R131" s="23">
        <f>IF(AND(R130&lt;0,Q160&gt;0),MIN(Q160,-R130),0)</f>
        <v>0</v>
      </c>
      <c r="S131" s="23">
        <f>IF(AND(S130&lt;0,R160&gt;0),MIN(R160,-S130),0)</f>
        <v>0</v>
      </c>
      <c r="T131" s="23">
        <f>IF(AND(T130&lt;0,S160&gt;0),MIN(S160,-T130),0)</f>
        <v>0</v>
      </c>
      <c r="U131" s="23">
        <f>IF(AND(U130&lt;0,T160&gt;0),MIN(T160,-U130),0)</f>
        <v>0</v>
      </c>
      <c r="V131" s="23">
        <f>IF(AND(V130&lt;0,U160&gt;0),MIN(U160,-V130),0)</f>
        <v>0</v>
      </c>
      <c r="W131" s="23">
        <f>IF(AND(W130&lt;0,V160&gt;0),MIN(V160,-W130),0)</f>
        <v>0</v>
      </c>
      <c r="X131" s="23">
        <f>IF(AND(X130&lt;0,W160&gt;0),MIN(W160,-X130),0)</f>
        <v>0</v>
      </c>
      <c r="Y131" s="23">
        <f>IF(AND(Y130&lt;0,X160&gt;0),MIN(X160,-Y130),0)</f>
        <v>0</v>
      </c>
      <c r="Z131" s="23">
        <f>IF(AND(Z130&lt;0,Y160&gt;0),MIN(Y160,-Z130),0)</f>
        <v>0</v>
      </c>
      <c r="AA131" s="23">
        <f>IF(AND(AA130&lt;0,Z160&gt;0),MIN(Z160,-AA130),0)</f>
        <v>0</v>
      </c>
      <c r="AB131" s="23">
        <f>IF(AND(AB130&lt;0,AA160&gt;0),MIN(AA160,-AB130),0)</f>
        <v>0</v>
      </c>
      <c r="AC131" s="23">
        <f>IF(AND(AC130&lt;0,AB160&gt;0),MIN(AB160,-AC130),0)</f>
        <v>0</v>
      </c>
      <c r="AD131" s="23">
        <f>IF(AND(AD130&lt;0,AC160&gt;0),MIN(AC160,-AD130),0)</f>
        <v>0</v>
      </c>
      <c r="AE131" s="23">
        <f>IF(AND(AE130&lt;0,AD160&gt;0),MIN(AD160,-AE130),0)</f>
        <v>0</v>
      </c>
    </row>
    <row r="132">
      <c r="A132" s="6" t="inlineStr">
        <is>
          <t xml:space="preserve">Cash after that</t>
        </is>
      </c>
      <c r="B132" s="10" t="inlineStr">
        <is>
          <t xml:space="preserve">€</t>
        </is>
      </c>
      <c r="F132" s="23">
        <f>F130+F131</f>
        <v>901699.9722832558</v>
      </c>
      <c r="G132" s="23">
        <f>G130+G131</f>
        <v>830613.6391600878</v>
      </c>
      <c r="H132" s="23">
        <f>H130+H131</f>
        <v>858773.6539482158</v>
      </c>
      <c r="I132" s="23">
        <f>I130+I131</f>
        <v>455312.81914706016</v>
      </c>
      <c r="J132" s="23">
        <f>J130+J131</f>
        <v>395230.66998093063</v>
      </c>
      <c r="K132" s="23">
        <f>K130+K131</f>
        <v>404071.6089116279</v>
      </c>
      <c r="L132" s="23">
        <f>L130+L131</f>
        <v>2304883.708097789</v>
      </c>
      <c r="M132" s="23">
        <f>M130+M131</f>
        <v>788344.5818044296</v>
      </c>
      <c r="N132" s="23">
        <f>N130+N131</f>
        <v>825464.7019302528</v>
      </c>
      <c r="O132" s="23">
        <f>O130+O131</f>
        <v>859576.746519106</v>
      </c>
      <c r="P132" s="23">
        <f>P130+P131</f>
        <v>755108.6251350562</v>
      </c>
      <c r="Q132" s="23">
        <f>Q130+Q131</f>
        <v>777972.7558161502</v>
      </c>
      <c r="R132" s="23">
        <f>R130+R131</f>
        <v>801110.7119193554</v>
      </c>
      <c r="S132" s="23">
        <f>S130+S131</f>
        <v>820784.0646046768</v>
      </c>
      <c r="T132" s="23">
        <f>T130+T131</f>
        <v>842566.3189236901</v>
      </c>
      <c r="U132" s="23">
        <f>U130+U131</f>
        <v>862718.4992070762</v>
      </c>
      <c r="V132" s="23">
        <f>V130+V131</f>
        <v>883157.3936911705</v>
      </c>
      <c r="W132" s="23">
        <f>W130+W131</f>
        <v>834988.6294281778</v>
      </c>
      <c r="X132" s="23">
        <f>X130+X131</f>
        <v>957711.4196983504</v>
      </c>
      <c r="Y132" s="23">
        <f>Y130+Y131</f>
        <v>2248314.5406976775</v>
      </c>
      <c r="Z132" s="23">
        <f>Z130+Z131</f>
        <v>2204383.992413605</v>
      </c>
      <c r="AA132" s="23">
        <f>AA130+AA131</f>
        <v>2239956.984071967</v>
      </c>
      <c r="AB132" s="23">
        <f>AB130+AB131</f>
        <v>2279453.4884312395</v>
      </c>
      <c r="AC132" s="23">
        <f>AC130+AC131</f>
        <v>2318573.6346889487</v>
      </c>
      <c r="AD132" s="23">
        <f>AD130+AD131</f>
        <v>2363417.3461972345</v>
      </c>
      <c r="AE132" s="23">
        <f>AE130+AE131</f>
        <v>1642374.952655662</v>
      </c>
    </row>
    <row r="133">
      <c r="A133" s="6" t="inlineStr">
        <is>
          <t xml:space="preserve">DSRA at the start</t>
        </is>
      </c>
      <c r="B133" s="10" t="inlineStr">
        <is>
          <t xml:space="preserve">€</t>
        </is>
      </c>
      <c r="F133" s="23">
        <f>E158</f>
        <v>573287.0601285857</v>
      </c>
      <c r="G133" s="23">
        <f>F158</f>
        <v>573287.0601285857</v>
      </c>
      <c r="H133" s="23">
        <f>G158</f>
        <v>573287.0601285857</v>
      </c>
      <c r="I133" s="23">
        <f>H158</f>
        <v>557054.2618926666</v>
      </c>
      <c r="J133" s="23">
        <f>I158</f>
        <v>540821.4636567476</v>
      </c>
      <c r="K133" s="23">
        <f>J158</f>
        <v>524588.6654208285</v>
      </c>
      <c r="L133" s="23">
        <f>K158</f>
        <v>508355.8671849094</v>
      </c>
      <c r="M133" s="23">
        <f>L158</f>
        <v>492123.06894899043</v>
      </c>
      <c r="N133" s="23">
        <f>M158</f>
        <v>475890.27071307134</v>
      </c>
      <c r="O133" s="23">
        <f>N158</f>
        <v>459657.47247715236</v>
      </c>
      <c r="P133" s="23">
        <f>O158</f>
        <v>443424.67424123327</v>
      </c>
      <c r="Q133" s="23">
        <f>P158</f>
        <v>427191.87600531423</v>
      </c>
      <c r="R133" s="23">
        <f>Q158</f>
        <v>410959.07776939514</v>
      </c>
      <c r="S133" s="23">
        <f>R158</f>
        <v>394726.2795334761</v>
      </c>
      <c r="T133" s="23">
        <f>S158</f>
        <v>378493.48129755707</v>
      </c>
      <c r="U133" s="23">
        <f>T158</f>
        <v>362260.68306163803</v>
      </c>
      <c r="V133" s="23">
        <f>U158</f>
        <v>346027.88482571894</v>
      </c>
      <c r="W133" s="23">
        <f>V158</f>
        <v>329795.0865897999</v>
      </c>
      <c r="X133" s="23">
        <f>W158</f>
        <v>313562.2883538849</v>
      </c>
      <c r="Y133" s="23">
        <f>X158</f>
        <v>0</v>
      </c>
      <c r="Z133" s="23">
        <f>Y158</f>
        <v>0</v>
      </c>
      <c r="AA133" s="23">
        <f>Z158</f>
        <v>0</v>
      </c>
      <c r="AB133" s="23">
        <f>AA158</f>
        <v>0</v>
      </c>
      <c r="AC133" s="23">
        <f>AB158</f>
        <v>0</v>
      </c>
      <c r="AD133" s="23">
        <f>AC158</f>
        <v>0</v>
      </c>
      <c r="AE133" s="23">
        <f>AD158</f>
        <v>0</v>
      </c>
    </row>
    <row r="134">
      <c r="A134" s="6" t="inlineStr">
        <is>
          <t xml:space="preserve">DSRA target</t>
        </is>
      </c>
      <c r="B134" s="10" t="inlineStr">
        <is>
          <t xml:space="preserve">€</t>
        </is>
      </c>
      <c r="F134" s="45">
        <f>Debt!F14</f>
        <v>573287.0601285857</v>
      </c>
      <c r="G134" s="45">
        <f>Debt!G14</f>
        <v>573287.0601285857</v>
      </c>
      <c r="H134" s="45">
        <f>Debt!H14</f>
        <v>557054.2618926666</v>
      </c>
      <c r="I134" s="45">
        <f>Debt!I14</f>
        <v>540821.4636567476</v>
      </c>
      <c r="J134" s="45">
        <f>Debt!J14</f>
        <v>524588.6654208285</v>
      </c>
      <c r="K134" s="45">
        <f>Debt!K14</f>
        <v>508355.8671849094</v>
      </c>
      <c r="L134" s="45">
        <f>Debt!L14</f>
        <v>492123.06894899043</v>
      </c>
      <c r="M134" s="45">
        <f>Debt!M14</f>
        <v>475890.27071307134</v>
      </c>
      <c r="N134" s="45">
        <f>Debt!N14</f>
        <v>459657.47247715236</v>
      </c>
      <c r="O134" s="45">
        <f>Debt!O14</f>
        <v>443424.67424123327</v>
      </c>
      <c r="P134" s="45">
        <f>Debt!P14</f>
        <v>427191.87600531423</v>
      </c>
      <c r="Q134" s="45">
        <f>Debt!Q14</f>
        <v>410959.07776939514</v>
      </c>
      <c r="R134" s="45">
        <f>Debt!R14</f>
        <v>394726.2795334761</v>
      </c>
      <c r="S134" s="45">
        <f>Debt!S14</f>
        <v>378493.48129755707</v>
      </c>
      <c r="T134" s="45">
        <f>Debt!T14</f>
        <v>362260.68306163803</v>
      </c>
      <c r="U134" s="45">
        <f>Debt!U14</f>
        <v>346027.88482571894</v>
      </c>
      <c r="V134" s="45">
        <f>Debt!V14</f>
        <v>329795.0865897999</v>
      </c>
      <c r="W134" s="45">
        <f>Debt!W14</f>
        <v>313562.2883538849</v>
      </c>
      <c r="X134" s="45">
        <f>Debt!X14</f>
        <v>0</v>
      </c>
      <c r="Y134" s="45">
        <f>Debt!Y14</f>
        <v>0</v>
      </c>
      <c r="Z134" s="45">
        <f>Debt!Z14</f>
        <v>0</v>
      </c>
      <c r="AA134" s="45">
        <f>Debt!AA14</f>
        <v>0</v>
      </c>
      <c r="AB134" s="45">
        <f>Debt!AB14</f>
        <v>0</v>
      </c>
      <c r="AC134" s="45">
        <f>Debt!AC14</f>
        <v>0</v>
      </c>
      <c r="AD134" s="45">
        <f>Debt!AD14</f>
        <v>0</v>
      </c>
      <c r="AE134" s="45">
        <f>Debt!AE14</f>
        <v>0</v>
      </c>
    </row>
    <row r="135">
      <c r="A135" s="6" t="inlineStr">
        <is>
          <t xml:space="preserve">DSRA top-up from surplus cash</t>
        </is>
      </c>
      <c r="B135" s="10" t="inlineStr">
        <is>
          <t xml:space="preserve">€</t>
        </is>
      </c>
      <c r="F135" s="23">
        <f>IF(F134&gt;F133,MIN(F134-F133,MAX(0,F132)),0)</f>
        <v>0</v>
      </c>
      <c r="G135" s="23">
        <f>IF(G134&gt;G133,MIN(G134-G133,MAX(0,G132)),0)</f>
        <v>0</v>
      </c>
      <c r="H135" s="23">
        <f>IF(H134&gt;H133,MIN(H134-H133,MAX(0,H132)),0)</f>
        <v>0</v>
      </c>
      <c r="I135" s="23">
        <f>IF(I134&gt;I133,MIN(I134-I133,MAX(0,I132)),0)</f>
        <v>0</v>
      </c>
      <c r="J135" s="23">
        <f>IF(J134&gt;J133,MIN(J134-J133,MAX(0,J132)),0)</f>
        <v>0</v>
      </c>
      <c r="K135" s="23">
        <f>IF(K134&gt;K133,MIN(K134-K133,MAX(0,K132)),0)</f>
        <v>0</v>
      </c>
      <c r="L135" s="23">
        <f>IF(L134&gt;L133,MIN(L134-L133,MAX(0,L132)),0)</f>
        <v>0</v>
      </c>
      <c r="M135" s="23">
        <f>IF(M134&gt;M133,MIN(M134-M133,MAX(0,M132)),0)</f>
        <v>0</v>
      </c>
      <c r="N135" s="23">
        <f>IF(N134&gt;N133,MIN(N134-N133,MAX(0,N132)),0)</f>
        <v>0</v>
      </c>
      <c r="O135" s="23">
        <f>IF(O134&gt;O133,MIN(O134-O133,MAX(0,O132)),0)</f>
        <v>0</v>
      </c>
      <c r="P135" s="23">
        <f>IF(P134&gt;P133,MIN(P134-P133,MAX(0,P132)),0)</f>
        <v>0</v>
      </c>
      <c r="Q135" s="23">
        <f>IF(Q134&gt;Q133,MIN(Q134-Q133,MAX(0,Q132)),0)</f>
        <v>0</v>
      </c>
      <c r="R135" s="23">
        <f>IF(R134&gt;R133,MIN(R134-R133,MAX(0,R132)),0)</f>
        <v>0</v>
      </c>
      <c r="S135" s="23">
        <f>IF(S134&gt;S133,MIN(S134-S133,MAX(0,S132)),0)</f>
        <v>0</v>
      </c>
      <c r="T135" s="23">
        <f>IF(T134&gt;T133,MIN(T134-T133,MAX(0,T132)),0)</f>
        <v>0</v>
      </c>
      <c r="U135" s="23">
        <f>IF(U134&gt;U133,MIN(U134-U133,MAX(0,U132)),0)</f>
        <v>0</v>
      </c>
      <c r="V135" s="23">
        <f>IF(V134&gt;V133,MIN(V134-V133,MAX(0,V132)),0)</f>
        <v>0</v>
      </c>
      <c r="W135" s="23">
        <f>IF(W134&gt;W133,MIN(W134-W133,MAX(0,W132)),0)</f>
        <v>0</v>
      </c>
      <c r="X135" s="23">
        <f>IF(X134&gt;X133,MIN(X134-X133,MAX(0,X132)),0)</f>
        <v>0</v>
      </c>
      <c r="Y135" s="23">
        <f>IF(Y134&gt;Y133,MIN(Y134-Y133,MAX(0,Y132)),0)</f>
        <v>0</v>
      </c>
      <c r="Z135" s="23">
        <f>IF(Z134&gt;Z133,MIN(Z134-Z133,MAX(0,Z132)),0)</f>
        <v>0</v>
      </c>
      <c r="AA135" s="23">
        <f>IF(AA134&gt;AA133,MIN(AA134-AA133,MAX(0,AA132)),0)</f>
        <v>0</v>
      </c>
      <c r="AB135" s="23">
        <f>IF(AB134&gt;AB133,MIN(AB134-AB133,MAX(0,AB132)),0)</f>
        <v>0</v>
      </c>
      <c r="AC135" s="23">
        <f>IF(AC134&gt;AC133,MIN(AC134-AC133,MAX(0,AC132)),0)</f>
        <v>0</v>
      </c>
      <c r="AD135" s="23">
        <f>IF(AD134&gt;AD133,MIN(AD134-AD133,MAX(0,AD132)),0)</f>
        <v>0</v>
      </c>
      <c r="AE135" s="23">
        <f>IF(AE134&gt;AE133,MIN(AE134-AE133,MAX(0,AE132)),0)</f>
        <v>0</v>
      </c>
    </row>
    <row r="136">
      <c r="A136" s="6" t="inlineStr">
        <is>
          <t xml:space="preserve">DSRA release above the target</t>
        </is>
      </c>
      <c r="B136" s="10" t="inlineStr">
        <is>
          <t xml:space="preserve">€</t>
        </is>
      </c>
      <c r="F136" s="23">
        <f>IF(F134&gt;F133,0,F133-F134)</f>
        <v>0</v>
      </c>
      <c r="G136" s="23">
        <f>IF(G134&gt;G133,0,G133-G134)</f>
        <v>0</v>
      </c>
      <c r="H136" s="23">
        <f>IF(H134&gt;H133,0,H133-H134)</f>
        <v>16232.798235919094</v>
      </c>
      <c r="I136" s="23">
        <f>IF(I134&gt;I133,0,I133-I134)</f>
        <v>16232.798235918977</v>
      </c>
      <c r="J136" s="23">
        <f>IF(J134&gt;J133,0,J133-J134)</f>
        <v>16232.798235919094</v>
      </c>
      <c r="K136" s="23">
        <f>IF(K134&gt;K133,0,K133-K134)</f>
        <v>16232.798235919094</v>
      </c>
      <c r="L136" s="23">
        <f>IF(L134&gt;L133,0,L133-L134)</f>
        <v>16232.798235918977</v>
      </c>
      <c r="M136" s="23">
        <f>IF(M134&gt;M133,0,M133-M134)</f>
        <v>16232.798235919094</v>
      </c>
      <c r="N136" s="23">
        <f>IF(N134&gt;N133,0,N133-N134)</f>
        <v>16232.798235918977</v>
      </c>
      <c r="O136" s="23">
        <f>IF(O134&gt;O133,0,O133-O134)</f>
        <v>16232.798235919094</v>
      </c>
      <c r="P136" s="23">
        <f>IF(P134&gt;P133,0,P133-P134)</f>
        <v>16232.798235919036</v>
      </c>
      <c r="Q136" s="23">
        <f>IF(Q134&gt;Q133,0,Q133-Q134)</f>
        <v>16232.798235919094</v>
      </c>
      <c r="R136" s="23">
        <f>IF(R134&gt;R133,0,R133-R134)</f>
        <v>16232.798235919036</v>
      </c>
      <c r="S136" s="23">
        <f>IF(S134&gt;S133,0,S133-S134)</f>
        <v>16232.798235919036</v>
      </c>
      <c r="T136" s="23">
        <f>IF(T134&gt;T133,0,T133-T134)</f>
        <v>16232.798235919036</v>
      </c>
      <c r="U136" s="23">
        <f>IF(U134&gt;U133,0,U133-U134)</f>
        <v>16232.798235919094</v>
      </c>
      <c r="V136" s="23">
        <f>IF(V134&gt;V133,0,V133-V134)</f>
        <v>16232.798235919036</v>
      </c>
      <c r="W136" s="23">
        <f>IF(W134&gt;W133,0,W133-W134)</f>
        <v>16232.79823591502</v>
      </c>
      <c r="X136" s="23">
        <f>IF(X134&gt;X133,0,X133-X134)</f>
        <v>313562.2883538849</v>
      </c>
      <c r="Y136" s="23">
        <f>IF(Y134&gt;Y133,0,Y133-Y134)</f>
        <v>0</v>
      </c>
      <c r="Z136" s="23">
        <f>IF(Z134&gt;Z133,0,Z133-Z134)</f>
        <v>0</v>
      </c>
      <c r="AA136" s="23">
        <f>IF(AA134&gt;AA133,0,AA133-AA134)</f>
        <v>0</v>
      </c>
      <c r="AB136" s="23">
        <f>IF(AB134&gt;AB133,0,AB133-AB134)</f>
        <v>0</v>
      </c>
      <c r="AC136" s="23">
        <f>IF(AC134&gt;AC133,0,AC133-AC134)</f>
        <v>0</v>
      </c>
      <c r="AD136" s="23">
        <f>IF(AD134&gt;AD133,0,AD133-AD134)</f>
        <v>0</v>
      </c>
      <c r="AE136" s="23">
        <f>IF(AE134&gt;AE133,0,AE133-AE134)</f>
        <v>0</v>
      </c>
    </row>
    <row r="137">
      <c r="A137" s="6" t="inlineStr">
        <is>
          <t xml:space="preserve">Cash after DSRA top-up and release</t>
        </is>
      </c>
      <c r="B137" s="10" t="inlineStr">
        <is>
          <t xml:space="preserve">€</t>
        </is>
      </c>
      <c r="F137" s="23">
        <f>F132-F135+F136</f>
        <v>901699.9722832558</v>
      </c>
      <c r="G137" s="23">
        <f>G132-G135+G136</f>
        <v>830613.6391600878</v>
      </c>
      <c r="H137" s="23">
        <f>H132-H135+H136</f>
        <v>875006.4521841349</v>
      </c>
      <c r="I137" s="23">
        <f>I132-I135+I136</f>
        <v>471545.61738297914</v>
      </c>
      <c r="J137" s="23">
        <f>J132-J135+J136</f>
        <v>411463.4682168497</v>
      </c>
      <c r="K137" s="23">
        <f>K132-K135+K136</f>
        <v>420304.407147547</v>
      </c>
      <c r="L137" s="23">
        <f>L132-L135+L136</f>
        <v>2321116.506333708</v>
      </c>
      <c r="M137" s="23">
        <f>M132-M135+M136</f>
        <v>804577.3800403487</v>
      </c>
      <c r="N137" s="23">
        <f>N132-N135+N136</f>
        <v>841697.5001661718</v>
      </c>
      <c r="O137" s="23">
        <f>O132-O135+O136</f>
        <v>875809.5447550251</v>
      </c>
      <c r="P137" s="23">
        <f>P132-P135+P136</f>
        <v>771341.4233709753</v>
      </c>
      <c r="Q137" s="23">
        <f>Q132-Q135+Q136</f>
        <v>794205.5540520693</v>
      </c>
      <c r="R137" s="23">
        <f>R132-R135+R136</f>
        <v>817343.5101552745</v>
      </c>
      <c r="S137" s="23">
        <f>S132-S135+S136</f>
        <v>837016.8628405959</v>
      </c>
      <c r="T137" s="23">
        <f>T132-T135+T136</f>
        <v>858799.1171596092</v>
      </c>
      <c r="U137" s="23">
        <f>U132-U135+U136</f>
        <v>878951.2974429952</v>
      </c>
      <c r="V137" s="23">
        <f>V132-V135+V136</f>
        <v>899390.1919270896</v>
      </c>
      <c r="W137" s="23">
        <f>W132-W135+W136</f>
        <v>851221.4276640929</v>
      </c>
      <c r="X137" s="23">
        <f>X132-X135+X136</f>
        <v>1271273.7080522352</v>
      </c>
      <c r="Y137" s="23">
        <f>Y132-Y135+Y136</f>
        <v>2248314.5406976775</v>
      </c>
      <c r="Z137" s="23">
        <f>Z132-Z135+Z136</f>
        <v>2204383.992413605</v>
      </c>
      <c r="AA137" s="23">
        <f>AA132-AA135+AA136</f>
        <v>2239956.984071967</v>
      </c>
      <c r="AB137" s="23">
        <f>AB132-AB135+AB136</f>
        <v>2279453.4884312395</v>
      </c>
      <c r="AC137" s="23">
        <f>AC132-AC135+AC136</f>
        <v>2318573.6346889487</v>
      </c>
      <c r="AD137" s="23">
        <f>AD132-AD135+AD136</f>
        <v>2363417.3461972345</v>
      </c>
      <c r="AE137" s="23">
        <f>AE132-AE135+AE136</f>
        <v>1642374.952655662</v>
      </c>
    </row>
    <row r="138">
      <c r="A138" s="6" t="inlineStr">
        <is>
          <t xml:space="preserve">DSRA drawn for a shortfall</t>
        </is>
      </c>
      <c r="B138" s="10" t="inlineStr">
        <is>
          <t xml:space="preserve">€</t>
        </is>
      </c>
      <c r="F138" s="23">
        <f>IF(F137&lt;0,MIN(F133+F135-F136,-F137),0)</f>
        <v>0</v>
      </c>
      <c r="G138" s="23">
        <f>IF(G137&lt;0,MIN(G133+G135-G136,-G137),0)</f>
        <v>0</v>
      </c>
      <c r="H138" s="23">
        <f>IF(H137&lt;0,MIN(H133+H135-H136,-H137),0)</f>
        <v>0</v>
      </c>
      <c r="I138" s="23">
        <f>IF(I137&lt;0,MIN(I133+I135-I136,-I137),0)</f>
        <v>0</v>
      </c>
      <c r="J138" s="23">
        <f>IF(J137&lt;0,MIN(J133+J135-J136,-J137),0)</f>
        <v>0</v>
      </c>
      <c r="K138" s="23">
        <f>IF(K137&lt;0,MIN(K133+K135-K136,-K137),0)</f>
        <v>0</v>
      </c>
      <c r="L138" s="23">
        <f>IF(L137&lt;0,MIN(L133+L135-L136,-L137),0)</f>
        <v>0</v>
      </c>
      <c r="M138" s="23">
        <f>IF(M137&lt;0,MIN(M133+M135-M136,-M137),0)</f>
        <v>0</v>
      </c>
      <c r="N138" s="23">
        <f>IF(N137&lt;0,MIN(N133+N135-N136,-N137),0)</f>
        <v>0</v>
      </c>
      <c r="O138" s="23">
        <f>IF(O137&lt;0,MIN(O133+O135-O136,-O137),0)</f>
        <v>0</v>
      </c>
      <c r="P138" s="23">
        <f>IF(P137&lt;0,MIN(P133+P135-P136,-P137),0)</f>
        <v>0</v>
      </c>
      <c r="Q138" s="23">
        <f>IF(Q137&lt;0,MIN(Q133+Q135-Q136,-Q137),0)</f>
        <v>0</v>
      </c>
      <c r="R138" s="23">
        <f>IF(R137&lt;0,MIN(R133+R135-R136,-R137),0)</f>
        <v>0</v>
      </c>
      <c r="S138" s="23">
        <f>IF(S137&lt;0,MIN(S133+S135-S136,-S137),0)</f>
        <v>0</v>
      </c>
      <c r="T138" s="23">
        <f>IF(T137&lt;0,MIN(T133+T135-T136,-T137),0)</f>
        <v>0</v>
      </c>
      <c r="U138" s="23">
        <f>IF(U137&lt;0,MIN(U133+U135-U136,-U137),0)</f>
        <v>0</v>
      </c>
      <c r="V138" s="23">
        <f>IF(V137&lt;0,MIN(V133+V135-V136,-V137),0)</f>
        <v>0</v>
      </c>
      <c r="W138" s="23">
        <f>IF(W137&lt;0,MIN(W133+W135-W136,-W137),0)</f>
        <v>0</v>
      </c>
      <c r="X138" s="23">
        <f>IF(X137&lt;0,MIN(X133+X135-X136,-X137),0)</f>
        <v>0</v>
      </c>
      <c r="Y138" s="23">
        <f>IF(Y137&lt;0,MIN(Y133+Y135-Y136,-Y137),0)</f>
        <v>0</v>
      </c>
      <c r="Z138" s="23">
        <f>IF(Z137&lt;0,MIN(Z133+Z135-Z136,-Z137),0)</f>
        <v>0</v>
      </c>
      <c r="AA138" s="23">
        <f>IF(AA137&lt;0,MIN(AA133+AA135-AA136,-AA137),0)</f>
        <v>0</v>
      </c>
      <c r="AB138" s="23">
        <f>IF(AB137&lt;0,MIN(AB133+AB135-AB136,-AB137),0)</f>
        <v>0</v>
      </c>
      <c r="AC138" s="23">
        <f>IF(AC137&lt;0,MIN(AC133+AC135-AC136,-AC137),0)</f>
        <v>0</v>
      </c>
      <c r="AD138" s="23">
        <f>IF(AD137&lt;0,MIN(AD133+AD135-AD136,-AD137),0)</f>
        <v>0</v>
      </c>
      <c r="AE138" s="23">
        <f>IF(AE137&lt;0,MIN(AE133+AE135-AE136,-AE137),0)</f>
        <v>0</v>
      </c>
    </row>
    <row r="139">
      <c r="A139" s="6" t="inlineStr">
        <is>
          <t xml:space="preserve">Cash after the DSRA</t>
        </is>
      </c>
      <c r="B139" s="10" t="inlineStr">
        <is>
          <t xml:space="preserve">€</t>
        </is>
      </c>
      <c r="F139" s="23">
        <f>F137+F138</f>
        <v>901699.9722832558</v>
      </c>
      <c r="G139" s="23">
        <f>G137+G138</f>
        <v>830613.6391600878</v>
      </c>
      <c r="H139" s="23">
        <f>H137+H138</f>
        <v>875006.4521841349</v>
      </c>
      <c r="I139" s="23">
        <f>I137+I138</f>
        <v>471545.61738297914</v>
      </c>
      <c r="J139" s="23">
        <f>J137+J138</f>
        <v>411463.4682168497</v>
      </c>
      <c r="K139" s="23">
        <f>K137+K138</f>
        <v>420304.407147547</v>
      </c>
      <c r="L139" s="23">
        <f>L137+L138</f>
        <v>2321116.506333708</v>
      </c>
      <c r="M139" s="23">
        <f>M137+M138</f>
        <v>804577.3800403487</v>
      </c>
      <c r="N139" s="23">
        <f>N137+N138</f>
        <v>841697.5001661718</v>
      </c>
      <c r="O139" s="23">
        <f>O137+O138</f>
        <v>875809.5447550251</v>
      </c>
      <c r="P139" s="23">
        <f>P137+P138</f>
        <v>771341.4233709753</v>
      </c>
      <c r="Q139" s="23">
        <f>Q137+Q138</f>
        <v>794205.5540520693</v>
      </c>
      <c r="R139" s="23">
        <f>R137+R138</f>
        <v>817343.5101552745</v>
      </c>
      <c r="S139" s="23">
        <f>S137+S138</f>
        <v>837016.8628405959</v>
      </c>
      <c r="T139" s="23">
        <f>T137+T138</f>
        <v>858799.1171596092</v>
      </c>
      <c r="U139" s="23">
        <f>U137+U138</f>
        <v>878951.2974429952</v>
      </c>
      <c r="V139" s="23">
        <f>V137+V138</f>
        <v>899390.1919270896</v>
      </c>
      <c r="W139" s="23">
        <f>W137+W138</f>
        <v>851221.4276640929</v>
      </c>
      <c r="X139" s="23">
        <f>X137+X138</f>
        <v>1271273.7080522352</v>
      </c>
      <c r="Y139" s="23">
        <f>Y137+Y138</f>
        <v>2248314.5406976775</v>
      </c>
      <c r="Z139" s="23">
        <f>Z137+Z138</f>
        <v>2204383.992413605</v>
      </c>
      <c r="AA139" s="23">
        <f>AA137+AA138</f>
        <v>2239956.984071967</v>
      </c>
      <c r="AB139" s="23">
        <f>AB137+AB138</f>
        <v>2279453.4884312395</v>
      </c>
      <c r="AC139" s="23">
        <f>AC137+AC138</f>
        <v>2318573.6346889487</v>
      </c>
      <c r="AD139" s="23">
        <f>AD137+AD138</f>
        <v>2363417.3461972345</v>
      </c>
      <c r="AE139" s="23">
        <f>AE137+AE138</f>
        <v>1642374.952655662</v>
      </c>
    </row>
    <row r="140">
      <c r="A140" s="6" t="inlineStr">
        <is>
          <t xml:space="preserve">Reserve instalments still to pay</t>
        </is>
      </c>
      <c r="F140" s="23">
        <f>E144</f>
        <v>6</v>
      </c>
      <c r="G140" s="23">
        <f>F144</f>
        <v>6</v>
      </c>
      <c r="H140" s="23">
        <f>G144</f>
        <v>6</v>
      </c>
      <c r="I140" s="23">
        <f>H144</f>
        <v>6</v>
      </c>
      <c r="J140" s="23">
        <f>I144</f>
        <v>6</v>
      </c>
      <c r="K140" s="23">
        <f>J144</f>
        <v>6</v>
      </c>
      <c r="L140" s="23">
        <f>K144</f>
        <v>6</v>
      </c>
      <c r="M140" s="23">
        <f>L144</f>
        <v>6</v>
      </c>
      <c r="N140" s="23">
        <f>M144</f>
        <v>6</v>
      </c>
      <c r="O140" s="23">
        <f>N144</f>
        <v>6</v>
      </c>
      <c r="P140" s="23">
        <f>O144</f>
        <v>6</v>
      </c>
      <c r="Q140" s="23">
        <f>P144</f>
        <v>6</v>
      </c>
      <c r="R140" s="23">
        <f>Q144</f>
        <v>6</v>
      </c>
      <c r="S140" s="23">
        <f>R144</f>
        <v>6</v>
      </c>
      <c r="T140" s="23">
        <f>S144</f>
        <v>6</v>
      </c>
      <c r="U140" s="23">
        <f>T144</f>
        <v>6</v>
      </c>
      <c r="V140" s="23">
        <f>U144</f>
        <v>6</v>
      </c>
      <c r="W140" s="23">
        <f>V144</f>
        <v>6</v>
      </c>
      <c r="X140" s="23">
        <f>W144</f>
        <v>6</v>
      </c>
      <c r="Y140" s="23">
        <f>X144</f>
        <v>6</v>
      </c>
      <c r="Z140" s="23">
        <f>Y144</f>
        <v>6</v>
      </c>
      <c r="AA140" s="23">
        <f>Z144</f>
        <v>5</v>
      </c>
      <c r="AB140" s="23">
        <f>AA144</f>
        <v>4</v>
      </c>
      <c r="AC140" s="23">
        <f>AB144</f>
        <v>3</v>
      </c>
      <c r="AD140" s="23">
        <f>AC144</f>
        <v>2</v>
      </c>
      <c r="AE140" s="23">
        <f>AD144</f>
        <v>1</v>
      </c>
    </row>
    <row r="141">
      <c r="A141" s="6" t="inlineStr">
        <is>
          <t xml:space="preserve">Decommissioning reserve at the start</t>
        </is>
      </c>
      <c r="B141" s="10" t="inlineStr">
        <is>
          <t xml:space="preserve">€</t>
        </is>
      </c>
      <c r="E141" s="9">
        <v>0</v>
      </c>
      <c r="F141" s="23">
        <f>E159</f>
        <v>0</v>
      </c>
      <c r="G141" s="23">
        <f>F159</f>
        <v>0</v>
      </c>
      <c r="H141" s="23">
        <f>G159</f>
        <v>0</v>
      </c>
      <c r="I141" s="23">
        <f>H159</f>
        <v>0</v>
      </c>
      <c r="J141" s="23">
        <f>I159</f>
        <v>0</v>
      </c>
      <c r="K141" s="23">
        <f>J159</f>
        <v>0</v>
      </c>
      <c r="L141" s="23">
        <f>K159</f>
        <v>0</v>
      </c>
      <c r="M141" s="23">
        <f>L159</f>
        <v>0</v>
      </c>
      <c r="N141" s="23">
        <f>M159</f>
        <v>0</v>
      </c>
      <c r="O141" s="23">
        <f>N159</f>
        <v>0</v>
      </c>
      <c r="P141" s="23">
        <f>O159</f>
        <v>0</v>
      </c>
      <c r="Q141" s="23">
        <f>P159</f>
        <v>0</v>
      </c>
      <c r="R141" s="23">
        <f>Q159</f>
        <v>0</v>
      </c>
      <c r="S141" s="23">
        <f>R159</f>
        <v>0</v>
      </c>
      <c r="T141" s="23">
        <f>S159</f>
        <v>0</v>
      </c>
      <c r="U141" s="23">
        <f>T159</f>
        <v>0</v>
      </c>
      <c r="V141" s="23">
        <f>U159</f>
        <v>0</v>
      </c>
      <c r="W141" s="23">
        <f>V159</f>
        <v>0</v>
      </c>
      <c r="X141" s="23">
        <f>W159</f>
        <v>0</v>
      </c>
      <c r="Y141" s="23">
        <f>X159</f>
        <v>0</v>
      </c>
      <c r="Z141" s="23">
        <f>Y159</f>
        <v>0</v>
      </c>
      <c r="AA141" s="23">
        <f>Z159</f>
        <v>450690.3190348829</v>
      </c>
      <c r="AB141" s="23">
        <f>AA159</f>
        <v>901380.6380697659</v>
      </c>
      <c r="AC141" s="23">
        <f>AB159</f>
        <v>1352070.9571046487</v>
      </c>
      <c r="AD141" s="23">
        <f>AC159</f>
        <v>1802761.2761395315</v>
      </c>
      <c r="AE141" s="23">
        <f>AD159</f>
        <v>2253451.5951744146</v>
      </c>
    </row>
    <row r="142">
      <c r="A142" s="6" t="inlineStr">
        <is>
          <t xml:space="preserve">Planned reserve instalment</t>
        </is>
      </c>
      <c r="B142" s="10" t="inlineStr">
        <is>
          <t xml:space="preserve">€</t>
        </is>
      </c>
      <c r="F142" s="23">
        <f>IF(F140&gt;0,(Timing!$C$34-F141)/F140,0)</f>
        <v>450690.3190348829</v>
      </c>
      <c r="G142" s="23">
        <f>IF(G140&gt;0,(Timing!$C$34-G141)/G140,0)</f>
        <v>450690.3190348829</v>
      </c>
      <c r="H142" s="23">
        <f>IF(H140&gt;0,(Timing!$C$34-H141)/H140,0)</f>
        <v>450690.3190348829</v>
      </c>
      <c r="I142" s="23">
        <f>IF(I140&gt;0,(Timing!$C$34-I141)/I140,0)</f>
        <v>450690.3190348829</v>
      </c>
      <c r="J142" s="23">
        <f>IF(J140&gt;0,(Timing!$C$34-J141)/J140,0)</f>
        <v>450690.3190348829</v>
      </c>
      <c r="K142" s="23">
        <f>IF(K140&gt;0,(Timing!$C$34-K141)/K140,0)</f>
        <v>450690.3190348829</v>
      </c>
      <c r="L142" s="23">
        <f>IF(L140&gt;0,(Timing!$C$34-L141)/L140,0)</f>
        <v>450690.3190348829</v>
      </c>
      <c r="M142" s="23">
        <f>IF(M140&gt;0,(Timing!$C$34-M141)/M140,0)</f>
        <v>450690.3190348829</v>
      </c>
      <c r="N142" s="23">
        <f>IF(N140&gt;0,(Timing!$C$34-N141)/N140,0)</f>
        <v>450690.3190348829</v>
      </c>
      <c r="O142" s="23">
        <f>IF(O140&gt;0,(Timing!$C$34-O141)/O140,0)</f>
        <v>450690.3190348829</v>
      </c>
      <c r="P142" s="23">
        <f>IF(P140&gt;0,(Timing!$C$34-P141)/P140,0)</f>
        <v>450690.3190348829</v>
      </c>
      <c r="Q142" s="23">
        <f>IF(Q140&gt;0,(Timing!$C$34-Q141)/Q140,0)</f>
        <v>450690.3190348829</v>
      </c>
      <c r="R142" s="23">
        <f>IF(R140&gt;0,(Timing!$C$34-R141)/R140,0)</f>
        <v>450690.3190348829</v>
      </c>
      <c r="S142" s="23">
        <f>IF(S140&gt;0,(Timing!$C$34-S141)/S140,0)</f>
        <v>450690.3190348829</v>
      </c>
      <c r="T142" s="23">
        <f>IF(T140&gt;0,(Timing!$C$34-T141)/T140,0)</f>
        <v>450690.3190348829</v>
      </c>
      <c r="U142" s="23">
        <f>IF(U140&gt;0,(Timing!$C$34-U141)/U140,0)</f>
        <v>450690.3190348829</v>
      </c>
      <c r="V142" s="23">
        <f>IF(V140&gt;0,(Timing!$C$34-V141)/V140,0)</f>
        <v>450690.3190348829</v>
      </c>
      <c r="W142" s="23">
        <f>IF(W140&gt;0,(Timing!$C$34-W141)/W140,0)</f>
        <v>450690.3190348829</v>
      </c>
      <c r="X142" s="23">
        <f>IF(X140&gt;0,(Timing!$C$34-X141)/X140,0)</f>
        <v>450690.3190348829</v>
      </c>
      <c r="Y142" s="23">
        <f>IF(Y140&gt;0,(Timing!$C$34-Y141)/Y140,0)</f>
        <v>450690.3190348829</v>
      </c>
      <c r="Z142" s="23">
        <f>IF(Z140&gt;0,(Timing!$C$34-Z141)/Z140,0)</f>
        <v>450690.3190348829</v>
      </c>
      <c r="AA142" s="23">
        <f>IF(AA140&gt;0,(Timing!$C$34-AA141)/AA140,0)</f>
        <v>450690.31903488294</v>
      </c>
      <c r="AB142" s="23">
        <f>IF(AB140&gt;0,(Timing!$C$34-AB141)/AB140,0)</f>
        <v>450690.3190348829</v>
      </c>
      <c r="AC142" s="23">
        <f>IF(AC140&gt;0,(Timing!$C$34-AC141)/AC140,0)</f>
        <v>450690.3190348829</v>
      </c>
      <c r="AD142" s="23">
        <f>IF(AD140&gt;0,(Timing!$C$34-AD141)/AD140,0)</f>
        <v>450690.31903488294</v>
      </c>
      <c r="AE142" s="23">
        <f>IF(AE140&gt;0,(Timing!$C$34-AE141)/AE140,0)</f>
        <v>450690.3190348828</v>
      </c>
    </row>
    <row r="143">
      <c r="A143" s="6" t="inlineStr">
        <is>
          <t xml:space="preserve">Paid into the reserve</t>
        </is>
      </c>
      <c r="B143" s="10" t="inlineStr">
        <is>
          <t xml:space="preserve">€</t>
        </is>
      </c>
      <c r="F143" s="23">
        <f>IF(AND(Timing!F81=1,F140&gt;0),IF(Timing!F72=1,Timing!$C$34-F141,MIN(MAX(0,F139),F142)),0)</f>
        <v>0</v>
      </c>
      <c r="G143" s="23">
        <f>IF(AND(Timing!G81=1,G140&gt;0),IF(Timing!G72=1,Timing!$C$34-G141,MIN(MAX(0,G139),G142)),0)</f>
        <v>0</v>
      </c>
      <c r="H143" s="23">
        <f>IF(AND(Timing!H81=1,H140&gt;0),IF(Timing!H72=1,Timing!$C$34-H141,MIN(MAX(0,H139),H142)),0)</f>
        <v>0</v>
      </c>
      <c r="I143" s="23">
        <f>IF(AND(Timing!I81=1,I140&gt;0),IF(Timing!I72=1,Timing!$C$34-I141,MIN(MAX(0,I139),I142)),0)</f>
        <v>0</v>
      </c>
      <c r="J143" s="23">
        <f>IF(AND(Timing!J81=1,J140&gt;0),IF(Timing!J72=1,Timing!$C$34-J141,MIN(MAX(0,J139),J142)),0)</f>
        <v>0</v>
      </c>
      <c r="K143" s="23">
        <f>IF(AND(Timing!K81=1,K140&gt;0),IF(Timing!K72=1,Timing!$C$34-K141,MIN(MAX(0,K139),K142)),0)</f>
        <v>0</v>
      </c>
      <c r="L143" s="23">
        <f>IF(AND(Timing!L81=1,L140&gt;0),IF(Timing!L72=1,Timing!$C$34-L141,MIN(MAX(0,L139),L142)),0)</f>
        <v>0</v>
      </c>
      <c r="M143" s="23">
        <f>IF(AND(Timing!M81=1,M140&gt;0),IF(Timing!M72=1,Timing!$C$34-M141,MIN(MAX(0,M139),M142)),0)</f>
        <v>0</v>
      </c>
      <c r="N143" s="23">
        <f>IF(AND(Timing!N81=1,N140&gt;0),IF(Timing!N72=1,Timing!$C$34-N141,MIN(MAX(0,N139),N142)),0)</f>
        <v>0</v>
      </c>
      <c r="O143" s="23">
        <f>IF(AND(Timing!O81=1,O140&gt;0),IF(Timing!O72=1,Timing!$C$34-O141,MIN(MAX(0,O139),O142)),0)</f>
        <v>0</v>
      </c>
      <c r="P143" s="23">
        <f>IF(AND(Timing!P81=1,P140&gt;0),IF(Timing!P72=1,Timing!$C$34-P141,MIN(MAX(0,P139),P142)),0)</f>
        <v>0</v>
      </c>
      <c r="Q143" s="23">
        <f>IF(AND(Timing!Q81=1,Q140&gt;0),IF(Timing!Q72=1,Timing!$C$34-Q141,MIN(MAX(0,Q139),Q142)),0)</f>
        <v>0</v>
      </c>
      <c r="R143" s="23">
        <f>IF(AND(Timing!R81=1,R140&gt;0),IF(Timing!R72=1,Timing!$C$34-R141,MIN(MAX(0,R139),R142)),0)</f>
        <v>0</v>
      </c>
      <c r="S143" s="23">
        <f>IF(AND(Timing!S81=1,S140&gt;0),IF(Timing!S72=1,Timing!$C$34-S141,MIN(MAX(0,S139),S142)),0)</f>
        <v>0</v>
      </c>
      <c r="T143" s="23">
        <f>IF(AND(Timing!T81=1,T140&gt;0),IF(Timing!T72=1,Timing!$C$34-T141,MIN(MAX(0,T139),T142)),0)</f>
        <v>0</v>
      </c>
      <c r="U143" s="23">
        <f>IF(AND(Timing!U81=1,U140&gt;0),IF(Timing!U72=1,Timing!$C$34-U141,MIN(MAX(0,U139),U142)),0)</f>
        <v>0</v>
      </c>
      <c r="V143" s="23">
        <f>IF(AND(Timing!V81=1,V140&gt;0),IF(Timing!V72=1,Timing!$C$34-V141,MIN(MAX(0,V139),V142)),0)</f>
        <v>0</v>
      </c>
      <c r="W143" s="23">
        <f>IF(AND(Timing!W81=1,W140&gt;0),IF(Timing!W72=1,Timing!$C$34-W141,MIN(MAX(0,W139),W142)),0)</f>
        <v>0</v>
      </c>
      <c r="X143" s="23">
        <f>IF(AND(Timing!X81=1,X140&gt;0),IF(Timing!X72=1,Timing!$C$34-X141,MIN(MAX(0,X139),X142)),0)</f>
        <v>0</v>
      </c>
      <c r="Y143" s="23">
        <f>IF(AND(Timing!Y81=1,Y140&gt;0),IF(Timing!Y72=1,Timing!$C$34-Y141,MIN(MAX(0,Y139),Y142)),0)</f>
        <v>0</v>
      </c>
      <c r="Z143" s="23">
        <f>IF(AND(Timing!Z81=1,Z140&gt;0),IF(Timing!Z72=1,Timing!$C$34-Z141,MIN(MAX(0,Z139),Z142)),0)</f>
        <v>450690.3190348829</v>
      </c>
      <c r="AA143" s="23">
        <f>IF(AND(Timing!AA81=1,AA140&gt;0),IF(Timing!AA72=1,Timing!$C$34-AA141,MIN(MAX(0,AA139),AA142)),0)</f>
        <v>450690.31903488294</v>
      </c>
      <c r="AB143" s="23">
        <f>IF(AND(Timing!AB81=1,AB140&gt;0),IF(Timing!AB72=1,Timing!$C$34-AB141,MIN(MAX(0,AB139),AB142)),0)</f>
        <v>450690.3190348829</v>
      </c>
      <c r="AC143" s="23">
        <f>IF(AND(Timing!AC81=1,AC140&gt;0),IF(Timing!AC72=1,Timing!$C$34-AC141,MIN(MAX(0,AC139),AC142)),0)</f>
        <v>450690.3190348829</v>
      </c>
      <c r="AD143" s="23">
        <f>IF(AND(Timing!AD81=1,AD140&gt;0),IF(Timing!AD72=1,Timing!$C$34-AD141,MIN(MAX(0,AD139),AD142)),0)</f>
        <v>450690.31903488294</v>
      </c>
      <c r="AE143" s="23">
        <f>IF(AND(Timing!AE81=1,AE140&gt;0),IF(Timing!AE72=1,Timing!$C$34-AE141,MIN(MAX(0,AE139),AE142)),0)</f>
        <v>450690.3190348828</v>
      </c>
    </row>
    <row r="144">
      <c r="A144" s="6" t="inlineStr">
        <is>
          <t xml:space="preserve">Reserve instalments left</t>
        </is>
      </c>
      <c r="E144" s="23">
        <f>SUM(Timing!$F$81:$AE$81)</f>
        <v>6</v>
      </c>
      <c r="F144" s="23">
        <f>F140-IF(AND(Timing!F81=1,F140&gt;0),1,0)</f>
        <v>6</v>
      </c>
      <c r="G144" s="23">
        <f>G140-IF(AND(Timing!G81=1,G140&gt;0),1,0)</f>
        <v>6</v>
      </c>
      <c r="H144" s="23">
        <f>H140-IF(AND(Timing!H81=1,H140&gt;0),1,0)</f>
        <v>6</v>
      </c>
      <c r="I144" s="23">
        <f>I140-IF(AND(Timing!I81=1,I140&gt;0),1,0)</f>
        <v>6</v>
      </c>
      <c r="J144" s="23">
        <f>J140-IF(AND(Timing!J81=1,J140&gt;0),1,0)</f>
        <v>6</v>
      </c>
      <c r="K144" s="23">
        <f>K140-IF(AND(Timing!K81=1,K140&gt;0),1,0)</f>
        <v>6</v>
      </c>
      <c r="L144" s="23">
        <f>L140-IF(AND(Timing!L81=1,L140&gt;0),1,0)</f>
        <v>6</v>
      </c>
      <c r="M144" s="23">
        <f>M140-IF(AND(Timing!M81=1,M140&gt;0),1,0)</f>
        <v>6</v>
      </c>
      <c r="N144" s="23">
        <f>N140-IF(AND(Timing!N81=1,N140&gt;0),1,0)</f>
        <v>6</v>
      </c>
      <c r="O144" s="23">
        <f>O140-IF(AND(Timing!O81=1,O140&gt;0),1,0)</f>
        <v>6</v>
      </c>
      <c r="P144" s="23">
        <f>P140-IF(AND(Timing!P81=1,P140&gt;0),1,0)</f>
        <v>6</v>
      </c>
      <c r="Q144" s="23">
        <f>Q140-IF(AND(Timing!Q81=1,Q140&gt;0),1,0)</f>
        <v>6</v>
      </c>
      <c r="R144" s="23">
        <f>R140-IF(AND(Timing!R81=1,R140&gt;0),1,0)</f>
        <v>6</v>
      </c>
      <c r="S144" s="23">
        <f>S140-IF(AND(Timing!S81=1,S140&gt;0),1,0)</f>
        <v>6</v>
      </c>
      <c r="T144" s="23">
        <f>T140-IF(AND(Timing!T81=1,T140&gt;0),1,0)</f>
        <v>6</v>
      </c>
      <c r="U144" s="23">
        <f>U140-IF(AND(Timing!U81=1,U140&gt;0),1,0)</f>
        <v>6</v>
      </c>
      <c r="V144" s="23">
        <f>V140-IF(AND(Timing!V81=1,V140&gt;0),1,0)</f>
        <v>6</v>
      </c>
      <c r="W144" s="23">
        <f>W140-IF(AND(Timing!W81=1,W140&gt;0),1,0)</f>
        <v>6</v>
      </c>
      <c r="X144" s="23">
        <f>X140-IF(AND(Timing!X81=1,X140&gt;0),1,0)</f>
        <v>6</v>
      </c>
      <c r="Y144" s="23">
        <f>Y140-IF(AND(Timing!Y81=1,Y140&gt;0),1,0)</f>
        <v>6</v>
      </c>
      <c r="Z144" s="23">
        <f>Z140-IF(AND(Timing!Z81=1,Z140&gt;0),1,0)</f>
        <v>5</v>
      </c>
      <c r="AA144" s="23">
        <f>AA140-IF(AND(Timing!AA81=1,AA140&gt;0),1,0)</f>
        <v>4</v>
      </c>
      <c r="AB144" s="23">
        <f>AB140-IF(AND(Timing!AB81=1,AB140&gt;0),1,0)</f>
        <v>3</v>
      </c>
      <c r="AC144" s="23">
        <f>AC140-IF(AND(Timing!AC81=1,AC140&gt;0),1,0)</f>
        <v>2</v>
      </c>
      <c r="AD144" s="23">
        <f>AD140-IF(AND(Timing!AD81=1,AD140&gt;0),1,0)</f>
        <v>1</v>
      </c>
      <c r="AE144" s="23">
        <f>AE140-IF(AND(Timing!AE81=1,AE140&gt;0),1,0)</f>
        <v>0</v>
      </c>
    </row>
    <row r="145">
      <c r="A145" s="6" t="inlineStr">
        <is>
          <t xml:space="preserve">Cash after the reserve</t>
        </is>
      </c>
      <c r="B145" s="10" t="inlineStr">
        <is>
          <t xml:space="preserve">€</t>
        </is>
      </c>
      <c r="F145" s="23">
        <f>F139-F143</f>
        <v>901699.9722832558</v>
      </c>
      <c r="G145" s="23">
        <f>G139-G143</f>
        <v>830613.6391600878</v>
      </c>
      <c r="H145" s="23">
        <f>H139-H143</f>
        <v>875006.4521841349</v>
      </c>
      <c r="I145" s="23">
        <f>I139-I143</f>
        <v>471545.61738297914</v>
      </c>
      <c r="J145" s="23">
        <f>J139-J143</f>
        <v>411463.4682168497</v>
      </c>
      <c r="K145" s="23">
        <f>K139-K143</f>
        <v>420304.407147547</v>
      </c>
      <c r="L145" s="23">
        <f>L139-L143</f>
        <v>2321116.506333708</v>
      </c>
      <c r="M145" s="23">
        <f>M139-M143</f>
        <v>804577.3800403487</v>
      </c>
      <c r="N145" s="23">
        <f>N139-N143</f>
        <v>841697.5001661718</v>
      </c>
      <c r="O145" s="23">
        <f>O139-O143</f>
        <v>875809.5447550251</v>
      </c>
      <c r="P145" s="23">
        <f>P139-P143</f>
        <v>771341.4233709753</v>
      </c>
      <c r="Q145" s="23">
        <f>Q139-Q143</f>
        <v>794205.5540520693</v>
      </c>
      <c r="R145" s="23">
        <f>R139-R143</f>
        <v>817343.5101552745</v>
      </c>
      <c r="S145" s="23">
        <f>S139-S143</f>
        <v>837016.8628405959</v>
      </c>
      <c r="T145" s="23">
        <f>T139-T143</f>
        <v>858799.1171596092</v>
      </c>
      <c r="U145" s="23">
        <f>U139-U143</f>
        <v>878951.2974429952</v>
      </c>
      <c r="V145" s="23">
        <f>V139-V143</f>
        <v>899390.1919270896</v>
      </c>
      <c r="W145" s="23">
        <f>W139-W143</f>
        <v>851221.4276640929</v>
      </c>
      <c r="X145" s="23">
        <f>X139-X143</f>
        <v>1271273.7080522352</v>
      </c>
      <c r="Y145" s="23">
        <f>Y139-Y143</f>
        <v>2248314.5406976775</v>
      </c>
      <c r="Z145" s="23">
        <f>Z139-Z143</f>
        <v>1753693.6733787223</v>
      </c>
      <c r="AA145" s="23">
        <f>AA139-AA143</f>
        <v>1789266.6650370844</v>
      </c>
      <c r="AB145" s="23">
        <f>AB139-AB143</f>
        <v>1828763.1693963567</v>
      </c>
      <c r="AC145" s="23">
        <f>AC139-AC143</f>
        <v>1867883.315654066</v>
      </c>
      <c r="AD145" s="23">
        <f>AD139-AD143</f>
        <v>1912727.0271623516</v>
      </c>
      <c r="AE145" s="23">
        <f>AE139-AE143</f>
        <v>1191684.6336207793</v>
      </c>
    </row>
    <row r="146">
      <c r="A146" s="6" t="inlineStr">
        <is>
          <t xml:space="preserve">Decommissioning paid</t>
        </is>
      </c>
      <c r="B146" s="10" t="inlineStr">
        <is>
          <t xml:space="preserve">€</t>
        </is>
      </c>
      <c r="F146" s="23">
        <f>IF(Timing!F72=1,Timing!$C$34,0)</f>
        <v>0</v>
      </c>
      <c r="G146" s="23">
        <f>IF(Timing!G72=1,Timing!$C$34,0)</f>
        <v>0</v>
      </c>
      <c r="H146" s="23">
        <f>IF(Timing!H72=1,Timing!$C$34,0)</f>
        <v>0</v>
      </c>
      <c r="I146" s="23">
        <f>IF(Timing!I72=1,Timing!$C$34,0)</f>
        <v>0</v>
      </c>
      <c r="J146" s="23">
        <f>IF(Timing!J72=1,Timing!$C$34,0)</f>
        <v>0</v>
      </c>
      <c r="K146" s="23">
        <f>IF(Timing!K72=1,Timing!$C$34,0)</f>
        <v>0</v>
      </c>
      <c r="L146" s="23">
        <f>IF(Timing!L72=1,Timing!$C$34,0)</f>
        <v>0</v>
      </c>
      <c r="M146" s="23">
        <f>IF(Timing!M72=1,Timing!$C$34,0)</f>
        <v>0</v>
      </c>
      <c r="N146" s="23">
        <f>IF(Timing!N72=1,Timing!$C$34,0)</f>
        <v>0</v>
      </c>
      <c r="O146" s="23">
        <f>IF(Timing!O72=1,Timing!$C$34,0)</f>
        <v>0</v>
      </c>
      <c r="P146" s="23">
        <f>IF(Timing!P72=1,Timing!$C$34,0)</f>
        <v>0</v>
      </c>
      <c r="Q146" s="23">
        <f>IF(Timing!Q72=1,Timing!$C$34,0)</f>
        <v>0</v>
      </c>
      <c r="R146" s="23">
        <f>IF(Timing!R72=1,Timing!$C$34,0)</f>
        <v>0</v>
      </c>
      <c r="S146" s="23">
        <f>IF(Timing!S72=1,Timing!$C$34,0)</f>
        <v>0</v>
      </c>
      <c r="T146" s="23">
        <f>IF(Timing!T72=1,Timing!$C$34,0)</f>
        <v>0</v>
      </c>
      <c r="U146" s="23">
        <f>IF(Timing!U72=1,Timing!$C$34,0)</f>
        <v>0</v>
      </c>
      <c r="V146" s="23">
        <f>IF(Timing!V72=1,Timing!$C$34,0)</f>
        <v>0</v>
      </c>
      <c r="W146" s="23">
        <f>IF(Timing!W72=1,Timing!$C$34,0)</f>
        <v>0</v>
      </c>
      <c r="X146" s="23">
        <f>IF(Timing!X72=1,Timing!$C$34,0)</f>
        <v>0</v>
      </c>
      <c r="Y146" s="23">
        <f>IF(Timing!Y72=1,Timing!$C$34,0)</f>
        <v>0</v>
      </c>
      <c r="Z146" s="23">
        <f>IF(Timing!Z72=1,Timing!$C$34,0)</f>
        <v>0</v>
      </c>
      <c r="AA146" s="23">
        <f>IF(Timing!AA72=1,Timing!$C$34,0)</f>
        <v>0</v>
      </c>
      <c r="AB146" s="23">
        <f>IF(Timing!AB72=1,Timing!$C$34,0)</f>
        <v>0</v>
      </c>
      <c r="AC146" s="23">
        <f>IF(Timing!AC72=1,Timing!$C$34,0)</f>
        <v>0</v>
      </c>
      <c r="AD146" s="23">
        <f>IF(Timing!AD72=1,Timing!$C$34,0)</f>
        <v>0</v>
      </c>
      <c r="AE146" s="23">
        <f>IF(Timing!AE72=1,Timing!$C$34,0)</f>
        <v>2704141.9142092974</v>
      </c>
    </row>
    <row r="147">
      <c r="A147" s="41" t="inlineStr">
        <is>
          <t xml:space="preserve">DSCR</t>
        </is>
      </c>
      <c r="F147" s="47">
        <f>IF(F128&gt;=Inputs!$C$158,F127/F128,"")</f>
        <v>2.633765604343706</v>
      </c>
      <c r="G147" s="47">
        <f>IF(G128&gt;=Inputs!$C$158,G127/G128,"")</f>
        <v>1.7524831073922975</v>
      </c>
      <c r="H147" s="47">
        <f>IF(H128&gt;=Inputs!$C$158,H127/H128,"")</f>
        <v>1.374495481267097</v>
      </c>
      <c r="I147" s="47">
        <f>IF(I128&gt;=Inputs!$C$158,I127/I128,"")</f>
        <v>1.2043395277149813</v>
      </c>
      <c r="J147" s="47">
        <f>IF(J128&gt;=Inputs!$C$158,J127/J128,"")</f>
        <v>1.1826992346552736</v>
      </c>
      <c r="K147" s="47">
        <f>IF(K128&gt;=Inputs!$C$158,K127/K128,"")</f>
        <v>1.192565926194516</v>
      </c>
      <c r="L147" s="47">
        <f>IF(L128&gt;=Inputs!$C$158,L127/L128,"")</f>
        <v>2.1334991178824194</v>
      </c>
      <c r="M147" s="47">
        <f>IF(M128&gt;=Inputs!$C$158,M127/M128,"")</f>
        <v>1.4004814199667925</v>
      </c>
      <c r="N147" s="47">
        <f>IF(N128&gt;=Inputs!$C$158,N127/N128,"")</f>
        <v>1.4336423503118592</v>
      </c>
      <c r="O147" s="47">
        <f>IF(O128&gt;=Inputs!$C$158,O127/O128,"")</f>
        <v>1.4675093944882143</v>
      </c>
      <c r="P147" s="47">
        <f>IF(P128&gt;=Inputs!$C$158,P127/P128,"")</f>
        <v>1.4257254213622423</v>
      </c>
      <c r="Q147" s="47">
        <f>IF(Q128&gt;=Inputs!$C$158,Q127/Q128,"")</f>
        <v>1.455282976756838</v>
      </c>
      <c r="R147" s="47">
        <f>IF(R128&gt;=Inputs!$C$158,R127/R128,"")</f>
        <v>1.4873421438137018</v>
      </c>
      <c r="S147" s="47">
        <f>IF(S128&gt;=Inputs!$C$158,S127/S128,"")</f>
        <v>1.5198438178316598</v>
      </c>
      <c r="T147" s="47">
        <f>IF(T128&gt;=Inputs!$C$158,T127/T128,"")</f>
        <v>1.5565263079533045</v>
      </c>
      <c r="U147" s="47">
        <f>IF(U128&gt;=Inputs!$C$158,U127/U128,"")</f>
        <v>1.5953713303330561</v>
      </c>
      <c r="V147" s="47">
        <f>IF(V128&gt;=Inputs!$C$158,V127/V128,"")</f>
        <v>1.6380680809409214</v>
      </c>
      <c r="W147" s="47">
        <f>IF(W128&gt;=Inputs!$C$158,W127/W128,"")</f>
        <v>1.6329601799576983</v>
      </c>
      <c r="X147" s="47">
        <f>IF(X128&gt;=Inputs!$C$158,X127/X128,"")</f>
        <v>1.763573502992077</v>
      </c>
      <c r="Y147" s="47" t="str">
        <f>IF(Y128&gt;=Inputs!$C$158,Y127/Y128,"")</f>
        <v/>
      </c>
      <c r="Z147" s="47" t="str">
        <f>IF(Z128&gt;=Inputs!$C$158,Z127/Z128,"")</f>
        <v/>
      </c>
      <c r="AA147" s="47" t="str">
        <f>IF(AA128&gt;=Inputs!$C$158,AA127/AA128,"")</f>
        <v/>
      </c>
      <c r="AB147" s="47" t="str">
        <f>IF(AB128&gt;=Inputs!$C$158,AB127/AB128,"")</f>
        <v/>
      </c>
      <c r="AC147" s="47" t="str">
        <f>IF(AC128&gt;=Inputs!$C$158,AC127/AC128,"")</f>
        <v/>
      </c>
      <c r="AD147" s="47" t="str">
        <f>IF(AD128&gt;=Inputs!$C$158,AD127/AD128,"")</f>
        <v/>
      </c>
      <c r="AE147" s="47" t="str">
        <f>IF(AE128&gt;=Inputs!$C$158,AE127/AE128,"")</f>
        <v/>
      </c>
    </row>
    <row r="148">
      <c r="A148" s="6" t="inlineStr">
        <is>
          <t xml:space="preserve">Lock-up (1 = distributions held back)</t>
        </is>
      </c>
      <c r="F148" s="23">
        <f>IF(F128&gt;=Inputs!$C$158,IF(AND(F127/F128&lt;Inputs!$C$81,Timing!F59&lt;=Timing!$C$23),1,0),0)</f>
        <v>0</v>
      </c>
      <c r="G148" s="23">
        <f>IF(G128&gt;=Inputs!$C$158,IF(AND(G127/G128&lt;Inputs!$C$81,Timing!G59&lt;=Timing!$C$23),1,0),0)</f>
        <v>0</v>
      </c>
      <c r="H148" s="23">
        <f>IF(H128&gt;=Inputs!$C$158,IF(AND(H127/H128&lt;Inputs!$C$81,Timing!H59&lt;=Timing!$C$23),1,0),0)</f>
        <v>0</v>
      </c>
      <c r="I148" s="23">
        <f>IF(I128&gt;=Inputs!$C$158,IF(AND(I127/I128&lt;Inputs!$C$81,Timing!I59&lt;=Timing!$C$23),1,0),0)</f>
        <v>0</v>
      </c>
      <c r="J148" s="23">
        <f>IF(J128&gt;=Inputs!$C$158,IF(AND(J127/J128&lt;Inputs!$C$81,Timing!J59&lt;=Timing!$C$23),1,0),0)</f>
        <v>0</v>
      </c>
      <c r="K148" s="23">
        <f>IF(K128&gt;=Inputs!$C$158,IF(AND(K127/K128&lt;Inputs!$C$81,Timing!K59&lt;=Timing!$C$23),1,0),0)</f>
        <v>0</v>
      </c>
      <c r="L148" s="23">
        <f>IF(L128&gt;=Inputs!$C$158,IF(AND(L127/L128&lt;Inputs!$C$81,Timing!L59&lt;=Timing!$C$23),1,0),0)</f>
        <v>0</v>
      </c>
      <c r="M148" s="23">
        <f>IF(M128&gt;=Inputs!$C$158,IF(AND(M127/M128&lt;Inputs!$C$81,Timing!M59&lt;=Timing!$C$23),1,0),0)</f>
        <v>0</v>
      </c>
      <c r="N148" s="23">
        <f>IF(N128&gt;=Inputs!$C$158,IF(AND(N127/N128&lt;Inputs!$C$81,Timing!N59&lt;=Timing!$C$23),1,0),0)</f>
        <v>0</v>
      </c>
      <c r="O148" s="23">
        <f>IF(O128&gt;=Inputs!$C$158,IF(AND(O127/O128&lt;Inputs!$C$81,Timing!O59&lt;=Timing!$C$23),1,0),0)</f>
        <v>0</v>
      </c>
      <c r="P148" s="23">
        <f>IF(P128&gt;=Inputs!$C$158,IF(AND(P127/P128&lt;Inputs!$C$81,Timing!P59&lt;=Timing!$C$23),1,0),0)</f>
        <v>0</v>
      </c>
      <c r="Q148" s="23">
        <f>IF(Q128&gt;=Inputs!$C$158,IF(AND(Q127/Q128&lt;Inputs!$C$81,Timing!Q59&lt;=Timing!$C$23),1,0),0)</f>
        <v>0</v>
      </c>
      <c r="R148" s="23">
        <f>IF(R128&gt;=Inputs!$C$158,IF(AND(R127/R128&lt;Inputs!$C$81,Timing!R59&lt;=Timing!$C$23),1,0),0)</f>
        <v>0</v>
      </c>
      <c r="S148" s="23">
        <f>IF(S128&gt;=Inputs!$C$158,IF(AND(S127/S128&lt;Inputs!$C$81,Timing!S59&lt;=Timing!$C$23),1,0),0)</f>
        <v>0</v>
      </c>
      <c r="T148" s="23">
        <f>IF(T128&gt;=Inputs!$C$158,IF(AND(T127/T128&lt;Inputs!$C$81,Timing!T59&lt;=Timing!$C$23),1,0),0)</f>
        <v>0</v>
      </c>
      <c r="U148" s="23">
        <f>IF(U128&gt;=Inputs!$C$158,IF(AND(U127/U128&lt;Inputs!$C$81,Timing!U59&lt;=Timing!$C$23),1,0),0)</f>
        <v>0</v>
      </c>
      <c r="V148" s="23">
        <f>IF(V128&gt;=Inputs!$C$158,IF(AND(V127/V128&lt;Inputs!$C$81,Timing!V59&lt;=Timing!$C$23),1,0),0)</f>
        <v>0</v>
      </c>
      <c r="W148" s="23">
        <f>IF(W128&gt;=Inputs!$C$158,IF(AND(W127/W128&lt;Inputs!$C$81,Timing!W59&lt;=Timing!$C$23),1,0),0)</f>
        <v>0</v>
      </c>
      <c r="X148" s="23">
        <f>IF(X128&gt;=Inputs!$C$158,IF(AND(X127/X128&lt;Inputs!$C$81,Timing!X59&lt;=Timing!$C$23),1,0),0)</f>
        <v>0</v>
      </c>
      <c r="Y148" s="23">
        <f>IF(Y128&gt;=Inputs!$C$158,IF(AND(Y127/Y128&lt;Inputs!$C$81,Timing!Y59&lt;=Timing!$C$23),1,0),0)</f>
        <v>0</v>
      </c>
      <c r="Z148" s="23">
        <f>IF(Z128&gt;=Inputs!$C$158,IF(AND(Z127/Z128&lt;Inputs!$C$81,Timing!Z59&lt;=Timing!$C$23),1,0),0)</f>
        <v>0</v>
      </c>
      <c r="AA148" s="23">
        <f>IF(AA128&gt;=Inputs!$C$158,IF(AND(AA127/AA128&lt;Inputs!$C$81,Timing!AA59&lt;=Timing!$C$23),1,0),0)</f>
        <v>0</v>
      </c>
      <c r="AB148" s="23">
        <f>IF(AB128&gt;=Inputs!$C$158,IF(AND(AB127/AB128&lt;Inputs!$C$81,Timing!AB59&lt;=Timing!$C$23),1,0),0)</f>
        <v>0</v>
      </c>
      <c r="AC148" s="23">
        <f>IF(AC128&gt;=Inputs!$C$158,IF(AND(AC127/AC128&lt;Inputs!$C$81,Timing!AC59&lt;=Timing!$C$23),1,0),0)</f>
        <v>0</v>
      </c>
      <c r="AD148" s="23">
        <f>IF(AD128&gt;=Inputs!$C$158,IF(AND(AD127/AD128&lt;Inputs!$C$81,Timing!AD59&lt;=Timing!$C$23),1,0),0)</f>
        <v>0</v>
      </c>
      <c r="AE148" s="23">
        <f>IF(AE128&gt;=Inputs!$C$158,IF(AND(AE127/AE128&lt;Inputs!$C$81,Timing!AE59&lt;=Timing!$C$23),1,0),0)</f>
        <v>0</v>
      </c>
    </row>
    <row r="149">
      <c r="A149" s="6" t="inlineStr">
        <is>
          <t xml:space="preserve">Cash held back, after use for a shortfall</t>
        </is>
      </c>
      <c r="B149" s="10" t="inlineStr">
        <is>
          <t xml:space="preserve">€</t>
        </is>
      </c>
      <c r="F149" s="23">
        <f>E160-F131</f>
        <v>0</v>
      </c>
      <c r="G149" s="23">
        <f>F160-G131</f>
        <v>0</v>
      </c>
      <c r="H149" s="23">
        <f>G160-H131</f>
        <v>0</v>
      </c>
      <c r="I149" s="23">
        <f>H160-I131</f>
        <v>0</v>
      </c>
      <c r="J149" s="23">
        <f>I160-J131</f>
        <v>0</v>
      </c>
      <c r="K149" s="23">
        <f>J160-K131</f>
        <v>0</v>
      </c>
      <c r="L149" s="23">
        <f>K160-L131</f>
        <v>0</v>
      </c>
      <c r="M149" s="23">
        <f>L160-M131</f>
        <v>0</v>
      </c>
      <c r="N149" s="23">
        <f>M160-N131</f>
        <v>0</v>
      </c>
      <c r="O149" s="23">
        <f>N160-O131</f>
        <v>0</v>
      </c>
      <c r="P149" s="23">
        <f>O160-P131</f>
        <v>0</v>
      </c>
      <c r="Q149" s="23">
        <f>P160-Q131</f>
        <v>0</v>
      </c>
      <c r="R149" s="23">
        <f>Q160-R131</f>
        <v>0</v>
      </c>
      <c r="S149" s="23">
        <f>R160-S131</f>
        <v>0</v>
      </c>
      <c r="T149" s="23">
        <f>S160-T131</f>
        <v>0</v>
      </c>
      <c r="U149" s="23">
        <f>T160-U131</f>
        <v>0</v>
      </c>
      <c r="V149" s="23">
        <f>U160-V131</f>
        <v>0</v>
      </c>
      <c r="W149" s="23">
        <f>V160-W131</f>
        <v>0</v>
      </c>
      <c r="X149" s="23">
        <f>W160-X131</f>
        <v>0</v>
      </c>
      <c r="Y149" s="23">
        <f>X160-Y131</f>
        <v>0</v>
      </c>
      <c r="Z149" s="23">
        <f>Y160-Z131</f>
        <v>0</v>
      </c>
      <c r="AA149" s="23">
        <f>Z160-AA131</f>
        <v>0</v>
      </c>
      <c r="AB149" s="23">
        <f>AA160-AB131</f>
        <v>0</v>
      </c>
      <c r="AC149" s="23">
        <f>AB160-AC131</f>
        <v>0</v>
      </c>
      <c r="AD149" s="23">
        <f>AC160-AD131</f>
        <v>0</v>
      </c>
      <c r="AE149" s="23">
        <f>AD160-AE131</f>
        <v>0</v>
      </c>
    </row>
    <row r="150">
      <c r="A150" s="6" t="inlineStr">
        <is>
          <t xml:space="preserve">Held back this year</t>
        </is>
      </c>
      <c r="B150" s="10" t="inlineStr">
        <is>
          <t xml:space="preserve">€</t>
        </is>
      </c>
      <c r="F150" s="23">
        <f>IF(AND(F148=1,F145&gt;0),F145,0)</f>
        <v>0</v>
      </c>
      <c r="G150" s="23">
        <f>IF(AND(G148=1,G145&gt;0),G145,0)</f>
        <v>0</v>
      </c>
      <c r="H150" s="23">
        <f>IF(AND(H148=1,H145&gt;0),H145,0)</f>
        <v>0</v>
      </c>
      <c r="I150" s="23">
        <f>IF(AND(I148=1,I145&gt;0),I145,0)</f>
        <v>0</v>
      </c>
      <c r="J150" s="23">
        <f>IF(AND(J148=1,J145&gt;0),J145,0)</f>
        <v>0</v>
      </c>
      <c r="K150" s="23">
        <f>IF(AND(K148=1,K145&gt;0),K145,0)</f>
        <v>0</v>
      </c>
      <c r="L150" s="23">
        <f>IF(AND(L148=1,L145&gt;0),L145,0)</f>
        <v>0</v>
      </c>
      <c r="M150" s="23">
        <f>IF(AND(M148=1,M145&gt;0),M145,0)</f>
        <v>0</v>
      </c>
      <c r="N150" s="23">
        <f>IF(AND(N148=1,N145&gt;0),N145,0)</f>
        <v>0</v>
      </c>
      <c r="O150" s="23">
        <f>IF(AND(O148=1,O145&gt;0),O145,0)</f>
        <v>0</v>
      </c>
      <c r="P150" s="23">
        <f>IF(AND(P148=1,P145&gt;0),P145,0)</f>
        <v>0</v>
      </c>
      <c r="Q150" s="23">
        <f>IF(AND(Q148=1,Q145&gt;0),Q145,0)</f>
        <v>0</v>
      </c>
      <c r="R150" s="23">
        <f>IF(AND(R148=1,R145&gt;0),R145,0)</f>
        <v>0</v>
      </c>
      <c r="S150" s="23">
        <f>IF(AND(S148=1,S145&gt;0),S145,0)</f>
        <v>0</v>
      </c>
      <c r="T150" s="23">
        <f>IF(AND(T148=1,T145&gt;0),T145,0)</f>
        <v>0</v>
      </c>
      <c r="U150" s="23">
        <f>IF(AND(U148=1,U145&gt;0),U145,0)</f>
        <v>0</v>
      </c>
      <c r="V150" s="23">
        <f>IF(AND(V148=1,V145&gt;0),V145,0)</f>
        <v>0</v>
      </c>
      <c r="W150" s="23">
        <f>IF(AND(W148=1,W145&gt;0),W145,0)</f>
        <v>0</v>
      </c>
      <c r="X150" s="23">
        <f>IF(AND(X148=1,X145&gt;0),X145,0)</f>
        <v>0</v>
      </c>
      <c r="Y150" s="23">
        <f>IF(AND(Y148=1,Y145&gt;0),Y145,0)</f>
        <v>0</v>
      </c>
      <c r="Z150" s="23">
        <f>IF(AND(Z148=1,Z145&gt;0),Z145,0)</f>
        <v>0</v>
      </c>
      <c r="AA150" s="23">
        <f>IF(AND(AA148=1,AA145&gt;0),AA145,0)</f>
        <v>0</v>
      </c>
      <c r="AB150" s="23">
        <f>IF(AND(AB148=1,AB145&gt;0),AB145,0)</f>
        <v>0</v>
      </c>
      <c r="AC150" s="23">
        <f>IF(AND(AC148=1,AC145&gt;0),AC145,0)</f>
        <v>0</v>
      </c>
      <c r="AD150" s="23">
        <f>IF(AND(AD148=1,AD145&gt;0),AD145,0)</f>
        <v>0</v>
      </c>
      <c r="AE150" s="23">
        <f>IF(AND(AE148=1,AE145&gt;0),AE145,0)</f>
        <v>0</v>
      </c>
    </row>
    <row r="151">
      <c r="A151" s="6" t="inlineStr">
        <is>
          <t xml:space="preserve">Released after a lock-up</t>
        </is>
      </c>
      <c r="B151" s="10" t="inlineStr">
        <is>
          <t xml:space="preserve">€</t>
        </is>
      </c>
      <c r="F151" s="23">
        <f>IF(AND(F148=0,F149&gt;0),F149,0)</f>
        <v>0</v>
      </c>
      <c r="G151" s="23">
        <f>IF(AND(G148=0,G149&gt;0),G149,0)</f>
        <v>0</v>
      </c>
      <c r="H151" s="23">
        <f>IF(AND(H148=0,H149&gt;0),H149,0)</f>
        <v>0</v>
      </c>
      <c r="I151" s="23">
        <f>IF(AND(I148=0,I149&gt;0),I149,0)</f>
        <v>0</v>
      </c>
      <c r="J151" s="23">
        <f>IF(AND(J148=0,J149&gt;0),J149,0)</f>
        <v>0</v>
      </c>
      <c r="K151" s="23">
        <f>IF(AND(K148=0,K149&gt;0),K149,0)</f>
        <v>0</v>
      </c>
      <c r="L151" s="23">
        <f>IF(AND(L148=0,L149&gt;0),L149,0)</f>
        <v>0</v>
      </c>
      <c r="M151" s="23">
        <f>IF(AND(M148=0,M149&gt;0),M149,0)</f>
        <v>0</v>
      </c>
      <c r="N151" s="23">
        <f>IF(AND(N148=0,N149&gt;0),N149,0)</f>
        <v>0</v>
      </c>
      <c r="O151" s="23">
        <f>IF(AND(O148=0,O149&gt;0),O149,0)</f>
        <v>0</v>
      </c>
      <c r="P151" s="23">
        <f>IF(AND(P148=0,P149&gt;0),P149,0)</f>
        <v>0</v>
      </c>
      <c r="Q151" s="23">
        <f>IF(AND(Q148=0,Q149&gt;0),Q149,0)</f>
        <v>0</v>
      </c>
      <c r="R151" s="23">
        <f>IF(AND(R148=0,R149&gt;0),R149,0)</f>
        <v>0</v>
      </c>
      <c r="S151" s="23">
        <f>IF(AND(S148=0,S149&gt;0),S149,0)</f>
        <v>0</v>
      </c>
      <c r="T151" s="23">
        <f>IF(AND(T148=0,T149&gt;0),T149,0)</f>
        <v>0</v>
      </c>
      <c r="U151" s="23">
        <f>IF(AND(U148=0,U149&gt;0),U149,0)</f>
        <v>0</v>
      </c>
      <c r="V151" s="23">
        <f>IF(AND(V148=0,V149&gt;0),V149,0)</f>
        <v>0</v>
      </c>
      <c r="W151" s="23">
        <f>IF(AND(W148=0,W149&gt;0),W149,0)</f>
        <v>0</v>
      </c>
      <c r="X151" s="23">
        <f>IF(AND(X148=0,X149&gt;0),X149,0)</f>
        <v>0</v>
      </c>
      <c r="Y151" s="23">
        <f>IF(AND(Y148=0,Y149&gt;0),Y149,0)</f>
        <v>0</v>
      </c>
      <c r="Z151" s="23">
        <f>IF(AND(Z148=0,Z149&gt;0),Z149,0)</f>
        <v>0</v>
      </c>
      <c r="AA151" s="23">
        <f>IF(AND(AA148=0,AA149&gt;0),AA149,0)</f>
        <v>0</v>
      </c>
      <c r="AB151" s="23">
        <f>IF(AND(AB148=0,AB149&gt;0),AB149,0)</f>
        <v>0</v>
      </c>
      <c r="AC151" s="23">
        <f>IF(AND(AC148=0,AC149&gt;0),AC149,0)</f>
        <v>0</v>
      </c>
      <c r="AD151" s="23">
        <f>IF(AND(AD148=0,AD149&gt;0),AD149,0)</f>
        <v>0</v>
      </c>
      <c r="AE151" s="23">
        <f>IF(AND(AE148=0,AE149&gt;0),AE149,0)</f>
        <v>0</v>
      </c>
    </row>
    <row r="152">
      <c r="A152" s="6" t="inlineStr">
        <is>
          <t xml:space="preserve">Cash after the lock-up</t>
        </is>
      </c>
      <c r="B152" s="10" t="inlineStr">
        <is>
          <t xml:space="preserve">€</t>
        </is>
      </c>
      <c r="F152" s="23">
        <f>F145-F150+F151</f>
        <v>901699.9722832558</v>
      </c>
      <c r="G152" s="23">
        <f>G145-G150+G151</f>
        <v>830613.6391600878</v>
      </c>
      <c r="H152" s="23">
        <f>H145-H150+H151</f>
        <v>875006.4521841349</v>
      </c>
      <c r="I152" s="23">
        <f>I145-I150+I151</f>
        <v>471545.61738297914</v>
      </c>
      <c r="J152" s="23">
        <f>J145-J150+J151</f>
        <v>411463.4682168497</v>
      </c>
      <c r="K152" s="23">
        <f>K145-K150+K151</f>
        <v>420304.407147547</v>
      </c>
      <c r="L152" s="23">
        <f>L145-L150+L151</f>
        <v>2321116.506333708</v>
      </c>
      <c r="M152" s="23">
        <f>M145-M150+M151</f>
        <v>804577.3800403487</v>
      </c>
      <c r="N152" s="23">
        <f>N145-N150+N151</f>
        <v>841697.5001661718</v>
      </c>
      <c r="O152" s="23">
        <f>O145-O150+O151</f>
        <v>875809.5447550251</v>
      </c>
      <c r="P152" s="23">
        <f>P145-P150+P151</f>
        <v>771341.4233709753</v>
      </c>
      <c r="Q152" s="23">
        <f>Q145-Q150+Q151</f>
        <v>794205.5540520693</v>
      </c>
      <c r="R152" s="23">
        <f>R145-R150+R151</f>
        <v>817343.5101552745</v>
      </c>
      <c r="S152" s="23">
        <f>S145-S150+S151</f>
        <v>837016.8628405959</v>
      </c>
      <c r="T152" s="23">
        <f>T145-T150+T151</f>
        <v>858799.1171596092</v>
      </c>
      <c r="U152" s="23">
        <f>U145-U150+U151</f>
        <v>878951.2974429952</v>
      </c>
      <c r="V152" s="23">
        <f>V145-V150+V151</f>
        <v>899390.1919270896</v>
      </c>
      <c r="W152" s="23">
        <f>W145-W150+W151</f>
        <v>851221.4276640929</v>
      </c>
      <c r="X152" s="23">
        <f>X145-X150+X151</f>
        <v>1271273.7080522352</v>
      </c>
      <c r="Y152" s="23">
        <f>Y145-Y150+Y151</f>
        <v>2248314.5406976775</v>
      </c>
      <c r="Z152" s="23">
        <f>Z145-Z150+Z151</f>
        <v>1753693.6733787223</v>
      </c>
      <c r="AA152" s="23">
        <f>AA145-AA150+AA151</f>
        <v>1789266.6650370844</v>
      </c>
      <c r="AB152" s="23">
        <f>AB145-AB150+AB151</f>
        <v>1828763.1693963567</v>
      </c>
      <c r="AC152" s="23">
        <f>AC145-AC150+AC151</f>
        <v>1867883.315654066</v>
      </c>
      <c r="AD152" s="23">
        <f>AD145-AD150+AD151</f>
        <v>1912727.0271623516</v>
      </c>
      <c r="AE152" s="23">
        <f>AE145-AE150+AE151</f>
        <v>1191684.6336207793</v>
      </c>
    </row>
    <row r="153">
      <c r="A153" s="6" t="inlineStr">
        <is>
          <t xml:space="preserve">DSRA before the final release</t>
        </is>
      </c>
      <c r="B153" s="10" t="inlineStr">
        <is>
          <t xml:space="preserve">€</t>
        </is>
      </c>
      <c r="F153" s="23">
        <f>F133+F135-F136-F138</f>
        <v>573287.0601285857</v>
      </c>
      <c r="G153" s="23">
        <f>G133+G135-G136-G138</f>
        <v>573287.0601285857</v>
      </c>
      <c r="H153" s="23">
        <f>H133+H135-H136-H138</f>
        <v>557054.2618926666</v>
      </c>
      <c r="I153" s="23">
        <f>I133+I135-I136-I138</f>
        <v>540821.4636567476</v>
      </c>
      <c r="J153" s="23">
        <f>J133+J135-J136-J138</f>
        <v>524588.6654208285</v>
      </c>
      <c r="K153" s="23">
        <f>K133+K135-K136-K138</f>
        <v>508355.8671849094</v>
      </c>
      <c r="L153" s="23">
        <f>L133+L135-L136-L138</f>
        <v>492123.06894899043</v>
      </c>
      <c r="M153" s="23">
        <f>M133+M135-M136-M138</f>
        <v>475890.27071307134</v>
      </c>
      <c r="N153" s="23">
        <f>N133+N135-N136-N138</f>
        <v>459657.47247715236</v>
      </c>
      <c r="O153" s="23">
        <f>O133+O135-O136-O138</f>
        <v>443424.67424123327</v>
      </c>
      <c r="P153" s="23">
        <f>P133+P135-P136-P138</f>
        <v>427191.87600531423</v>
      </c>
      <c r="Q153" s="23">
        <f>Q133+Q135-Q136-Q138</f>
        <v>410959.07776939514</v>
      </c>
      <c r="R153" s="23">
        <f>R133+R135-R136-R138</f>
        <v>394726.2795334761</v>
      </c>
      <c r="S153" s="23">
        <f>S133+S135-S136-S138</f>
        <v>378493.48129755707</v>
      </c>
      <c r="T153" s="23">
        <f>T133+T135-T136-T138</f>
        <v>362260.68306163803</v>
      </c>
      <c r="U153" s="23">
        <f>U133+U135-U136-U138</f>
        <v>346027.88482571894</v>
      </c>
      <c r="V153" s="23">
        <f>V133+V135-V136-V138</f>
        <v>329795.0865897999</v>
      </c>
      <c r="W153" s="23">
        <f>W133+W135-W136-W138</f>
        <v>313562.2883538849</v>
      </c>
      <c r="X153" s="23">
        <f>X133+X135-X136-X138</f>
        <v>0</v>
      </c>
      <c r="Y153" s="23">
        <f>Y133+Y135-Y136-Y138</f>
        <v>0</v>
      </c>
      <c r="Z153" s="23">
        <f>Z133+Z135-Z136-Z138</f>
        <v>0</v>
      </c>
      <c r="AA153" s="23">
        <f>AA133+AA135-AA136-AA138</f>
        <v>0</v>
      </c>
      <c r="AB153" s="23">
        <f>AB133+AB135-AB136-AB138</f>
        <v>0</v>
      </c>
      <c r="AC153" s="23">
        <f>AC133+AC135-AC136-AC138</f>
        <v>0</v>
      </c>
      <c r="AD153" s="23">
        <f>AD133+AD135-AD136-AD138</f>
        <v>0</v>
      </c>
      <c r="AE153" s="23">
        <f>AE133+AE135-AE136-AE138</f>
        <v>0</v>
      </c>
    </row>
    <row r="154">
      <c r="A154" s="6" t="inlineStr">
        <is>
          <t xml:space="preserve">Reserve before the final release</t>
        </is>
      </c>
      <c r="B154" s="10" t="inlineStr">
        <is>
          <t xml:space="preserve">€</t>
        </is>
      </c>
      <c r="F154" s="23">
        <f>F141+F143-F146</f>
        <v>0</v>
      </c>
      <c r="G154" s="23">
        <f>G141+G143-G146</f>
        <v>0</v>
      </c>
      <c r="H154" s="23">
        <f>H141+H143-H146</f>
        <v>0</v>
      </c>
      <c r="I154" s="23">
        <f>I141+I143-I146</f>
        <v>0</v>
      </c>
      <c r="J154" s="23">
        <f>J141+J143-J146</f>
        <v>0</v>
      </c>
      <c r="K154" s="23">
        <f>K141+K143-K146</f>
        <v>0</v>
      </c>
      <c r="L154" s="23">
        <f>L141+L143-L146</f>
        <v>0</v>
      </c>
      <c r="M154" s="23">
        <f>M141+M143-M146</f>
        <v>0</v>
      </c>
      <c r="N154" s="23">
        <f>N141+N143-N146</f>
        <v>0</v>
      </c>
      <c r="O154" s="23">
        <f>O141+O143-O146</f>
        <v>0</v>
      </c>
      <c r="P154" s="23">
        <f>P141+P143-P146</f>
        <v>0</v>
      </c>
      <c r="Q154" s="23">
        <f>Q141+Q143-Q146</f>
        <v>0</v>
      </c>
      <c r="R154" s="23">
        <f>R141+R143-R146</f>
        <v>0</v>
      </c>
      <c r="S154" s="23">
        <f>S141+S143-S146</f>
        <v>0</v>
      </c>
      <c r="T154" s="23">
        <f>T141+T143-T146</f>
        <v>0</v>
      </c>
      <c r="U154" s="23">
        <f>U141+U143-U146</f>
        <v>0</v>
      </c>
      <c r="V154" s="23">
        <f>V141+V143-V146</f>
        <v>0</v>
      </c>
      <c r="W154" s="23">
        <f>W141+W143-W146</f>
        <v>0</v>
      </c>
      <c r="X154" s="23">
        <f>X141+X143-X146</f>
        <v>0</v>
      </c>
      <c r="Y154" s="23">
        <f>Y141+Y143-Y146</f>
        <v>0</v>
      </c>
      <c r="Z154" s="23">
        <f>Z141+Z143-Z146</f>
        <v>450690.3190348829</v>
      </c>
      <c r="AA154" s="23">
        <f>AA141+AA143-AA146</f>
        <v>901380.6380697659</v>
      </c>
      <c r="AB154" s="23">
        <f>AB141+AB143-AB146</f>
        <v>1352070.9571046487</v>
      </c>
      <c r="AC154" s="23">
        <f>AC141+AC143-AC146</f>
        <v>1802761.2761395315</v>
      </c>
      <c r="AD154" s="23">
        <f>AD141+AD143-AD146</f>
        <v>2253451.5951744146</v>
      </c>
      <c r="AE154" s="23">
        <f>AE141+AE143-AE146</f>
        <v>0</v>
      </c>
    </row>
    <row r="155">
      <c r="A155" s="6" t="inlineStr">
        <is>
          <t xml:space="preserve">Cash held back before the final release</t>
        </is>
      </c>
      <c r="B155" s="10" t="inlineStr">
        <is>
          <t xml:space="preserve">€</t>
        </is>
      </c>
      <c r="F155" s="23">
        <f>F149+F150-F151</f>
        <v>0</v>
      </c>
      <c r="G155" s="23">
        <f>G149+G150-G151</f>
        <v>0</v>
      </c>
      <c r="H155" s="23">
        <f>H149+H150-H151</f>
        <v>0</v>
      </c>
      <c r="I155" s="23">
        <f>I149+I150-I151</f>
        <v>0</v>
      </c>
      <c r="J155" s="23">
        <f>J149+J150-J151</f>
        <v>0</v>
      </c>
      <c r="K155" s="23">
        <f>K149+K150-K151</f>
        <v>0</v>
      </c>
      <c r="L155" s="23">
        <f>L149+L150-L151</f>
        <v>0</v>
      </c>
      <c r="M155" s="23">
        <f>M149+M150-M151</f>
        <v>0</v>
      </c>
      <c r="N155" s="23">
        <f>N149+N150-N151</f>
        <v>0</v>
      </c>
      <c r="O155" s="23">
        <f>O149+O150-O151</f>
        <v>0</v>
      </c>
      <c r="P155" s="23">
        <f>P149+P150-P151</f>
        <v>0</v>
      </c>
      <c r="Q155" s="23">
        <f>Q149+Q150-Q151</f>
        <v>0</v>
      </c>
      <c r="R155" s="23">
        <f>R149+R150-R151</f>
        <v>0</v>
      </c>
      <c r="S155" s="23">
        <f>S149+S150-S151</f>
        <v>0</v>
      </c>
      <c r="T155" s="23">
        <f>T149+T150-T151</f>
        <v>0</v>
      </c>
      <c r="U155" s="23">
        <f>U149+U150-U151</f>
        <v>0</v>
      </c>
      <c r="V155" s="23">
        <f>V149+V150-V151</f>
        <v>0</v>
      </c>
      <c r="W155" s="23">
        <f>W149+W150-W151</f>
        <v>0</v>
      </c>
      <c r="X155" s="23">
        <f>X149+X150-X151</f>
        <v>0</v>
      </c>
      <c r="Y155" s="23">
        <f>Y149+Y150-Y151</f>
        <v>0</v>
      </c>
      <c r="Z155" s="23">
        <f>Z149+Z150-Z151</f>
        <v>0</v>
      </c>
      <c r="AA155" s="23">
        <f>AA149+AA150-AA151</f>
        <v>0</v>
      </c>
      <c r="AB155" s="23">
        <f>AB149+AB150-AB151</f>
        <v>0</v>
      </c>
      <c r="AC155" s="23">
        <f>AC149+AC150-AC151</f>
        <v>0</v>
      </c>
      <c r="AD155" s="23">
        <f>AD149+AD150-AD151</f>
        <v>0</v>
      </c>
      <c r="AE155" s="23">
        <f>AE149+AE150-AE151</f>
        <v>0</v>
      </c>
    </row>
    <row r="156">
      <c r="A156" s="6" t="inlineStr">
        <is>
          <t xml:space="preserve">Released in the final year</t>
        </is>
      </c>
      <c r="B156" s="10" t="inlineStr">
        <is>
          <t xml:space="preserve">€</t>
        </is>
      </c>
      <c r="F156" s="23">
        <f>IF(Timing!F72=1,F153+F155+F154,0)</f>
        <v>0</v>
      </c>
      <c r="G156" s="23">
        <f>IF(Timing!G72=1,G153+G155+G154,0)</f>
        <v>0</v>
      </c>
      <c r="H156" s="23">
        <f>IF(Timing!H72=1,H153+H155+H154,0)</f>
        <v>0</v>
      </c>
      <c r="I156" s="23">
        <f>IF(Timing!I72=1,I153+I155+I154,0)</f>
        <v>0</v>
      </c>
      <c r="J156" s="23">
        <f>IF(Timing!J72=1,J153+J155+J154,0)</f>
        <v>0</v>
      </c>
      <c r="K156" s="23">
        <f>IF(Timing!K72=1,K153+K155+K154,0)</f>
        <v>0</v>
      </c>
      <c r="L156" s="23">
        <f>IF(Timing!L72=1,L153+L155+L154,0)</f>
        <v>0</v>
      </c>
      <c r="M156" s="23">
        <f>IF(Timing!M72=1,M153+M155+M154,0)</f>
        <v>0</v>
      </c>
      <c r="N156" s="23">
        <f>IF(Timing!N72=1,N153+N155+N154,0)</f>
        <v>0</v>
      </c>
      <c r="O156" s="23">
        <f>IF(Timing!O72=1,O153+O155+O154,0)</f>
        <v>0</v>
      </c>
      <c r="P156" s="23">
        <f>IF(Timing!P72=1,P153+P155+P154,0)</f>
        <v>0</v>
      </c>
      <c r="Q156" s="23">
        <f>IF(Timing!Q72=1,Q153+Q155+Q154,0)</f>
        <v>0</v>
      </c>
      <c r="R156" s="23">
        <f>IF(Timing!R72=1,R153+R155+R154,0)</f>
        <v>0</v>
      </c>
      <c r="S156" s="23">
        <f>IF(Timing!S72=1,S153+S155+S154,0)</f>
        <v>0</v>
      </c>
      <c r="T156" s="23">
        <f>IF(Timing!T72=1,T153+T155+T154,0)</f>
        <v>0</v>
      </c>
      <c r="U156" s="23">
        <f>IF(Timing!U72=1,U153+U155+U154,0)</f>
        <v>0</v>
      </c>
      <c r="V156" s="23">
        <f>IF(Timing!V72=1,V153+V155+V154,0)</f>
        <v>0</v>
      </c>
      <c r="W156" s="23">
        <f>IF(Timing!W72=1,W153+W155+W154,0)</f>
        <v>0</v>
      </c>
      <c r="X156" s="23">
        <f>IF(Timing!X72=1,X153+X155+X154,0)</f>
        <v>0</v>
      </c>
      <c r="Y156" s="23">
        <f>IF(Timing!Y72=1,Y153+Y155+Y154,0)</f>
        <v>0</v>
      </c>
      <c r="Z156" s="23">
        <f>IF(Timing!Z72=1,Z153+Z155+Z154,0)</f>
        <v>0</v>
      </c>
      <c r="AA156" s="23">
        <f>IF(Timing!AA72=1,AA153+AA155+AA154,0)</f>
        <v>0</v>
      </c>
      <c r="AB156" s="23">
        <f>IF(Timing!AB72=1,AB153+AB155+AB154,0)</f>
        <v>0</v>
      </c>
      <c r="AC156" s="23">
        <f>IF(Timing!AC72=1,AC153+AC155+AC154,0)</f>
        <v>0</v>
      </c>
      <c r="AD156" s="23">
        <f>IF(Timing!AD72=1,AD153+AD155+AD154,0)</f>
        <v>0</v>
      </c>
      <c r="AE156" s="23">
        <f>IF(Timing!AE72=1,AE153+AE155+AE154,0)</f>
        <v>0</v>
      </c>
    </row>
    <row r="157">
      <c r="A157" s="6" t="inlineStr">
        <is>
          <t xml:space="preserve">Cash at the year end</t>
        </is>
      </c>
      <c r="B157" s="10" t="inlineStr">
        <is>
          <t xml:space="preserve">€</t>
        </is>
      </c>
      <c r="F157" s="23">
        <f>F152+F156</f>
        <v>901699.9722832558</v>
      </c>
      <c r="G157" s="23">
        <f>G152+G156</f>
        <v>830613.6391600878</v>
      </c>
      <c r="H157" s="23">
        <f>H152+H156</f>
        <v>875006.4521841349</v>
      </c>
      <c r="I157" s="23">
        <f>I152+I156</f>
        <v>471545.61738297914</v>
      </c>
      <c r="J157" s="23">
        <f>J152+J156</f>
        <v>411463.4682168497</v>
      </c>
      <c r="K157" s="23">
        <f>K152+K156</f>
        <v>420304.407147547</v>
      </c>
      <c r="L157" s="23">
        <f>L152+L156</f>
        <v>2321116.506333708</v>
      </c>
      <c r="M157" s="23">
        <f>M152+M156</f>
        <v>804577.3800403487</v>
      </c>
      <c r="N157" s="23">
        <f>N152+N156</f>
        <v>841697.5001661718</v>
      </c>
      <c r="O157" s="23">
        <f>O152+O156</f>
        <v>875809.5447550251</v>
      </c>
      <c r="P157" s="23">
        <f>P152+P156</f>
        <v>771341.4233709753</v>
      </c>
      <c r="Q157" s="23">
        <f>Q152+Q156</f>
        <v>794205.5540520693</v>
      </c>
      <c r="R157" s="23">
        <f>R152+R156</f>
        <v>817343.5101552745</v>
      </c>
      <c r="S157" s="23">
        <f>S152+S156</f>
        <v>837016.8628405959</v>
      </c>
      <c r="T157" s="23">
        <f>T152+T156</f>
        <v>858799.1171596092</v>
      </c>
      <c r="U157" s="23">
        <f>U152+U156</f>
        <v>878951.2974429952</v>
      </c>
      <c r="V157" s="23">
        <f>V152+V156</f>
        <v>899390.1919270896</v>
      </c>
      <c r="W157" s="23">
        <f>W152+W156</f>
        <v>851221.4276640929</v>
      </c>
      <c r="X157" s="23">
        <f>X152+X156</f>
        <v>1271273.7080522352</v>
      </c>
      <c r="Y157" s="23">
        <f>Y152+Y156</f>
        <v>2248314.5406976775</v>
      </c>
      <c r="Z157" s="23">
        <f>Z152+Z156</f>
        <v>1753693.6733787223</v>
      </c>
      <c r="AA157" s="23">
        <f>AA152+AA156</f>
        <v>1789266.6650370844</v>
      </c>
      <c r="AB157" s="23">
        <f>AB152+AB156</f>
        <v>1828763.1693963567</v>
      </c>
      <c r="AC157" s="23">
        <f>AC152+AC156</f>
        <v>1867883.315654066</v>
      </c>
      <c r="AD157" s="23">
        <f>AD152+AD156</f>
        <v>1912727.0271623516</v>
      </c>
      <c r="AE157" s="23">
        <f>AE152+AE156</f>
        <v>1191684.6336207793</v>
      </c>
    </row>
    <row r="158">
      <c r="A158" s="6" t="inlineStr">
        <is>
          <t xml:space="preserve">DSRA at the year end</t>
        </is>
      </c>
      <c r="B158" s="10" t="inlineStr">
        <is>
          <t xml:space="preserve">€</t>
        </is>
      </c>
      <c r="E158" s="23">
        <f>Debt!$C$15</f>
        <v>573287.0601285857</v>
      </c>
      <c r="F158" s="23">
        <f>IF(Timing!F72=1,0,F153)</f>
        <v>573287.0601285857</v>
      </c>
      <c r="G158" s="23">
        <f>IF(Timing!G72=1,0,G153)</f>
        <v>573287.0601285857</v>
      </c>
      <c r="H158" s="23">
        <f>IF(Timing!H72=1,0,H153)</f>
        <v>557054.2618926666</v>
      </c>
      <c r="I158" s="23">
        <f>IF(Timing!I72=1,0,I153)</f>
        <v>540821.4636567476</v>
      </c>
      <c r="J158" s="23">
        <f>IF(Timing!J72=1,0,J153)</f>
        <v>524588.6654208285</v>
      </c>
      <c r="K158" s="23">
        <f>IF(Timing!K72=1,0,K153)</f>
        <v>508355.8671849094</v>
      </c>
      <c r="L158" s="23">
        <f>IF(Timing!L72=1,0,L153)</f>
        <v>492123.06894899043</v>
      </c>
      <c r="M158" s="23">
        <f>IF(Timing!M72=1,0,M153)</f>
        <v>475890.27071307134</v>
      </c>
      <c r="N158" s="23">
        <f>IF(Timing!N72=1,0,N153)</f>
        <v>459657.47247715236</v>
      </c>
      <c r="O158" s="23">
        <f>IF(Timing!O72=1,0,O153)</f>
        <v>443424.67424123327</v>
      </c>
      <c r="P158" s="23">
        <f>IF(Timing!P72=1,0,P153)</f>
        <v>427191.87600531423</v>
      </c>
      <c r="Q158" s="23">
        <f>IF(Timing!Q72=1,0,Q153)</f>
        <v>410959.07776939514</v>
      </c>
      <c r="R158" s="23">
        <f>IF(Timing!R72=1,0,R153)</f>
        <v>394726.2795334761</v>
      </c>
      <c r="S158" s="23">
        <f>IF(Timing!S72=1,0,S153)</f>
        <v>378493.48129755707</v>
      </c>
      <c r="T158" s="23">
        <f>IF(Timing!T72=1,0,T153)</f>
        <v>362260.68306163803</v>
      </c>
      <c r="U158" s="23">
        <f>IF(Timing!U72=1,0,U153)</f>
        <v>346027.88482571894</v>
      </c>
      <c r="V158" s="23">
        <f>IF(Timing!V72=1,0,V153)</f>
        <v>329795.0865897999</v>
      </c>
      <c r="W158" s="23">
        <f>IF(Timing!W72=1,0,W153)</f>
        <v>313562.2883538849</v>
      </c>
      <c r="X158" s="23">
        <f>IF(Timing!X72=1,0,X153)</f>
        <v>0</v>
      </c>
      <c r="Y158" s="23">
        <f>IF(Timing!Y72=1,0,Y153)</f>
        <v>0</v>
      </c>
      <c r="Z158" s="23">
        <f>IF(Timing!Z72=1,0,Z153)</f>
        <v>0</v>
      </c>
      <c r="AA158" s="23">
        <f>IF(Timing!AA72=1,0,AA153)</f>
        <v>0</v>
      </c>
      <c r="AB158" s="23">
        <f>IF(Timing!AB72=1,0,AB153)</f>
        <v>0</v>
      </c>
      <c r="AC158" s="23">
        <f>IF(Timing!AC72=1,0,AC153)</f>
        <v>0</v>
      </c>
      <c r="AD158" s="23">
        <f>IF(Timing!AD72=1,0,AD153)</f>
        <v>0</v>
      </c>
      <c r="AE158" s="23">
        <f>IF(Timing!AE72=1,0,AE153)</f>
        <v>0</v>
      </c>
    </row>
    <row r="159">
      <c r="A159" s="6" t="inlineStr">
        <is>
          <t xml:space="preserve">Decommissioning reserve at the year end</t>
        </is>
      </c>
      <c r="B159" s="10" t="inlineStr">
        <is>
          <t xml:space="preserve">€</t>
        </is>
      </c>
      <c r="F159" s="23">
        <f>IF(Timing!F72=1,0,F154)</f>
        <v>0</v>
      </c>
      <c r="G159" s="23">
        <f>IF(Timing!G72=1,0,G154)</f>
        <v>0</v>
      </c>
      <c r="H159" s="23">
        <f>IF(Timing!H72=1,0,H154)</f>
        <v>0</v>
      </c>
      <c r="I159" s="23">
        <f>IF(Timing!I72=1,0,I154)</f>
        <v>0</v>
      </c>
      <c r="J159" s="23">
        <f>IF(Timing!J72=1,0,J154)</f>
        <v>0</v>
      </c>
      <c r="K159" s="23">
        <f>IF(Timing!K72=1,0,K154)</f>
        <v>0</v>
      </c>
      <c r="L159" s="23">
        <f>IF(Timing!L72=1,0,L154)</f>
        <v>0</v>
      </c>
      <c r="M159" s="23">
        <f>IF(Timing!M72=1,0,M154)</f>
        <v>0</v>
      </c>
      <c r="N159" s="23">
        <f>IF(Timing!N72=1,0,N154)</f>
        <v>0</v>
      </c>
      <c r="O159" s="23">
        <f>IF(Timing!O72=1,0,O154)</f>
        <v>0</v>
      </c>
      <c r="P159" s="23">
        <f>IF(Timing!P72=1,0,P154)</f>
        <v>0</v>
      </c>
      <c r="Q159" s="23">
        <f>IF(Timing!Q72=1,0,Q154)</f>
        <v>0</v>
      </c>
      <c r="R159" s="23">
        <f>IF(Timing!R72=1,0,R154)</f>
        <v>0</v>
      </c>
      <c r="S159" s="23">
        <f>IF(Timing!S72=1,0,S154)</f>
        <v>0</v>
      </c>
      <c r="T159" s="23">
        <f>IF(Timing!T72=1,0,T154)</f>
        <v>0</v>
      </c>
      <c r="U159" s="23">
        <f>IF(Timing!U72=1,0,U154)</f>
        <v>0</v>
      </c>
      <c r="V159" s="23">
        <f>IF(Timing!V72=1,0,V154)</f>
        <v>0</v>
      </c>
      <c r="W159" s="23">
        <f>IF(Timing!W72=1,0,W154)</f>
        <v>0</v>
      </c>
      <c r="X159" s="23">
        <f>IF(Timing!X72=1,0,X154)</f>
        <v>0</v>
      </c>
      <c r="Y159" s="23">
        <f>IF(Timing!Y72=1,0,Y154)</f>
        <v>0</v>
      </c>
      <c r="Z159" s="23">
        <f>IF(Timing!Z72=1,0,Z154)</f>
        <v>450690.3190348829</v>
      </c>
      <c r="AA159" s="23">
        <f>IF(Timing!AA72=1,0,AA154)</f>
        <v>901380.6380697659</v>
      </c>
      <c r="AB159" s="23">
        <f>IF(Timing!AB72=1,0,AB154)</f>
        <v>1352070.9571046487</v>
      </c>
      <c r="AC159" s="23">
        <f>IF(Timing!AC72=1,0,AC154)</f>
        <v>1802761.2761395315</v>
      </c>
      <c r="AD159" s="23">
        <f>IF(Timing!AD72=1,0,AD154)</f>
        <v>2253451.5951744146</v>
      </c>
      <c r="AE159" s="23">
        <f>IF(Timing!AE72=1,0,AE154)</f>
        <v>0</v>
      </c>
    </row>
    <row r="160">
      <c r="A160" s="6" t="inlineStr">
        <is>
          <t xml:space="preserve">Cash held back at the year end</t>
        </is>
      </c>
      <c r="B160" s="10" t="inlineStr">
        <is>
          <t xml:space="preserve">€</t>
        </is>
      </c>
      <c r="E160" s="9">
        <v>0</v>
      </c>
      <c r="F160" s="23">
        <f>IF(Timing!F72=1,0,F155)</f>
        <v>0</v>
      </c>
      <c r="G160" s="23">
        <f>IF(Timing!G72=1,0,G155)</f>
        <v>0</v>
      </c>
      <c r="H160" s="23">
        <f>IF(Timing!H72=1,0,H155)</f>
        <v>0</v>
      </c>
      <c r="I160" s="23">
        <f>IF(Timing!I72=1,0,I155)</f>
        <v>0</v>
      </c>
      <c r="J160" s="23">
        <f>IF(Timing!J72=1,0,J155)</f>
        <v>0</v>
      </c>
      <c r="K160" s="23">
        <f>IF(Timing!K72=1,0,K155)</f>
        <v>0</v>
      </c>
      <c r="L160" s="23">
        <f>IF(Timing!L72=1,0,L155)</f>
        <v>0</v>
      </c>
      <c r="M160" s="23">
        <f>IF(Timing!M72=1,0,M155)</f>
        <v>0</v>
      </c>
      <c r="N160" s="23">
        <f>IF(Timing!N72=1,0,N155)</f>
        <v>0</v>
      </c>
      <c r="O160" s="23">
        <f>IF(Timing!O72=1,0,O155)</f>
        <v>0</v>
      </c>
      <c r="P160" s="23">
        <f>IF(Timing!P72=1,0,P155)</f>
        <v>0</v>
      </c>
      <c r="Q160" s="23">
        <f>IF(Timing!Q72=1,0,Q155)</f>
        <v>0</v>
      </c>
      <c r="R160" s="23">
        <f>IF(Timing!R72=1,0,R155)</f>
        <v>0</v>
      </c>
      <c r="S160" s="23">
        <f>IF(Timing!S72=1,0,S155)</f>
        <v>0</v>
      </c>
      <c r="T160" s="23">
        <f>IF(Timing!T72=1,0,T155)</f>
        <v>0</v>
      </c>
      <c r="U160" s="23">
        <f>IF(Timing!U72=1,0,U155)</f>
        <v>0</v>
      </c>
      <c r="V160" s="23">
        <f>IF(Timing!V72=1,0,V155)</f>
        <v>0</v>
      </c>
      <c r="W160" s="23">
        <f>IF(Timing!W72=1,0,W155)</f>
        <v>0</v>
      </c>
      <c r="X160" s="23">
        <f>IF(Timing!X72=1,0,X155)</f>
        <v>0</v>
      </c>
      <c r="Y160" s="23">
        <f>IF(Timing!Y72=1,0,Y155)</f>
        <v>0</v>
      </c>
      <c r="Z160" s="23">
        <f>IF(Timing!Z72=1,0,Z155)</f>
        <v>0</v>
      </c>
      <c r="AA160" s="23">
        <f>IF(Timing!AA72=1,0,AA155)</f>
        <v>0</v>
      </c>
      <c r="AB160" s="23">
        <f>IF(Timing!AB72=1,0,AB155)</f>
        <v>0</v>
      </c>
      <c r="AC160" s="23">
        <f>IF(Timing!AC72=1,0,AC155)</f>
        <v>0</v>
      </c>
      <c r="AD160" s="23">
        <f>IF(Timing!AD72=1,0,AD155)</f>
        <v>0</v>
      </c>
      <c r="AE160" s="23">
        <f>IF(Timing!AE72=1,0,AE155)</f>
        <v>0</v>
      </c>
    </row>
    <row r="161">
      <c r="A161" s="6" t="inlineStr">
        <is>
          <t xml:space="preserve">Unpaid cash at the year end (shortfall; no payments by the owners)</t>
        </is>
      </c>
      <c r="B161" s="10" t="inlineStr">
        <is>
          <t xml:space="preserve">€</t>
        </is>
      </c>
      <c r="E161" s="9">
        <v>0</v>
      </c>
      <c r="F161" s="23">
        <f>IF(F157&gt;=0,0,F157)</f>
        <v>0</v>
      </c>
      <c r="G161" s="23">
        <f>IF(G157&gt;=0,0,G157)</f>
        <v>0</v>
      </c>
      <c r="H161" s="23">
        <f>IF(H157&gt;=0,0,H157)</f>
        <v>0</v>
      </c>
      <c r="I161" s="23">
        <f>IF(I157&gt;=0,0,I157)</f>
        <v>0</v>
      </c>
      <c r="J161" s="23">
        <f>IF(J157&gt;=0,0,J157)</f>
        <v>0</v>
      </c>
      <c r="K161" s="23">
        <f>IF(K157&gt;=0,0,K157)</f>
        <v>0</v>
      </c>
      <c r="L161" s="23">
        <f>IF(L157&gt;=0,0,L157)</f>
        <v>0</v>
      </c>
      <c r="M161" s="23">
        <f>IF(M157&gt;=0,0,M157)</f>
        <v>0</v>
      </c>
      <c r="N161" s="23">
        <f>IF(N157&gt;=0,0,N157)</f>
        <v>0</v>
      </c>
      <c r="O161" s="23">
        <f>IF(O157&gt;=0,0,O157)</f>
        <v>0</v>
      </c>
      <c r="P161" s="23">
        <f>IF(P157&gt;=0,0,P157)</f>
        <v>0</v>
      </c>
      <c r="Q161" s="23">
        <f>IF(Q157&gt;=0,0,Q157)</f>
        <v>0</v>
      </c>
      <c r="R161" s="23">
        <f>IF(R157&gt;=0,0,R157)</f>
        <v>0</v>
      </c>
      <c r="S161" s="23">
        <f>IF(S157&gt;=0,0,S157)</f>
        <v>0</v>
      </c>
      <c r="T161" s="23">
        <f>IF(T157&gt;=0,0,T157)</f>
        <v>0</v>
      </c>
      <c r="U161" s="23">
        <f>IF(U157&gt;=0,0,U157)</f>
        <v>0</v>
      </c>
      <c r="V161" s="23">
        <f>IF(V157&gt;=0,0,V157)</f>
        <v>0</v>
      </c>
      <c r="W161" s="23">
        <f>IF(W157&gt;=0,0,W157)</f>
        <v>0</v>
      </c>
      <c r="X161" s="23">
        <f>IF(X157&gt;=0,0,X157)</f>
        <v>0</v>
      </c>
      <c r="Y161" s="23">
        <f>IF(Y157&gt;=0,0,Y157)</f>
        <v>0</v>
      </c>
      <c r="Z161" s="23">
        <f>IF(Z157&gt;=0,0,Z157)</f>
        <v>0</v>
      </c>
      <c r="AA161" s="23">
        <f>IF(AA157&gt;=0,0,AA157)</f>
        <v>0</v>
      </c>
      <c r="AB161" s="23">
        <f>IF(AB157&gt;=0,0,AB157)</f>
        <v>0</v>
      </c>
      <c r="AC161" s="23">
        <f>IF(AC157&gt;=0,0,AC157)</f>
        <v>0</v>
      </c>
      <c r="AD161" s="23">
        <f>IF(AD157&gt;=0,0,AD157)</f>
        <v>0</v>
      </c>
      <c r="AE161" s="23">
        <f>IF(AE157&gt;=0,0,AE157)</f>
        <v>0</v>
      </c>
    </row>
    <row r="162">
      <c r="A162" s="41" t="inlineStr">
        <is>
          <t xml:space="preserve">Cash available to equity (before legal limits on distributions)</t>
        </is>
      </c>
      <c r="B162" s="10" t="inlineStr">
        <is>
          <t xml:space="preserve">€</t>
        </is>
      </c>
      <c r="F162" s="42">
        <f>IF(F157&gt;=0,F157,0)</f>
        <v>901699.9722832558</v>
      </c>
      <c r="G162" s="42">
        <f>IF(G157&gt;=0,G157,0)</f>
        <v>830613.6391600878</v>
      </c>
      <c r="H162" s="42">
        <f>IF(H157&gt;=0,H157,0)</f>
        <v>875006.4521841349</v>
      </c>
      <c r="I162" s="42">
        <f>IF(I157&gt;=0,I157,0)</f>
        <v>471545.61738297914</v>
      </c>
      <c r="J162" s="42">
        <f>IF(J157&gt;=0,J157,0)</f>
        <v>411463.4682168497</v>
      </c>
      <c r="K162" s="42">
        <f>IF(K157&gt;=0,K157,0)</f>
        <v>420304.407147547</v>
      </c>
      <c r="L162" s="42">
        <f>IF(L157&gt;=0,L157,0)</f>
        <v>2321116.506333708</v>
      </c>
      <c r="M162" s="42">
        <f>IF(M157&gt;=0,M157,0)</f>
        <v>804577.3800403487</v>
      </c>
      <c r="N162" s="42">
        <f>IF(N157&gt;=0,N157,0)</f>
        <v>841697.5001661718</v>
      </c>
      <c r="O162" s="42">
        <f>IF(O157&gt;=0,O157,0)</f>
        <v>875809.5447550251</v>
      </c>
      <c r="P162" s="42">
        <f>IF(P157&gt;=0,P157,0)</f>
        <v>771341.4233709753</v>
      </c>
      <c r="Q162" s="42">
        <f>IF(Q157&gt;=0,Q157,0)</f>
        <v>794205.5540520693</v>
      </c>
      <c r="R162" s="42">
        <f>IF(R157&gt;=0,R157,0)</f>
        <v>817343.5101552745</v>
      </c>
      <c r="S162" s="42">
        <f>IF(S157&gt;=0,S157,0)</f>
        <v>837016.8628405959</v>
      </c>
      <c r="T162" s="42">
        <f>IF(T157&gt;=0,T157,0)</f>
        <v>858799.1171596092</v>
      </c>
      <c r="U162" s="42">
        <f>IF(U157&gt;=0,U157,0)</f>
        <v>878951.2974429952</v>
      </c>
      <c r="V162" s="42">
        <f>IF(V157&gt;=0,V157,0)</f>
        <v>899390.1919270896</v>
      </c>
      <c r="W162" s="42">
        <f>IF(W157&gt;=0,W157,0)</f>
        <v>851221.4276640929</v>
      </c>
      <c r="X162" s="42">
        <f>IF(X157&gt;=0,X157,0)</f>
        <v>1271273.7080522352</v>
      </c>
      <c r="Y162" s="42">
        <f>IF(Y157&gt;=0,Y157,0)</f>
        <v>2248314.5406976775</v>
      </c>
      <c r="Z162" s="42">
        <f>IF(Z157&gt;=0,Z157,0)</f>
        <v>1753693.6733787223</v>
      </c>
      <c r="AA162" s="42">
        <f>IF(AA157&gt;=0,AA157,0)</f>
        <v>1789266.6650370844</v>
      </c>
      <c r="AB162" s="42">
        <f>IF(AB157&gt;=0,AB157,0)</f>
        <v>1828763.1693963567</v>
      </c>
      <c r="AC162" s="42">
        <f>IF(AC157&gt;=0,AC157,0)</f>
        <v>1867883.315654066</v>
      </c>
      <c r="AD162" s="42">
        <f>IF(AD157&gt;=0,AD157,0)</f>
        <v>1912727.0271623516</v>
      </c>
      <c r="AE162" s="42">
        <f>IF(AE157&gt;=0,AE157,0)</f>
        <v>1191684.6336207793</v>
      </c>
    </row>
    <row r="163">
      <c r="A163" s="6" t="inlineStr">
        <is>
          <t xml:space="preserve">Project cash flow before tax</t>
        </is>
      </c>
      <c r="B163" s="10" t="inlineStr">
        <is>
          <t xml:space="preserve">€</t>
        </is>
      </c>
      <c r="F163" s="23">
        <f>Operations!F217-Operations!F225-F146</f>
        <v>1453615.112304504</v>
      </c>
      <c r="G163" s="23">
        <f>Operations!G217-Operations!G225-G146</f>
        <v>1934443.9192025843</v>
      </c>
      <c r="H163" s="23">
        <f>Operations!H217-Operations!H225-H146</f>
        <v>3151921.8944625584</v>
      </c>
      <c r="I163" s="23">
        <f>Operations!I217-Operations!I225-I146</f>
        <v>2683529.8667177265</v>
      </c>
      <c r="J163" s="23">
        <f>Operations!J217-Operations!J225-J146</f>
        <v>2558516.524607921</v>
      </c>
      <c r="K163" s="23">
        <f>Operations!K217-Operations!K225-K146</f>
        <v>2502426.270594942</v>
      </c>
      <c r="L163" s="23">
        <f>Operations!L217-Operations!L225-L146</f>
        <v>4338307.176837427</v>
      </c>
      <c r="M163" s="23">
        <f>Operations!M217-Operations!M225-M146</f>
        <v>2756836.8576003914</v>
      </c>
      <c r="N163" s="23">
        <f>Operations!N217-Operations!N225-N146</f>
        <v>2729025.784782538</v>
      </c>
      <c r="O163" s="23">
        <f>Operations!O217-Operations!O225-O146</f>
        <v>2698206.6364277154</v>
      </c>
      <c r="P163" s="23">
        <f>Operations!P217-Operations!P225-P146</f>
        <v>2528807.3220999893</v>
      </c>
      <c r="Q163" s="23">
        <f>Operations!Q217-Operations!Q225-Q146</f>
        <v>2486740.259837407</v>
      </c>
      <c r="R163" s="23">
        <f>Operations!R217-Operations!R225-R146</f>
        <v>2444947.022996936</v>
      </c>
      <c r="S163" s="23">
        <f>Operations!S217-Operations!S225-S146</f>
        <v>2399689.182738581</v>
      </c>
      <c r="T163" s="23">
        <f>Operations!T217-Operations!T225-T146</f>
        <v>2356540.2441139184</v>
      </c>
      <c r="U163" s="23">
        <f>Operations!U217-Operations!U225-U146</f>
        <v>2311761.2314536283</v>
      </c>
      <c r="V163" s="23">
        <f>Operations!V217-Operations!V225-V146</f>
        <v>2267268.9329940462</v>
      </c>
      <c r="W163" s="23">
        <f>Operations!W217-Operations!W225-W146</f>
        <v>2208964.9757873775</v>
      </c>
      <c r="X163" s="23">
        <f>Operations!X217-Operations!X225-X146</f>
        <v>2270900.57311389</v>
      </c>
      <c r="Y163" s="23">
        <f>Operations!Y217-Operations!Y225-Y146</f>
        <v>2310320.5406976775</v>
      </c>
      <c r="Z163" s="23">
        <f>Operations!Z217-Operations!Z225-Z146</f>
        <v>2262721.992413605</v>
      </c>
      <c r="AA163" s="23">
        <f>Operations!AA217-Operations!AA225-AA146</f>
        <v>2299470.984071967</v>
      </c>
      <c r="AB163" s="23">
        <f>Operations!AB217-Operations!AB225-AB146</f>
        <v>2340045.4884312395</v>
      </c>
      <c r="AC163" s="23">
        <f>Operations!AC217-Operations!AC225-AC146</f>
        <v>2380159.6346889487</v>
      </c>
      <c r="AD163" s="23">
        <f>Operations!AD217-Operations!AD225-AD146</f>
        <v>2422049.3461972345</v>
      </c>
      <c r="AE163" s="23">
        <f>Operations!AE217-Operations!AE225-AE146</f>
        <v>-1058532.9615536353</v>
      </c>
    </row>
    <row r="164">
      <c r="A164" s="6" t="inlineStr">
        <is>
          <t xml:space="preserve">Project cash flow after tax (taxes without debt)</t>
        </is>
      </c>
      <c r="B164" s="10" t="inlineStr">
        <is>
          <t xml:space="preserve">€</t>
        </is>
      </c>
      <c r="F164" s="23">
        <f>F163-Tax!F273</f>
        <v>1453615.112304504</v>
      </c>
      <c r="G164" s="23">
        <f>G163-Tax!G273</f>
        <v>1934443.9192025843</v>
      </c>
      <c r="H164" s="23">
        <f>H163-Tax!H273</f>
        <v>3151921.8944625584</v>
      </c>
      <c r="I164" s="23">
        <f>I163-Tax!I273</f>
        <v>2683529.8667177265</v>
      </c>
      <c r="J164" s="23">
        <f>J163-Tax!J273</f>
        <v>2558516.524607921</v>
      </c>
      <c r="K164" s="23">
        <f>K163-Tax!K273</f>
        <v>2502426.270594942</v>
      </c>
      <c r="L164" s="23">
        <f>L163-Tax!L273</f>
        <v>4338307.176837427</v>
      </c>
      <c r="M164" s="23">
        <f>M163-Tax!M273</f>
        <v>2756836.8576003914</v>
      </c>
      <c r="N164" s="23">
        <f>N163-Tax!N273</f>
        <v>2729025.784782538</v>
      </c>
      <c r="O164" s="23">
        <f>O163-Tax!O273</f>
        <v>2698206.6364277154</v>
      </c>
      <c r="P164" s="23">
        <f>P163-Tax!P273</f>
        <v>2528807.3220999893</v>
      </c>
      <c r="Q164" s="23">
        <f>Q163-Tax!Q273</f>
        <v>2486740.259837407</v>
      </c>
      <c r="R164" s="23">
        <f>R163-Tax!R273</f>
        <v>2444947.022996936</v>
      </c>
      <c r="S164" s="23">
        <f>S163-Tax!S273</f>
        <v>2399689.182738581</v>
      </c>
      <c r="T164" s="23">
        <f>T163-Tax!T273</f>
        <v>2356540.2441139184</v>
      </c>
      <c r="U164" s="23">
        <f>U163-Tax!U273</f>
        <v>2311761.2314536283</v>
      </c>
      <c r="V164" s="23">
        <f>V163-Tax!V273</f>
        <v>2267268.9329940462</v>
      </c>
      <c r="W164" s="23">
        <f>W163-Tax!W273</f>
        <v>2149744.9757873775</v>
      </c>
      <c r="X164" s="23">
        <f>X163-Tax!X273</f>
        <v>2210266.57311389</v>
      </c>
      <c r="Y164" s="23">
        <f>Y163-Tax!Y273</f>
        <v>2248314.5406976775</v>
      </c>
      <c r="Z164" s="23">
        <f>Z163-Tax!Z273</f>
        <v>2204383.992413605</v>
      </c>
      <c r="AA164" s="23">
        <f>AA163-Tax!AA273</f>
        <v>2239956.984071967</v>
      </c>
      <c r="AB164" s="23">
        <f>AB163-Tax!AB273</f>
        <v>2279453.4884312395</v>
      </c>
      <c r="AC164" s="23">
        <f>AC163-Tax!AC273</f>
        <v>2318573.6346889487</v>
      </c>
      <c r="AD164" s="23">
        <f>AD163-Tax!AD273</f>
        <v>2363417.3461972345</v>
      </c>
      <c r="AE164" s="23">
        <f>AE163-Tax!AE273</f>
        <v>-1061766.9615536353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808080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</cols>
  <sheetData>
    <row r="1">
      <c r="A1" s="1" t="inlineStr">
        <is>
          <t xml:space="preserve">Statements</t>
        </is>
      </c>
    </row>
    <row r="2">
      <c r="A2" s="2" t="inlineStr">
        <is>
          <t xml:space="preserve">Model balance sheet by case (not audited HGB accounts)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35">
        <v>2028</v>
      </c>
      <c r="G4" s="35">
        <v>2029</v>
      </c>
      <c r="H4" s="35">
        <v>2030</v>
      </c>
      <c r="I4" s="35">
        <v>2031</v>
      </c>
      <c r="J4" s="35">
        <v>2032</v>
      </c>
      <c r="K4" s="35">
        <v>2033</v>
      </c>
      <c r="L4" s="35">
        <v>2034</v>
      </c>
      <c r="M4" s="35">
        <v>2035</v>
      </c>
      <c r="N4" s="35">
        <v>2036</v>
      </c>
      <c r="O4" s="35">
        <v>2037</v>
      </c>
      <c r="P4" s="35">
        <v>2038</v>
      </c>
      <c r="Q4" s="35">
        <v>2039</v>
      </c>
      <c r="R4" s="35">
        <v>2040</v>
      </c>
      <c r="S4" s="35">
        <v>2041</v>
      </c>
      <c r="T4" s="35">
        <v>2042</v>
      </c>
      <c r="U4" s="35">
        <v>2043</v>
      </c>
      <c r="V4" s="35">
        <v>2044</v>
      </c>
      <c r="W4" s="35">
        <v>2045</v>
      </c>
      <c r="X4" s="35">
        <v>2046</v>
      </c>
      <c r="Y4" s="35">
        <v>2047</v>
      </c>
      <c r="Z4" s="35">
        <v>2048</v>
      </c>
      <c r="AA4" s="35">
        <v>2049</v>
      </c>
      <c r="AB4" s="35">
        <v>2050</v>
      </c>
      <c r="AC4" s="35">
        <v>2051</v>
      </c>
      <c r="AD4" s="35">
        <v>2052</v>
      </c>
      <c r="AE4" s="35">
        <v>2053</v>
      </c>
    </row>
    <row r="6">
      <c r="A6" s="5" t="inlineStr">
        <is>
          <t xml:space="preserve">Base</t>
        </is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>
      <c r="A7" s="6" t="inlineStr">
        <is>
          <t xml:space="preserve">Net income</t>
        </is>
      </c>
      <c r="B7" s="10" t="inlineStr">
        <is>
          <t xml:space="preserve">€</t>
        </is>
      </c>
      <c r="F7" s="23">
        <f>Tax!F26-Tax!F42</f>
        <v>-216726.8200686753</v>
      </c>
      <c r="G7" s="23">
        <f>Tax!G26-Tax!G42</f>
        <v>-1380032.5755836838</v>
      </c>
      <c r="H7" s="23">
        <f>Tax!H26-Tax!H42</f>
        <v>-1447082.372631432</v>
      </c>
      <c r="I7" s="23">
        <f>Tax!I26-Tax!I42</f>
        <v>-1324838.72081403</v>
      </c>
      <c r="J7" s="23">
        <f>Tax!J26-Tax!J42</f>
        <v>-1201999.0468989892</v>
      </c>
      <c r="K7" s="23">
        <f>Tax!K26-Tax!K42</f>
        <v>-1078349.708162242</v>
      </c>
      <c r="L7" s="23">
        <f>Tax!L26-Tax!L42</f>
        <v>-954136.8472766748</v>
      </c>
      <c r="M7" s="23">
        <f>Tax!M26-Tax!M42</f>
        <v>-829314.3660979918</v>
      </c>
      <c r="N7" s="23">
        <f>Tax!N26-Tax!N42</f>
        <v>-704039.1442592852</v>
      </c>
      <c r="O7" s="23">
        <f>Tax!O26-Tax!O42</f>
        <v>-577978.2296367418</v>
      </c>
      <c r="P7" s="23">
        <f>Tax!P26-Tax!P42</f>
        <v>-575572.9284100273</v>
      </c>
      <c r="Q7" s="23">
        <f>Tax!Q26-Tax!Q42</f>
        <v>-451135.89037614694</v>
      </c>
      <c r="R7" s="23">
        <f>Tax!R26-Tax!R42</f>
        <v>-326529.77779802267</v>
      </c>
      <c r="S7" s="23">
        <f>Tax!S26-Tax!S42</f>
        <v>-201245.45742609503</v>
      </c>
      <c r="T7" s="23">
        <f>Tax!T26-Tax!T42</f>
        <v>-75891.94310094533</v>
      </c>
      <c r="U7" s="23">
        <f>Tax!U26-Tax!U42</f>
        <v>49636.43824430855</v>
      </c>
      <c r="V7" s="23">
        <f>Tax!V26-Tax!V42</f>
        <v>1938387.6345480173</v>
      </c>
      <c r="W7" s="23">
        <f>Tax!W26-Tax!W42</f>
        <v>3775908.9656322505</v>
      </c>
      <c r="X7" s="23">
        <f>Tax!X26-Tax!X42</f>
        <v>3895250.9803601927</v>
      </c>
      <c r="Y7" s="23">
        <f>Tax!Y26-Tax!Y42</f>
        <v>3720647.268703188</v>
      </c>
      <c r="Z7" s="23">
        <f>Tax!Z26-Tax!Z42</f>
        <v>3563890.181257123</v>
      </c>
      <c r="AA7" s="23">
        <f>Tax!AA26-Tax!AA42</f>
        <v>3613935.3456339445</v>
      </c>
      <c r="AB7" s="23">
        <f>Tax!AB26-Tax!AB42</f>
        <v>3663113.1869355757</v>
      </c>
      <c r="AC7" s="23">
        <f>Tax!AC26-Tax!AC42</f>
        <v>3711594.541695523</v>
      </c>
      <c r="AD7" s="23">
        <f>Tax!AD26-Tax!AD42</f>
        <v>3700138.676139118</v>
      </c>
      <c r="AE7" s="23">
        <f>Tax!AE26-Tax!AE42</f>
        <v>1930784.2650659038</v>
      </c>
    </row>
    <row r="8">
      <c r="A8" s="6" t="inlineStr">
        <is>
          <t xml:space="preserve">Depreciation to date</t>
        </is>
      </c>
      <c r="B8" s="10" t="inlineStr">
        <is>
          <t xml:space="preserve">€</t>
        </is>
      </c>
      <c r="E8" s="9">
        <v>0</v>
      </c>
      <c r="F8" s="23">
        <f>E8+Tax!F24</f>
        <v>1819758.4576594748</v>
      </c>
      <c r="G8" s="23">
        <f>F8+Tax!G24</f>
        <v>5459275.372978425</v>
      </c>
      <c r="H8" s="23">
        <f>G8+Tax!H24</f>
        <v>9098792.288297374</v>
      </c>
      <c r="I8" s="23">
        <f>H8+Tax!I24</f>
        <v>12738309.203616323</v>
      </c>
      <c r="J8" s="23">
        <f>I8+Tax!J24</f>
        <v>16377826.118935272</v>
      </c>
      <c r="K8" s="23">
        <f>J8+Tax!K24</f>
        <v>20017343.034254223</v>
      </c>
      <c r="L8" s="23">
        <f>K8+Tax!L24</f>
        <v>23656859.94957317</v>
      </c>
      <c r="M8" s="23">
        <f>L8+Tax!M24</f>
        <v>27296376.864892118</v>
      </c>
      <c r="N8" s="23">
        <f>M8+Tax!N24</f>
        <v>30935893.780211065</v>
      </c>
      <c r="O8" s="23">
        <f>N8+Tax!O24</f>
        <v>34575410.69553001</v>
      </c>
      <c r="P8" s="23">
        <f>O8+Tax!P24</f>
        <v>38214927.61084896</v>
      </c>
      <c r="Q8" s="23">
        <f>P8+Tax!Q24</f>
        <v>41854444.526167914</v>
      </c>
      <c r="R8" s="23">
        <f>Q8+Tax!R24</f>
        <v>45493961.441486865</v>
      </c>
      <c r="S8" s="23">
        <f>R8+Tax!S24</f>
        <v>49133478.35680582</v>
      </c>
      <c r="T8" s="23">
        <f>S8+Tax!T24</f>
        <v>52772995.27212477</v>
      </c>
      <c r="U8" s="23">
        <f>T8+Tax!U24</f>
        <v>56412512.18744372</v>
      </c>
      <c r="V8" s="23">
        <f>U8+Tax!V24</f>
        <v>58232270.645103194</v>
      </c>
      <c r="W8" s="23">
        <f>V8+Tax!W24</f>
        <v>58232270.645103194</v>
      </c>
      <c r="X8" s="23">
        <f>W8+Tax!X24</f>
        <v>58232270.645103194</v>
      </c>
      <c r="Y8" s="23">
        <f>X8+Tax!Y24</f>
        <v>58232270.645103194</v>
      </c>
      <c r="Z8" s="23">
        <f>Y8+Tax!Z24</f>
        <v>58232270.645103194</v>
      </c>
      <c r="AA8" s="23">
        <f>Z8+Tax!AA24</f>
        <v>58232270.645103194</v>
      </c>
      <c r="AB8" s="23">
        <f>AA8+Tax!AB24</f>
        <v>58232270.645103194</v>
      </c>
      <c r="AC8" s="23">
        <f>AB8+Tax!AC24</f>
        <v>58232270.645103194</v>
      </c>
      <c r="AD8" s="23">
        <f>AC8+Tax!AD24</f>
        <v>58232270.645103194</v>
      </c>
      <c r="AE8" s="23">
        <f>AD8+Tax!AE24</f>
        <v>58232270.645103194</v>
      </c>
    </row>
    <row r="9">
      <c r="A9" s="6" t="inlineStr">
        <is>
          <t xml:space="preserve">Net income to date</t>
        </is>
      </c>
      <c r="B9" s="10" t="inlineStr">
        <is>
          <t xml:space="preserve">€</t>
        </is>
      </c>
      <c r="E9" s="9">
        <v>0</v>
      </c>
      <c r="F9" s="23">
        <f>E9+F7</f>
        <v>-216726.8200686753</v>
      </c>
      <c r="G9" s="23">
        <f>F9+G7</f>
        <v>-1596759.3956523591</v>
      </c>
      <c r="H9" s="23">
        <f>G9+H7</f>
        <v>-3043841.768283791</v>
      </c>
      <c r="I9" s="23">
        <f>H9+I7</f>
        <v>-4368680.489097821</v>
      </c>
      <c r="J9" s="23">
        <f>I9+J7</f>
        <v>-5570679.53599681</v>
      </c>
      <c r="K9" s="23">
        <f>J9+K7</f>
        <v>-6649029.244159052</v>
      </c>
      <c r="L9" s="23">
        <f>K9+L7</f>
        <v>-7603166.091435727</v>
      </c>
      <c r="M9" s="23">
        <f>L9+M7</f>
        <v>-8432480.457533719</v>
      </c>
      <c r="N9" s="23">
        <f>M9+N7</f>
        <v>-9136519.601793004</v>
      </c>
      <c r="O9" s="23">
        <f>N9+O7</f>
        <v>-9714497.831429746</v>
      </c>
      <c r="P9" s="23">
        <f>O9+P7</f>
        <v>-10290070.759839773</v>
      </c>
      <c r="Q9" s="23">
        <f>P9+Q7</f>
        <v>-10741206.65021592</v>
      </c>
      <c r="R9" s="23">
        <f>Q9+R7</f>
        <v>-11067736.428013943</v>
      </c>
      <c r="S9" s="23">
        <f>R9+S7</f>
        <v>-11268981.885440039</v>
      </c>
      <c r="T9" s="23">
        <f>S9+T7</f>
        <v>-11344873.828540985</v>
      </c>
      <c r="U9" s="23">
        <f>T9+U7</f>
        <v>-11295237.390296675</v>
      </c>
      <c r="V9" s="23">
        <f>U9+V7</f>
        <v>-9356849.755748658</v>
      </c>
      <c r="W9" s="23">
        <f>V9+W7</f>
        <v>-5580940.790116407</v>
      </c>
      <c r="X9" s="23">
        <f>W9+X7</f>
        <v>-1685689.8097562143</v>
      </c>
      <c r="Y9" s="23">
        <f>X9+Y7</f>
        <v>2034957.4589469736</v>
      </c>
      <c r="Z9" s="23">
        <f>Y9+Z7</f>
        <v>5598847.640204096</v>
      </c>
      <c r="AA9" s="23">
        <f>Z9+AA7</f>
        <v>9212782.98583804</v>
      </c>
      <c r="AB9" s="23">
        <f>AA9+AB7</f>
        <v>12875896.172773616</v>
      </c>
      <c r="AC9" s="23">
        <f>AB9+AC7</f>
        <v>16587490.714469139</v>
      </c>
      <c r="AD9" s="23">
        <f>AC9+AD7</f>
        <v>20287629.39060826</v>
      </c>
      <c r="AE9" s="23">
        <f>AD9+AE7</f>
        <v>22218413.655674163</v>
      </c>
    </row>
    <row r="10">
      <c r="A10" s="6" t="inlineStr">
        <is>
          <t xml:space="preserve">Cash to equity to date</t>
        </is>
      </c>
      <c r="B10" s="10" t="inlineStr">
        <is>
          <t xml:space="preserve">€</t>
        </is>
      </c>
      <c r="E10" s="9">
        <v>0</v>
      </c>
      <c r="F10" s="23">
        <f>E10+Waterfall!F42</f>
        <v>1611971.9507365031</v>
      </c>
      <c r="G10" s="23">
        <f>F10+Waterfall!G42</f>
        <v>3972210.7514195554</v>
      </c>
      <c r="H10" s="23">
        <f>G10+Waterfall!H42</f>
        <v>4996202.261030578</v>
      </c>
      <c r="I10" s="23">
        <f>H10+Waterfall!I42</f>
        <v>6132081.534602384</v>
      </c>
      <c r="J10" s="23">
        <f>I10+Waterfall!J42</f>
        <v>7395573.297904391</v>
      </c>
      <c r="K10" s="23">
        <f>J10+Waterfall!K42</f>
        <v>8784250.446337687</v>
      </c>
      <c r="L10" s="23">
        <f>K10+Waterfall!L42</f>
        <v>10302682.545455875</v>
      </c>
      <c r="M10" s="23">
        <f>L10+Waterfall!M42</f>
        <v>11950805.616175128</v>
      </c>
      <c r="N10" s="23">
        <f>M10+Waterfall!N42</f>
        <v>13730986.60457962</v>
      </c>
      <c r="O10" s="23">
        <f>N10+Waterfall!O42</f>
        <v>15640616.23114606</v>
      </c>
      <c r="P10" s="23">
        <f>O10+Waterfall!P42</f>
        <v>17560549.094522655</v>
      </c>
      <c r="Q10" s="23">
        <f>P10+Waterfall!Q42</f>
        <v>19612281.403430477</v>
      </c>
      <c r="R10" s="23">
        <f>Q10+Waterfall!R42</f>
        <v>21798301.913327277</v>
      </c>
      <c r="S10" s="23">
        <f>R10+Waterfall!S42</f>
        <v>24115754.856895782</v>
      </c>
      <c r="T10" s="23">
        <f>S10+Waterfall!T42</f>
        <v>26569850.785620537</v>
      </c>
      <c r="U10" s="23">
        <f>T10+Waterfall!U42</f>
        <v>29160456.402910154</v>
      </c>
      <c r="V10" s="23">
        <f>U10+Waterfall!V42</f>
        <v>31833904.181938313</v>
      </c>
      <c r="W10" s="23">
        <f>V10+Waterfall!W42</f>
        <v>34535323.574491866</v>
      </c>
      <c r="X10" s="23">
        <f>W10+Waterfall!X42</f>
        <v>37669569.043022916</v>
      </c>
      <c r="Y10" s="23">
        <f>X10+Waterfall!Y42</f>
        <v>41545517.441739544</v>
      </c>
      <c r="Z10" s="23">
        <f>Y10+Waterfall!Z42</f>
        <v>44833836.64123713</v>
      </c>
      <c r="AA10" s="23">
        <f>Z10+Waterfall!AA42</f>
        <v>48188322.5520837</v>
      </c>
      <c r="AB10" s="23">
        <f>AA10+Waterfall!AB42</f>
        <v>51615096.039482005</v>
      </c>
      <c r="AC10" s="23">
        <f>AB10+Waterfall!AC42</f>
        <v>55114045.454389244</v>
      </c>
      <c r="AD10" s="23">
        <f>AC10+Waterfall!AD42</f>
        <v>58697962.8690011</v>
      </c>
      <c r="AE10" s="23">
        <f>AD10+Waterfall!AE42</f>
        <v>60889678.678696714</v>
      </c>
    </row>
    <row r="11">
      <c r="A11" s="6" t="inlineStr">
        <is>
          <t xml:space="preserve">Wind farm (book value)</t>
        </is>
      </c>
      <c r="B11" s="10" t="inlineStr">
        <is>
          <t xml:space="preserve">€</t>
        </is>
      </c>
      <c r="F11" s="23">
        <f>Construction!$C$48-F8</f>
        <v>56412512.18744372</v>
      </c>
      <c r="G11" s="23">
        <f>Construction!$C$48-G8</f>
        <v>52772995.27212477</v>
      </c>
      <c r="H11" s="23">
        <f>Construction!$C$48-H8</f>
        <v>49133478.35680582</v>
      </c>
      <c r="I11" s="23">
        <f>Construction!$C$48-I8</f>
        <v>45493961.44148687</v>
      </c>
      <c r="J11" s="23">
        <f>Construction!$C$48-J8</f>
        <v>41854444.52616792</v>
      </c>
      <c r="K11" s="23">
        <f>Construction!$C$48-K8</f>
        <v>38214927.61084897</v>
      </c>
      <c r="L11" s="23">
        <f>Construction!$C$48-L8</f>
        <v>34575410.69553003</v>
      </c>
      <c r="M11" s="23">
        <f>Construction!$C$48-M8</f>
        <v>30935893.780211076</v>
      </c>
      <c r="N11" s="23">
        <f>Construction!$C$48-N8</f>
        <v>27296376.86489213</v>
      </c>
      <c r="O11" s="23">
        <f>Construction!$C$48-O8</f>
        <v>23656859.94957318</v>
      </c>
      <c r="P11" s="23">
        <f>Construction!$C$48-P8</f>
        <v>20017343.03425423</v>
      </c>
      <c r="Q11" s="23">
        <f>Construction!$C$48-Q8</f>
        <v>16377826.11893528</v>
      </c>
      <c r="R11" s="23">
        <f>Construction!$C$48-R8</f>
        <v>12738309.203616329</v>
      </c>
      <c r="S11" s="23">
        <f>Construction!$C$48-S8</f>
        <v>9098792.288297378</v>
      </c>
      <c r="T11" s="23">
        <f>Construction!$C$48-T8</f>
        <v>5459275.3729784265</v>
      </c>
      <c r="U11" s="23">
        <f>Construction!$C$48-U8</f>
        <v>1819758.4576594755</v>
      </c>
      <c r="V11" s="23">
        <f>Construction!$C$48-V8</f>
        <v>0</v>
      </c>
      <c r="W11" s="23">
        <f>Construction!$C$48-W8</f>
        <v>0</v>
      </c>
      <c r="X11" s="23">
        <f>Construction!$C$48-X8</f>
        <v>0</v>
      </c>
      <c r="Y11" s="23">
        <f>Construction!$C$48-Y8</f>
        <v>0</v>
      </c>
      <c r="Z11" s="23">
        <f>Construction!$C$48-Z8</f>
        <v>0</v>
      </c>
      <c r="AA11" s="23">
        <f>Construction!$C$48-AA8</f>
        <v>0</v>
      </c>
      <c r="AB11" s="23">
        <f>Construction!$C$48-AB8</f>
        <v>0</v>
      </c>
      <c r="AC11" s="23">
        <f>Construction!$C$48-AC8</f>
        <v>0</v>
      </c>
      <c r="AD11" s="23">
        <f>Construction!$C$48-AD8</f>
        <v>0</v>
      </c>
      <c r="AE11" s="23">
        <f>Construction!$C$48-AE8</f>
        <v>0</v>
      </c>
    </row>
    <row r="12">
      <c r="A12" s="6" t="inlineStr">
        <is>
          <t xml:space="preserve">Receivables</t>
        </is>
      </c>
      <c r="B12" s="10" t="inlineStr">
        <is>
          <t xml:space="preserve">€</t>
        </is>
      </c>
      <c r="F12" s="45">
        <f>Operations!F58</f>
        <v>498049.00082810305</v>
      </c>
      <c r="G12" s="45">
        <f>Operations!G58</f>
        <v>417059.38089697313</v>
      </c>
      <c r="H12" s="45">
        <f>Operations!H58</f>
        <v>410789.32897216186</v>
      </c>
      <c r="I12" s="45">
        <f>Operations!I58</f>
        <v>418167.10532050184</v>
      </c>
      <c r="J12" s="45">
        <f>Operations!J58</f>
        <v>424514.33356339124</v>
      </c>
      <c r="K12" s="45">
        <f>Operations!K58</f>
        <v>433322.5523941739</v>
      </c>
      <c r="L12" s="45">
        <f>Operations!L58</f>
        <v>441105.02543517324</v>
      </c>
      <c r="M12" s="45">
        <f>Operations!M58</f>
        <v>449027.2716919889</v>
      </c>
      <c r="N12" s="45">
        <f>Operations!N58</f>
        <v>455842.9167880481</v>
      </c>
      <c r="O12" s="45">
        <f>Operations!O58</f>
        <v>465301.17024636595</v>
      </c>
      <c r="P12" s="45">
        <f>Operations!P58</f>
        <v>473657.9792639904</v>
      </c>
      <c r="Q12" s="45">
        <f>Operations!Q58</f>
        <v>482164.8765715717</v>
      </c>
      <c r="R12" s="45">
        <f>Operations!R58</f>
        <v>489483.5070505491</v>
      </c>
      <c r="S12" s="45">
        <f>Operations!S58</f>
        <v>499639.7668120734</v>
      </c>
      <c r="T12" s="45">
        <f>Operations!T58</f>
        <v>508613.2970240182</v>
      </c>
      <c r="U12" s="45">
        <f>Operations!U58</f>
        <v>517747.99183856946</v>
      </c>
      <c r="V12" s="45">
        <f>Operations!V58</f>
        <v>525606.7273409191</v>
      </c>
      <c r="W12" s="45">
        <f>Operations!W58</f>
        <v>536512.5053260551</v>
      </c>
      <c r="X12" s="45">
        <f>Operations!X58</f>
        <v>546148.2699217112</v>
      </c>
      <c r="Y12" s="45">
        <f>Operations!Y58</f>
        <v>555957.0928495051</v>
      </c>
      <c r="Z12" s="45">
        <f>Operations!Z58</f>
        <v>564395.7923949044</v>
      </c>
      <c r="AA12" s="45">
        <f>Operations!AA58</f>
        <v>576106.4020340602</v>
      </c>
      <c r="AB12" s="45">
        <f>Operations!AB58</f>
        <v>586453.2730145918</v>
      </c>
      <c r="AC12" s="45">
        <f>Operations!AC58</f>
        <v>596985.973797934</v>
      </c>
      <c r="AD12" s="45">
        <f>Operations!AD58</f>
        <v>606047.437947762</v>
      </c>
      <c r="AE12" s="45">
        <f>Operations!AE58</f>
        <v>0</v>
      </c>
    </row>
    <row r="13">
      <c r="A13" s="6" t="inlineStr">
        <is>
          <t xml:space="preserve">Debt service reserve</t>
        </is>
      </c>
      <c r="B13" s="10" t="inlineStr">
        <is>
          <t xml:space="preserve">€</t>
        </is>
      </c>
      <c r="F13" s="45">
        <f>Waterfall!F38</f>
        <v>573287.0601285857</v>
      </c>
      <c r="G13" s="45">
        <f>Waterfall!G38</f>
        <v>573287.0601285857</v>
      </c>
      <c r="H13" s="45">
        <f>Waterfall!H38</f>
        <v>557054.2618926666</v>
      </c>
      <c r="I13" s="45">
        <f>Waterfall!I38</f>
        <v>540821.4636567476</v>
      </c>
      <c r="J13" s="45">
        <f>Waterfall!J38</f>
        <v>524588.6654208285</v>
      </c>
      <c r="K13" s="45">
        <f>Waterfall!K38</f>
        <v>508355.8671849094</v>
      </c>
      <c r="L13" s="45">
        <f>Waterfall!L38</f>
        <v>492123.06894899043</v>
      </c>
      <c r="M13" s="45">
        <f>Waterfall!M38</f>
        <v>475890.27071307134</v>
      </c>
      <c r="N13" s="45">
        <f>Waterfall!N38</f>
        <v>459657.47247715236</v>
      </c>
      <c r="O13" s="45">
        <f>Waterfall!O38</f>
        <v>443424.67424123327</v>
      </c>
      <c r="P13" s="45">
        <f>Waterfall!P38</f>
        <v>427191.87600531423</v>
      </c>
      <c r="Q13" s="45">
        <f>Waterfall!Q38</f>
        <v>410959.07776939514</v>
      </c>
      <c r="R13" s="45">
        <f>Waterfall!R38</f>
        <v>394726.2795334761</v>
      </c>
      <c r="S13" s="45">
        <f>Waterfall!S38</f>
        <v>378493.48129755707</v>
      </c>
      <c r="T13" s="45">
        <f>Waterfall!T38</f>
        <v>362260.68306163803</v>
      </c>
      <c r="U13" s="45">
        <f>Waterfall!U38</f>
        <v>346027.88482571894</v>
      </c>
      <c r="V13" s="45">
        <f>Waterfall!V38</f>
        <v>329795.0865897999</v>
      </c>
      <c r="W13" s="45">
        <f>Waterfall!W38</f>
        <v>313562.2883538849</v>
      </c>
      <c r="X13" s="45">
        <f>Waterfall!X38</f>
        <v>0</v>
      </c>
      <c r="Y13" s="45">
        <f>Waterfall!Y38</f>
        <v>0</v>
      </c>
      <c r="Z13" s="45">
        <f>Waterfall!Z38</f>
        <v>0</v>
      </c>
      <c r="AA13" s="45">
        <f>Waterfall!AA38</f>
        <v>0</v>
      </c>
      <c r="AB13" s="45">
        <f>Waterfall!AB38</f>
        <v>0</v>
      </c>
      <c r="AC13" s="45">
        <f>Waterfall!AC38</f>
        <v>0</v>
      </c>
      <c r="AD13" s="45">
        <f>Waterfall!AD38</f>
        <v>0</v>
      </c>
      <c r="AE13" s="45">
        <f>Waterfall!AE38</f>
        <v>0</v>
      </c>
    </row>
    <row r="14">
      <c r="A14" s="6" t="inlineStr">
        <is>
          <t xml:space="preserve">Decommissioning reserve</t>
        </is>
      </c>
      <c r="B14" s="10" t="inlineStr">
        <is>
          <t xml:space="preserve">€</t>
        </is>
      </c>
      <c r="F14" s="45">
        <f>Waterfall!F39</f>
        <v>0</v>
      </c>
      <c r="G14" s="45">
        <f>Waterfall!G39</f>
        <v>0</v>
      </c>
      <c r="H14" s="45">
        <f>Waterfall!H39</f>
        <v>0</v>
      </c>
      <c r="I14" s="45">
        <f>Waterfall!I39</f>
        <v>0</v>
      </c>
      <c r="J14" s="45">
        <f>Waterfall!J39</f>
        <v>0</v>
      </c>
      <c r="K14" s="45">
        <f>Waterfall!K39</f>
        <v>0</v>
      </c>
      <c r="L14" s="45">
        <f>Waterfall!L39</f>
        <v>0</v>
      </c>
      <c r="M14" s="45">
        <f>Waterfall!M39</f>
        <v>0</v>
      </c>
      <c r="N14" s="45">
        <f>Waterfall!N39</f>
        <v>0</v>
      </c>
      <c r="O14" s="45">
        <f>Waterfall!O39</f>
        <v>0</v>
      </c>
      <c r="P14" s="45">
        <f>Waterfall!P39</f>
        <v>0</v>
      </c>
      <c r="Q14" s="45">
        <f>Waterfall!Q39</f>
        <v>0</v>
      </c>
      <c r="R14" s="45">
        <f>Waterfall!R39</f>
        <v>0</v>
      </c>
      <c r="S14" s="45">
        <f>Waterfall!S39</f>
        <v>0</v>
      </c>
      <c r="T14" s="45">
        <f>Waterfall!T39</f>
        <v>0</v>
      </c>
      <c r="U14" s="45">
        <f>Waterfall!U39</f>
        <v>0</v>
      </c>
      <c r="V14" s="45">
        <f>Waterfall!V39</f>
        <v>0</v>
      </c>
      <c r="W14" s="45">
        <f>Waterfall!W39</f>
        <v>0</v>
      </c>
      <c r="X14" s="45">
        <f>Waterfall!X39</f>
        <v>0</v>
      </c>
      <c r="Y14" s="45">
        <f>Waterfall!Y39</f>
        <v>0</v>
      </c>
      <c r="Z14" s="45">
        <f>Waterfall!Z39</f>
        <v>450690.3190348829</v>
      </c>
      <c r="AA14" s="45">
        <f>Waterfall!AA39</f>
        <v>901380.6380697659</v>
      </c>
      <c r="AB14" s="45">
        <f>Waterfall!AB39</f>
        <v>1352070.9571046487</v>
      </c>
      <c r="AC14" s="45">
        <f>Waterfall!AC39</f>
        <v>1802761.2761395315</v>
      </c>
      <c r="AD14" s="45">
        <f>Waterfall!AD39</f>
        <v>2253451.5951744146</v>
      </c>
      <c r="AE14" s="45">
        <f>Waterfall!AE39</f>
        <v>0</v>
      </c>
    </row>
    <row r="15">
      <c r="A15" s="6" t="inlineStr">
        <is>
          <t xml:space="preserve">Cash held back</t>
        </is>
      </c>
      <c r="B15" s="10" t="inlineStr">
        <is>
          <t xml:space="preserve">€</t>
        </is>
      </c>
      <c r="F15" s="45">
        <f>Waterfall!F40</f>
        <v>0</v>
      </c>
      <c r="G15" s="45">
        <f>Waterfall!G40</f>
        <v>0</v>
      </c>
      <c r="H15" s="45">
        <f>Waterfall!H40</f>
        <v>0</v>
      </c>
      <c r="I15" s="45">
        <f>Waterfall!I40</f>
        <v>0</v>
      </c>
      <c r="J15" s="45">
        <f>Waterfall!J40</f>
        <v>0</v>
      </c>
      <c r="K15" s="45">
        <f>Waterfall!K40</f>
        <v>0</v>
      </c>
      <c r="L15" s="45">
        <f>Waterfall!L40</f>
        <v>0</v>
      </c>
      <c r="M15" s="45">
        <f>Waterfall!M40</f>
        <v>0</v>
      </c>
      <c r="N15" s="45">
        <f>Waterfall!N40</f>
        <v>0</v>
      </c>
      <c r="O15" s="45">
        <f>Waterfall!O40</f>
        <v>0</v>
      </c>
      <c r="P15" s="45">
        <f>Waterfall!P40</f>
        <v>0</v>
      </c>
      <c r="Q15" s="45">
        <f>Waterfall!Q40</f>
        <v>0</v>
      </c>
      <c r="R15" s="45">
        <f>Waterfall!R40</f>
        <v>0</v>
      </c>
      <c r="S15" s="45">
        <f>Waterfall!S40</f>
        <v>0</v>
      </c>
      <c r="T15" s="45">
        <f>Waterfall!T40</f>
        <v>0</v>
      </c>
      <c r="U15" s="45">
        <f>Waterfall!U40</f>
        <v>0</v>
      </c>
      <c r="V15" s="45">
        <f>Waterfall!V40</f>
        <v>0</v>
      </c>
      <c r="W15" s="45">
        <f>Waterfall!W40</f>
        <v>0</v>
      </c>
      <c r="X15" s="45">
        <f>Waterfall!X40</f>
        <v>0</v>
      </c>
      <c r="Y15" s="45">
        <f>Waterfall!Y40</f>
        <v>0</v>
      </c>
      <c r="Z15" s="45">
        <f>Waterfall!Z40</f>
        <v>0</v>
      </c>
      <c r="AA15" s="45">
        <f>Waterfall!AA40</f>
        <v>0</v>
      </c>
      <c r="AB15" s="45">
        <f>Waterfall!AB40</f>
        <v>0</v>
      </c>
      <c r="AC15" s="45">
        <f>Waterfall!AC40</f>
        <v>0</v>
      </c>
      <c r="AD15" s="45">
        <f>Waterfall!AD40</f>
        <v>0</v>
      </c>
      <c r="AE15" s="45">
        <f>Waterfall!AE40</f>
        <v>0</v>
      </c>
    </row>
    <row r="16">
      <c r="A16" s="6" t="inlineStr">
        <is>
          <t xml:space="preserve">Unpaid cash (negative)</t>
        </is>
      </c>
      <c r="B16" s="10" t="inlineStr">
        <is>
          <t xml:space="preserve">€</t>
        </is>
      </c>
      <c r="F16" s="45">
        <f>Waterfall!F41</f>
        <v>0</v>
      </c>
      <c r="G16" s="45">
        <f>Waterfall!G41</f>
        <v>0</v>
      </c>
      <c r="H16" s="45">
        <f>Waterfall!H41</f>
        <v>0</v>
      </c>
      <c r="I16" s="45">
        <f>Waterfall!I41</f>
        <v>0</v>
      </c>
      <c r="J16" s="45">
        <f>Waterfall!J41</f>
        <v>0</v>
      </c>
      <c r="K16" s="45">
        <f>Waterfall!K41</f>
        <v>0</v>
      </c>
      <c r="L16" s="45">
        <f>Waterfall!L41</f>
        <v>0</v>
      </c>
      <c r="M16" s="45">
        <f>Waterfall!M41</f>
        <v>0</v>
      </c>
      <c r="N16" s="45">
        <f>Waterfall!N41</f>
        <v>0</v>
      </c>
      <c r="O16" s="45">
        <f>Waterfall!O41</f>
        <v>0</v>
      </c>
      <c r="P16" s="45">
        <f>Waterfall!P41</f>
        <v>0</v>
      </c>
      <c r="Q16" s="45">
        <f>Waterfall!Q41</f>
        <v>0</v>
      </c>
      <c r="R16" s="45">
        <f>Waterfall!R41</f>
        <v>0</v>
      </c>
      <c r="S16" s="45">
        <f>Waterfall!S41</f>
        <v>0</v>
      </c>
      <c r="T16" s="45">
        <f>Waterfall!T41</f>
        <v>0</v>
      </c>
      <c r="U16" s="45">
        <f>Waterfall!U41</f>
        <v>0</v>
      </c>
      <c r="V16" s="45">
        <f>Waterfall!V41</f>
        <v>0</v>
      </c>
      <c r="W16" s="45">
        <f>Waterfall!W41</f>
        <v>0</v>
      </c>
      <c r="X16" s="45">
        <f>Waterfall!X41</f>
        <v>0</v>
      </c>
      <c r="Y16" s="45">
        <f>Waterfall!Y41</f>
        <v>0</v>
      </c>
      <c r="Z16" s="45">
        <f>Waterfall!Z41</f>
        <v>0</v>
      </c>
      <c r="AA16" s="45">
        <f>Waterfall!AA41</f>
        <v>0</v>
      </c>
      <c r="AB16" s="45">
        <f>Waterfall!AB41</f>
        <v>0</v>
      </c>
      <c r="AC16" s="45">
        <f>Waterfall!AC41</f>
        <v>0</v>
      </c>
      <c r="AD16" s="45">
        <f>Waterfall!AD41</f>
        <v>0</v>
      </c>
      <c r="AE16" s="45">
        <f>Waterfall!AE41</f>
        <v>0</v>
      </c>
    </row>
    <row r="17">
      <c r="A17" s="41" t="inlineStr">
        <is>
          <t xml:space="preserve">Total assets</t>
        </is>
      </c>
      <c r="B17" s="10" t="inlineStr">
        <is>
          <t xml:space="preserve">€</t>
        </is>
      </c>
      <c r="F17" s="42">
        <f>F11+F12+F13+F14+F15+F16</f>
        <v>57483848.248400405</v>
      </c>
      <c r="G17" s="42">
        <f>G11+G12+G13+G14+G15+G16</f>
        <v>53763341.71315032</v>
      </c>
      <c r="H17" s="42">
        <f>H11+H12+H13+H14+H15+H16</f>
        <v>50101321.947670646</v>
      </c>
      <c r="I17" s="42">
        <f>I11+I12+I13+I14+I15+I16</f>
        <v>46452950.01046412</v>
      </c>
      <c r="J17" s="42">
        <f>J11+J12+J13+J14+J15+J16</f>
        <v>42803547.52515215</v>
      </c>
      <c r="K17" s="42">
        <f>K11+K12+K13+K14+K15+K16</f>
        <v>39156606.03042805</v>
      </c>
      <c r="L17" s="42">
        <f>L11+L12+L13+L14+L15+L16</f>
        <v>35508638.78991419</v>
      </c>
      <c r="M17" s="42">
        <f>M11+M12+M13+M14+M15+M16</f>
        <v>31860811.322616138</v>
      </c>
      <c r="N17" s="42">
        <f>N11+N12+N13+N14+N15+N16</f>
        <v>28211877.25415733</v>
      </c>
      <c r="O17" s="42">
        <f>O11+O12+O13+O14+O15+O16</f>
        <v>24565585.79406078</v>
      </c>
      <c r="P17" s="42">
        <f>P11+P12+P13+P14+P15+P16</f>
        <v>20918192.889523536</v>
      </c>
      <c r="Q17" s="42">
        <f>Q11+Q12+Q13+Q14+Q15+Q16</f>
        <v>17270950.073276248</v>
      </c>
      <c r="R17" s="42">
        <f>R11+R12+R13+R14+R15+R16</f>
        <v>13622518.990200354</v>
      </c>
      <c r="S17" s="42">
        <f>S11+S12+S13+S14+S15+S16</f>
        <v>9976925.536407007</v>
      </c>
      <c r="T17" s="42">
        <f>T11+T12+T13+T14+T15+T16</f>
        <v>6330149.353064083</v>
      </c>
      <c r="U17" s="42">
        <f>U11+U12+U13+U14+U15+U16</f>
        <v>2683534.334323764</v>
      </c>
      <c r="V17" s="42">
        <f>V11+V12+V13+V14+V15+V16</f>
        <v>855401.8139307189</v>
      </c>
      <c r="W17" s="42">
        <f>W11+W12+W13+W14+W15+W16</f>
        <v>850074.79367994</v>
      </c>
      <c r="X17" s="42">
        <f>X11+X12+X13+X14+X15+X16</f>
        <v>546148.2699217112</v>
      </c>
      <c r="Y17" s="42">
        <f>Y11+Y12+Y13+Y14+Y15+Y16</f>
        <v>555957.0928495051</v>
      </c>
      <c r="Z17" s="42">
        <f>Z11+Z12+Z13+Z14+Z15+Z16</f>
        <v>1015086.1114297872</v>
      </c>
      <c r="AA17" s="42">
        <f>AA11+AA12+AA13+AA14+AA15+AA16</f>
        <v>1477487.0401038262</v>
      </c>
      <c r="AB17" s="42">
        <f>AB11+AB12+AB13+AB14+AB15+AB16</f>
        <v>1938524.2301192405</v>
      </c>
      <c r="AC17" s="42">
        <f>AC11+AC12+AC13+AC14+AC15+AC16</f>
        <v>2399747.2499374654</v>
      </c>
      <c r="AD17" s="42">
        <f>AD11+AD12+AD13+AD14+AD15+AD16</f>
        <v>2859499.0331221763</v>
      </c>
      <c r="AE17" s="42">
        <f>AE11+AE12+AE13+AE14+AE15+AE16</f>
        <v>0</v>
      </c>
    </row>
    <row r="18">
      <c r="A18" s="6" t="inlineStr">
        <is>
          <t xml:space="preserve">Senior loan</t>
        </is>
      </c>
      <c r="B18" s="10" t="inlineStr">
        <is>
          <t xml:space="preserve">€</t>
        </is>
      </c>
      <c r="F18" s="45">
        <f>Debt!F12</f>
        <v>20632341.68303732</v>
      </c>
      <c r="G18" s="45">
        <f>Debt!G12</f>
        <v>20632341.68303732</v>
      </c>
      <c r="H18" s="45">
        <f>Debt!H12</f>
        <v>19418674.525211595</v>
      </c>
      <c r="I18" s="45">
        <f>Debt!I12</f>
        <v>18205007.36738587</v>
      </c>
      <c r="J18" s="45">
        <f>Debt!J12</f>
        <v>16991340.20956015</v>
      </c>
      <c r="K18" s="45">
        <f>Debt!K12</f>
        <v>15777673.051734425</v>
      </c>
      <c r="L18" s="45">
        <f>Debt!L12</f>
        <v>14564005.893908702</v>
      </c>
      <c r="M18" s="45">
        <f>Debt!M12</f>
        <v>13350338.736082979</v>
      </c>
      <c r="N18" s="45">
        <f>Debt!N12</f>
        <v>12136671.578257255</v>
      </c>
      <c r="O18" s="45">
        <f>Debt!O12</f>
        <v>10923004.420431532</v>
      </c>
      <c r="P18" s="45">
        <f>Debt!P12</f>
        <v>9709337.262605809</v>
      </c>
      <c r="Q18" s="45">
        <f>Debt!Q12</f>
        <v>8495670.104780085</v>
      </c>
      <c r="R18" s="45">
        <f>Debt!R12</f>
        <v>7282002.946954362</v>
      </c>
      <c r="S18" s="45">
        <f>Debt!S12</f>
        <v>6068335.789128639</v>
      </c>
      <c r="T18" s="45">
        <f>Debt!T12</f>
        <v>4854668.6313029155</v>
      </c>
      <c r="U18" s="45">
        <f>Debt!U12</f>
        <v>3641001.4734771913</v>
      </c>
      <c r="V18" s="45">
        <f>Debt!V12</f>
        <v>2427334.315651466</v>
      </c>
      <c r="W18" s="45">
        <f>Debt!W12</f>
        <v>1213667.157825741</v>
      </c>
      <c r="X18" s="45">
        <f>Debt!X12</f>
        <v>0</v>
      </c>
      <c r="Y18" s="45">
        <f>Debt!Y12</f>
        <v>0</v>
      </c>
      <c r="Z18" s="45">
        <f>Debt!Z12</f>
        <v>0</v>
      </c>
      <c r="AA18" s="45">
        <f>Debt!AA12</f>
        <v>0</v>
      </c>
      <c r="AB18" s="45">
        <f>Debt!AB12</f>
        <v>0</v>
      </c>
      <c r="AC18" s="45">
        <f>Debt!AC12</f>
        <v>0</v>
      </c>
      <c r="AD18" s="45">
        <f>Debt!AD12</f>
        <v>0</v>
      </c>
      <c r="AE18" s="45">
        <f>Debt!AE12</f>
        <v>0</v>
      </c>
    </row>
    <row r="19">
      <c r="A19" s="6" t="inlineStr">
        <is>
          <t xml:space="preserve">Decommissioning provision</t>
        </is>
      </c>
      <c r="B19" s="10" t="inlineStr">
        <is>
          <t xml:space="preserve">€</t>
        </is>
      </c>
      <c r="F19" s="23">
        <f>IF(Timing!F72=1,0,Tax!F9)</f>
        <v>8940.313145703616</v>
      </c>
      <c r="G19" s="23">
        <f>IF(Timing!G72=1,0,Tax!G9)</f>
        <v>28705.15416236045</v>
      </c>
      <c r="H19" s="23">
        <f>IF(Timing!H72=1,0,Tax!H9)</f>
        <v>51426.42875085992</v>
      </c>
      <c r="I19" s="23">
        <f>IF(Timing!I72=1,0,Tax!I9)</f>
        <v>77439.6437558924</v>
      </c>
      <c r="J19" s="23">
        <f>IF(Timing!J72=1,0,Tax!J9)</f>
        <v>107195.12647063406</v>
      </c>
      <c r="K19" s="23">
        <f>IF(Timing!K72=1,0,Tax!K9)</f>
        <v>140947.646167811</v>
      </c>
      <c r="L19" s="23">
        <f>IF(Timing!L72=1,0,Tax!L9)</f>
        <v>179216.50987453028</v>
      </c>
      <c r="M19" s="23">
        <f>IF(Timing!M72=1,0,Tax!M9)</f>
        <v>222493.6372194487</v>
      </c>
      <c r="N19" s="23">
        <f>IF(Timing!N72=1,0,Tax!N9)</f>
        <v>271446.8592501429</v>
      </c>
      <c r="O19" s="23">
        <f>IF(Timing!O72=1,0,Tax!O9)</f>
        <v>326430.4131824992</v>
      </c>
      <c r="P19" s="23">
        <f>IF(Timing!P72=1,0,Tax!P9)</f>
        <v>388210.458257602</v>
      </c>
      <c r="Q19" s="23">
        <f>IF(Timing!Q72=1,0,Tax!Q9)</f>
        <v>457502.9991200089</v>
      </c>
      <c r="R19" s="23">
        <f>IF(Timing!R72=1,0,Tax!R9)</f>
        <v>535289.3615646651</v>
      </c>
      <c r="S19" s="23">
        <f>IF(Timing!S72=1,0,Tax!S9)</f>
        <v>622061.4665916484</v>
      </c>
      <c r="T19" s="23">
        <f>IF(Timing!T72=1,0,Tax!T9)</f>
        <v>718940.3129001517</v>
      </c>
      <c r="U19" s="23">
        <f>IF(Timing!U72=1,0,Tax!U9)</f>
        <v>826961.6310308687</v>
      </c>
      <c r="V19" s="23">
        <f>IF(Timing!V72=1,0,Tax!V9)</f>
        <v>947556.4129436896</v>
      </c>
      <c r="W19" s="23">
        <f>IF(Timing!W72=1,0,Tax!W9)</f>
        <v>1081406.9774399346</v>
      </c>
      <c r="X19" s="23">
        <f>IF(Timing!X72=1,0,Tax!X9)</f>
        <v>1230142.0996783047</v>
      </c>
      <c r="Y19" s="23">
        <f>IF(Timing!Y72=1,0,Tax!Y9)</f>
        <v>1395252.052619535</v>
      </c>
      <c r="Z19" s="23">
        <f>IF(Timing!Z72=1,0,Tax!Z9)</f>
        <v>1578810.089440279</v>
      </c>
      <c r="AA19" s="23">
        <f>IF(Timing!AA72=1,0,Tax!AA9)</f>
        <v>1781761.58332694</v>
      </c>
      <c r="AB19" s="23">
        <f>IF(Timing!AB72=1,0,Tax!AB9)</f>
        <v>2006459.0738050842</v>
      </c>
      <c r="AC19" s="23">
        <f>IF(Timing!AC72=1,0,Tax!AC9)</f>
        <v>2255036.966835023</v>
      </c>
      <c r="AD19" s="23">
        <f>IF(Timing!AD72=1,0,Tax!AD9)</f>
        <v>2598567.488492467</v>
      </c>
      <c r="AE19" s="23">
        <f>IF(Timing!AE72=1,0,Tax!AE9)</f>
        <v>0</v>
      </c>
    </row>
    <row r="20">
      <c r="A20" s="6" t="inlineStr">
        <is>
          <t xml:space="preserve">Equity paid in</t>
        </is>
      </c>
      <c r="B20" s="10" t="inlineStr">
        <is>
          <t xml:space="preserve">€</t>
        </is>
      </c>
      <c r="C20" s="45">
        <f>Construction!$C$45</f>
        <v>38671265.02302264</v>
      </c>
    </row>
    <row r="21">
      <c r="A21" s="41" t="inlineStr">
        <is>
          <t xml:space="preserve">Book equity (model balance sheet, not an HGB test)</t>
        </is>
      </c>
      <c r="B21" s="10" t="inlineStr">
        <is>
          <t xml:space="preserve">€</t>
        </is>
      </c>
      <c r="F21" s="42">
        <f>$C$20-F10+F9</f>
        <v>36842566.252217464</v>
      </c>
      <c r="G21" s="42">
        <f>$C$20-G10+G9</f>
        <v>33102294.87595072</v>
      </c>
      <c r="H21" s="42">
        <f>$C$20-H10+H9</f>
        <v>30631220.993708268</v>
      </c>
      <c r="I21" s="42">
        <f>$C$20-I10+I9</f>
        <v>28170502.99932243</v>
      </c>
      <c r="J21" s="42">
        <f>$C$20-J10+J9</f>
        <v>25705012.189121436</v>
      </c>
      <c r="K21" s="42">
        <f>$C$20-K10+K9</f>
        <v>23237985.3325259</v>
      </c>
      <c r="L21" s="42">
        <f>$C$20-L10+L9</f>
        <v>20765416.386131037</v>
      </c>
      <c r="M21" s="42">
        <f>$C$20-M10+M9</f>
        <v>18287978.94931379</v>
      </c>
      <c r="N21" s="42">
        <f>$C$20-N10+N9</f>
        <v>15803758.816650013</v>
      </c>
      <c r="O21" s="42">
        <f>$C$20-O10+O9</f>
        <v>13316150.96044683</v>
      </c>
      <c r="P21" s="42">
        <f>$C$20-P10+P9</f>
        <v>10820645.168660209</v>
      </c>
      <c r="Q21" s="42">
        <f>$C$20-Q10+Q9</f>
        <v>8317776.96937624</v>
      </c>
      <c r="R21" s="42">
        <f>$C$20-R10+R9</f>
        <v>5805226.681681417</v>
      </c>
      <c r="S21" s="42">
        <f>$C$20-S10+S9</f>
        <v>3286528.280686816</v>
      </c>
      <c r="T21" s="42">
        <f>$C$20-T10+T9</f>
        <v>756540.4088611156</v>
      </c>
      <c r="U21" s="42">
        <f>$C$20-U10+U9</f>
        <v>-1784428.7701841928</v>
      </c>
      <c r="V21" s="42">
        <f>$C$20-V10+V9</f>
        <v>-2519488.9146643337</v>
      </c>
      <c r="W21" s="42">
        <f>$C$20-W10+W9</f>
        <v>-1444999.3415856361</v>
      </c>
      <c r="X21" s="42">
        <f>$C$20-X10+X9</f>
        <v>-683993.8297564932</v>
      </c>
      <c r="Y21" s="42">
        <f>$C$20-Y10+Y9</f>
        <v>-839294.959769934</v>
      </c>
      <c r="Z21" s="42">
        <f>$C$20-Z10+Z9</f>
        <v>-563723.9780103993</v>
      </c>
      <c r="AA21" s="42">
        <f>$C$20-AA10+AA9</f>
        <v>-304274.5432230234</v>
      </c>
      <c r="AB21" s="42">
        <f>$C$20-AB10+AB9</f>
        <v>-67934.84368575178</v>
      </c>
      <c r="AC21" s="42">
        <f>$C$20-AC10+AC9</f>
        <v>144710.283102531</v>
      </c>
      <c r="AD21" s="42">
        <f>$C$20-AD10+AD9</f>
        <v>260931.54462979734</v>
      </c>
      <c r="AE21" s="42">
        <f>$C$20-AE10+AE9</f>
        <v>8.568167686462402e-8</v>
      </c>
    </row>
    <row r="22">
      <c r="A22" s="6" t="inlineStr">
        <is>
          <t xml:space="preserve">Check: assets − loan − provision − equity</t>
        </is>
      </c>
      <c r="B22" s="10" t="inlineStr">
        <is>
          <t xml:space="preserve">€</t>
        </is>
      </c>
      <c r="F22" s="23">
        <f>F17-F18-F19-F21</f>
        <v>-8.195638656616211e-8</v>
      </c>
      <c r="G22" s="23">
        <f>G17-G18-G19-G21</f>
        <v>-7.82310962677002e-8</v>
      </c>
      <c r="H22" s="23">
        <f>H17-H18-H19-H21</f>
        <v>-7.82310962677002e-8</v>
      </c>
      <c r="I22" s="23">
        <f>I17-I18-I19-I21</f>
        <v>-7.82310962677002e-8</v>
      </c>
      <c r="J22" s="23">
        <f>J17-J18-J19-J21</f>
        <v>-7.078051567077637e-8</v>
      </c>
      <c r="K22" s="23">
        <f>K17-K18-K19-K21</f>
        <v>-8.568167686462402e-8</v>
      </c>
      <c r="L22" s="23">
        <f>L17-L18-L19-L21</f>
        <v>-7.82310962677002e-8</v>
      </c>
      <c r="M22" s="23">
        <f>M17-M18-M19-M21</f>
        <v>-8.195638656616211e-8</v>
      </c>
      <c r="N22" s="23">
        <f>N17-N18-N19-N21</f>
        <v>-8.009374141693115e-8</v>
      </c>
      <c r="O22" s="23">
        <f>O17-O18-O19-O21</f>
        <v>-8.009374141693115e-8</v>
      </c>
      <c r="P22" s="23">
        <f>P17-P18-P19-P21</f>
        <v>-8.381903171539307e-8</v>
      </c>
      <c r="Q22" s="23">
        <f>Q17-Q18-Q19-Q21</f>
        <v>-8.568167686462402e-8</v>
      </c>
      <c r="R22" s="23">
        <f>R17-R18-R19-R21</f>
        <v>-9.033828973770142e-8</v>
      </c>
      <c r="S22" s="23">
        <f>S17-S18-S19-S21</f>
        <v>-9.685754776000977e-8</v>
      </c>
      <c r="T22" s="23">
        <f>T17-T18-T19-T21</f>
        <v>-1.0058283805847168e-7</v>
      </c>
      <c r="U22" s="23">
        <f>U17-U18-U19-U21</f>
        <v>-1.0337680578231812e-7</v>
      </c>
      <c r="V22" s="23">
        <f>V17-V18-V19-V21</f>
        <v>-1.0337680578231812e-7</v>
      </c>
      <c r="W22" s="23">
        <f>W17-W18-W19-W21</f>
        <v>-9.918585419654846e-8</v>
      </c>
      <c r="X22" s="23">
        <f>X17-X18-X19-X21</f>
        <v>-1.0035000741481781e-7</v>
      </c>
      <c r="Y22" s="23">
        <f>Y17-Y18-Y19-Y21</f>
        <v>-9.592622518539429e-8</v>
      </c>
      <c r="Z22" s="23">
        <f>Z17-Z18-Z19-Z21</f>
        <v>-9.243376553058624e-8</v>
      </c>
      <c r="AA22" s="23">
        <f>AA17-AA18-AA19-AA21</f>
        <v>-9.033828973770142e-8</v>
      </c>
      <c r="AB22" s="23">
        <f>AB17-AB18-AB19-AB21</f>
        <v>-9.19681042432785e-8</v>
      </c>
      <c r="AC22" s="23">
        <f>AC17-AC18-AC19-AC21</f>
        <v>-8.847564458847046e-8</v>
      </c>
      <c r="AD22" s="23">
        <f>AD17-AD18-AD19-AD21</f>
        <v>-8.800998330116272e-8</v>
      </c>
      <c r="AE22" s="23">
        <f>AE17-AE18-AE19-AE21</f>
        <v>-8.568167686462402e-8</v>
      </c>
    </row>
    <row r="24">
      <c r="A24" s="5" t="inlineStr">
        <is>
          <t xml:space="preserve">P90 1-yr</t>
        </is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>
      <c r="A25" s="6" t="inlineStr">
        <is>
          <t xml:space="preserve">Net income</t>
        </is>
      </c>
      <c r="B25" s="10" t="inlineStr">
        <is>
          <t xml:space="preserve">€</t>
        </is>
      </c>
      <c r="F25" s="23">
        <f>Tax!F59-Tax!F75</f>
        <v>-642458.243147861</v>
      </c>
      <c r="G25" s="23">
        <f>Tax!G59-Tax!G75</f>
        <v>-2078536.3614774141</v>
      </c>
      <c r="H25" s="23">
        <f>Tax!H59-Tax!H75</f>
        <v>-2133915.5562656247</v>
      </c>
      <c r="I25" s="23">
        <f>Tax!I59-Tax!I75</f>
        <v>-2024508.4397510507</v>
      </c>
      <c r="J25" s="23">
        <f>Tax!J59-Tax!J75</f>
        <v>-1914734.8432902263</v>
      </c>
      <c r="K25" s="23">
        <f>Tax!K59-Tax!K75</f>
        <v>-1804385.2487401718</v>
      </c>
      <c r="L25" s="23">
        <f>Tax!L59-Tax!L75</f>
        <v>-1693709.99742832</v>
      </c>
      <c r="M25" s="23">
        <f>Tax!M59-Tax!M75</f>
        <v>-1582667.265268769</v>
      </c>
      <c r="N25" s="23">
        <f>Tax!N59-Tax!N75</f>
        <v>-1471418.282711092</v>
      </c>
      <c r="O25" s="23">
        <f>Tax!O59-Tax!O75</f>
        <v>-1359634.5265846415</v>
      </c>
      <c r="P25" s="23">
        <f>Tax!P59-Tax!P75</f>
        <v>-1371761.8115622713</v>
      </c>
      <c r="Q25" s="23">
        <f>Tax!Q59-Tax!Q75</f>
        <v>-1262117.3769027418</v>
      </c>
      <c r="R25" s="23">
        <f>Tax!R59-Tax!R75</f>
        <v>-1152568.556753507</v>
      </c>
      <c r="S25" s="23">
        <f>Tax!S59-Tax!S75</f>
        <v>-1042610.9736526293</v>
      </c>
      <c r="T25" s="23">
        <f>Tax!T59-Tax!T75</f>
        <v>-932858.4826383155</v>
      </c>
      <c r="U25" s="23">
        <f>Tax!U59-Tax!U75</f>
        <v>-823210.3387852821</v>
      </c>
      <c r="V25" s="23">
        <f>Tax!V59-Tax!V75</f>
        <v>1099888.3891977305</v>
      </c>
      <c r="W25" s="23">
        <f>Tax!W59-Tax!W75</f>
        <v>2921893.9143906385</v>
      </c>
      <c r="X25" s="23">
        <f>Tax!X59-Tax!X75</f>
        <v>3025439.5872012964</v>
      </c>
      <c r="Y25" s="23">
        <f>Tax!Y59-Tax!Y75</f>
        <v>3105191.7057853676</v>
      </c>
      <c r="Z25" s="23">
        <f>Tax!Z59-Tax!Z75</f>
        <v>3068925.233885943</v>
      </c>
      <c r="AA25" s="23">
        <f>Tax!AA59-Tax!AA75</f>
        <v>3107354.31551819</v>
      </c>
      <c r="AB25" s="23">
        <f>Tax!AB59-Tax!AB75</f>
        <v>3144515.7937057335</v>
      </c>
      <c r="AC25" s="23">
        <f>Tax!AC59-Tax!AC75</f>
        <v>3180630.822653532</v>
      </c>
      <c r="AD25" s="23">
        <f>Tax!AD59-Tax!AD75</f>
        <v>3150656.8842076105</v>
      </c>
      <c r="AE25" s="23">
        <f>Tax!AE59-Tax!AE75</f>
        <v>1572084.0033420855</v>
      </c>
    </row>
    <row r="26">
      <c r="A26" s="6" t="inlineStr">
        <is>
          <t xml:space="preserve">Depreciation to date</t>
        </is>
      </c>
      <c r="B26" s="10" t="inlineStr">
        <is>
          <t xml:space="preserve">€</t>
        </is>
      </c>
      <c r="E26" s="9">
        <v>0</v>
      </c>
      <c r="F26" s="23">
        <f>E26+Tax!F57</f>
        <v>1819758.4576594748</v>
      </c>
      <c r="G26" s="23">
        <f>F26+Tax!G57</f>
        <v>5459275.372978425</v>
      </c>
      <c r="H26" s="23">
        <f>G26+Tax!H57</f>
        <v>9098792.288297374</v>
      </c>
      <c r="I26" s="23">
        <f>H26+Tax!I57</f>
        <v>12738309.203616323</v>
      </c>
      <c r="J26" s="23">
        <f>I26+Tax!J57</f>
        <v>16377826.118935272</v>
      </c>
      <c r="K26" s="23">
        <f>J26+Tax!K57</f>
        <v>20017343.034254223</v>
      </c>
      <c r="L26" s="23">
        <f>K26+Tax!L57</f>
        <v>23656859.94957317</v>
      </c>
      <c r="M26" s="23">
        <f>L26+Tax!M57</f>
        <v>27296376.864892118</v>
      </c>
      <c r="N26" s="23">
        <f>M26+Tax!N57</f>
        <v>30935893.780211065</v>
      </c>
      <c r="O26" s="23">
        <f>N26+Tax!O57</f>
        <v>34575410.69553001</v>
      </c>
      <c r="P26" s="23">
        <f>O26+Tax!P57</f>
        <v>38214927.61084896</v>
      </c>
      <c r="Q26" s="23">
        <f>P26+Tax!Q57</f>
        <v>41854444.526167914</v>
      </c>
      <c r="R26" s="23">
        <f>Q26+Tax!R57</f>
        <v>45493961.441486865</v>
      </c>
      <c r="S26" s="23">
        <f>R26+Tax!S57</f>
        <v>49133478.35680582</v>
      </c>
      <c r="T26" s="23">
        <f>S26+Tax!T57</f>
        <v>52772995.27212477</v>
      </c>
      <c r="U26" s="23">
        <f>T26+Tax!U57</f>
        <v>56412512.18744372</v>
      </c>
      <c r="V26" s="23">
        <f>U26+Tax!V57</f>
        <v>58232270.645103194</v>
      </c>
      <c r="W26" s="23">
        <f>V26+Tax!W57</f>
        <v>58232270.645103194</v>
      </c>
      <c r="X26" s="23">
        <f>W26+Tax!X57</f>
        <v>58232270.645103194</v>
      </c>
      <c r="Y26" s="23">
        <f>X26+Tax!Y57</f>
        <v>58232270.645103194</v>
      </c>
      <c r="Z26" s="23">
        <f>Y26+Tax!Z57</f>
        <v>58232270.645103194</v>
      </c>
      <c r="AA26" s="23">
        <f>Z26+Tax!AA57</f>
        <v>58232270.645103194</v>
      </c>
      <c r="AB26" s="23">
        <f>AA26+Tax!AB57</f>
        <v>58232270.645103194</v>
      </c>
      <c r="AC26" s="23">
        <f>AB26+Tax!AC57</f>
        <v>58232270.645103194</v>
      </c>
      <c r="AD26" s="23">
        <f>AC26+Tax!AD57</f>
        <v>58232270.645103194</v>
      </c>
      <c r="AE26" s="23">
        <f>AD26+Tax!AE57</f>
        <v>58232270.645103194</v>
      </c>
    </row>
    <row r="27">
      <c r="A27" s="6" t="inlineStr">
        <is>
          <t xml:space="preserve">Net income to date</t>
        </is>
      </c>
      <c r="B27" s="10" t="inlineStr">
        <is>
          <t xml:space="preserve">€</t>
        </is>
      </c>
      <c r="E27" s="9">
        <v>0</v>
      </c>
      <c r="F27" s="23">
        <f>E27+F25</f>
        <v>-642458.243147861</v>
      </c>
      <c r="G27" s="23">
        <f>F27+G25</f>
        <v>-2720994.6046252754</v>
      </c>
      <c r="H27" s="23">
        <f>G27+H25</f>
        <v>-4854910.1608909</v>
      </c>
      <c r="I27" s="23">
        <f>H27+I25</f>
        <v>-6879418.60064195</v>
      </c>
      <c r="J27" s="23">
        <f>I27+J25</f>
        <v>-8794153.443932176</v>
      </c>
      <c r="K27" s="23">
        <f>J27+K25</f>
        <v>-10598538.692672348</v>
      </c>
      <c r="L27" s="23">
        <f>K27+L25</f>
        <v>-12292248.690100668</v>
      </c>
      <c r="M27" s="23">
        <f>L27+M25</f>
        <v>-13874915.955369437</v>
      </c>
      <c r="N27" s="23">
        <f>M27+N25</f>
        <v>-15346334.23808053</v>
      </c>
      <c r="O27" s="23">
        <f>N27+O25</f>
        <v>-16705968.764665172</v>
      </c>
      <c r="P27" s="23">
        <f>O27+P25</f>
        <v>-18077730.57622744</v>
      </c>
      <c r="Q27" s="23">
        <f>P27+Q25</f>
        <v>-19339847.953130182</v>
      </c>
      <c r="R27" s="23">
        <f>Q27+R25</f>
        <v>-20492416.509883687</v>
      </c>
      <c r="S27" s="23">
        <f>R27+S25</f>
        <v>-21535027.483536318</v>
      </c>
      <c r="T27" s="23">
        <f>S27+T25</f>
        <v>-22467885.966174632</v>
      </c>
      <c r="U27" s="23">
        <f>T27+U25</f>
        <v>-23291096.304959916</v>
      </c>
      <c r="V27" s="23">
        <f>U27+V25</f>
        <v>-22191207.915762186</v>
      </c>
      <c r="W27" s="23">
        <f>V27+W25</f>
        <v>-19269314.001371548</v>
      </c>
      <c r="X27" s="23">
        <f>W27+X25</f>
        <v>-16243874.41417025</v>
      </c>
      <c r="Y27" s="23">
        <f>X27+Y25</f>
        <v>-13138682.708384883</v>
      </c>
      <c r="Z27" s="23">
        <f>Y27+Z25</f>
        <v>-10069757.474498939</v>
      </c>
      <c r="AA27" s="23">
        <f>Z27+AA25</f>
        <v>-6962403.158980749</v>
      </c>
      <c r="AB27" s="23">
        <f>AA27+AB25</f>
        <v>-3817887.365275015</v>
      </c>
      <c r="AC27" s="23">
        <f>AB27+AC25</f>
        <v>-637256.5426214831</v>
      </c>
      <c r="AD27" s="23">
        <f>AC27+AD25</f>
        <v>2513400.3415861274</v>
      </c>
      <c r="AE27" s="23">
        <f>AD27+AE25</f>
        <v>4085484.344928213</v>
      </c>
    </row>
    <row r="28">
      <c r="A28" s="6" t="inlineStr">
        <is>
          <t xml:space="preserve">Cash to equity to date</t>
        </is>
      </c>
      <c r="B28" s="10" t="inlineStr">
        <is>
          <t xml:space="preserve">€</t>
        </is>
      </c>
      <c r="E28" s="9">
        <v>0</v>
      </c>
      <c r="F28" s="23">
        <f>E28+Waterfall!F82</f>
        <v>1267942.8763883635</v>
      </c>
      <c r="G28" s="23">
        <f>F28+Waterfall!G82</f>
        <v>2916391.965174007</v>
      </c>
      <c r="H28" s="23">
        <f>G28+Waterfall!H82</f>
        <v>3252521.7217368428</v>
      </c>
      <c r="I28" s="23">
        <f>H28+Waterfall!I82</f>
        <v>3689941.562217136</v>
      </c>
      <c r="J28" s="23">
        <f>I28+Waterfall!J82</f>
        <v>4241738.758915565</v>
      </c>
      <c r="K28" s="23">
        <f>J28+Waterfall!K82</f>
        <v>4905825.309267383</v>
      </c>
      <c r="L28" s="23">
        <f>K28+Waterfall!L82</f>
        <v>5685960.932467442</v>
      </c>
      <c r="M28" s="23">
        <f>L28+Waterfall!M82</f>
        <v>6582030.707318669</v>
      </c>
      <c r="N28" s="23">
        <f>M28+Waterfall!N82</f>
        <v>7595950.628408009</v>
      </c>
      <c r="O28" s="23">
        <f>N28+Waterfall!O82</f>
        <v>8725475.535323469</v>
      </c>
      <c r="P28" s="23">
        <f>O28+Waterfall!P82</f>
        <v>9850590.406611754</v>
      </c>
      <c r="Q28" s="23">
        <f>P28+Waterfall!Q82</f>
        <v>11092736.741260424</v>
      </c>
      <c r="R28" s="23">
        <f>Q28+Waterfall!R82</f>
        <v>12453919.055474937</v>
      </c>
      <c r="S28" s="23">
        <f>R28+Waterfall!S82</f>
        <v>13931672.564418238</v>
      </c>
      <c r="T28" s="23">
        <f>S28+Waterfall!T82</f>
        <v>15530274.014574535</v>
      </c>
      <c r="U28" s="23">
        <f>T28+Waterfall!U82</f>
        <v>17249531.354018476</v>
      </c>
      <c r="V28" s="23">
        <f>U28+Waterfall!V82</f>
        <v>19085769.072390083</v>
      </c>
      <c r="W28" s="23">
        <f>V28+Waterfall!W82</f>
        <v>20934962.449870437</v>
      </c>
      <c r="X28" s="23">
        <f>W28+Waterfall!X82</f>
        <v>23200977.222318534</v>
      </c>
      <c r="Y28" s="23">
        <f>X28+Waterfall!Y82</f>
        <v>26463079.14451276</v>
      </c>
      <c r="Z28" s="23">
        <f>Y28+Waterfall!Z82</f>
        <v>29257817.72141835</v>
      </c>
      <c r="AA28" s="23">
        <f>Z28+Waterfall!AA82</f>
        <v>32107643.666765295</v>
      </c>
      <c r="AB28" s="23">
        <f>AA28+Waterfall!AB82</f>
        <v>35017517.111314386</v>
      </c>
      <c r="AC28" s="23">
        <f>AB28+Waterfall!AC82</f>
        <v>37987230.64197309</v>
      </c>
      <c r="AD28" s="23">
        <f>AC28+Waterfall!AD82</f>
        <v>41023152.7507276</v>
      </c>
      <c r="AE28" s="23">
        <f>AD28+Waterfall!AE82</f>
        <v>42756749.367950745</v>
      </c>
    </row>
    <row r="29">
      <c r="A29" s="6" t="inlineStr">
        <is>
          <t xml:space="preserve">Wind farm (book value)</t>
        </is>
      </c>
      <c r="B29" s="10" t="inlineStr">
        <is>
          <t xml:space="preserve">€</t>
        </is>
      </c>
      <c r="F29" s="23">
        <f>Construction!$C$48-F26</f>
        <v>56412512.18744372</v>
      </c>
      <c r="G29" s="23">
        <f>Construction!$C$48-G26</f>
        <v>52772995.27212477</v>
      </c>
      <c r="H29" s="23">
        <f>Construction!$C$48-H26</f>
        <v>49133478.35680582</v>
      </c>
      <c r="I29" s="23">
        <f>Construction!$C$48-I26</f>
        <v>45493961.44148687</v>
      </c>
      <c r="J29" s="23">
        <f>Construction!$C$48-J26</f>
        <v>41854444.52616792</v>
      </c>
      <c r="K29" s="23">
        <f>Construction!$C$48-K26</f>
        <v>38214927.61084897</v>
      </c>
      <c r="L29" s="23">
        <f>Construction!$C$48-L26</f>
        <v>34575410.69553003</v>
      </c>
      <c r="M29" s="23">
        <f>Construction!$C$48-M26</f>
        <v>30935893.780211076</v>
      </c>
      <c r="N29" s="23">
        <f>Construction!$C$48-N26</f>
        <v>27296376.86489213</v>
      </c>
      <c r="O29" s="23">
        <f>Construction!$C$48-O26</f>
        <v>23656859.94957318</v>
      </c>
      <c r="P29" s="23">
        <f>Construction!$C$48-P26</f>
        <v>20017343.03425423</v>
      </c>
      <c r="Q29" s="23">
        <f>Construction!$C$48-Q26</f>
        <v>16377826.11893528</v>
      </c>
      <c r="R29" s="23">
        <f>Construction!$C$48-R26</f>
        <v>12738309.203616329</v>
      </c>
      <c r="S29" s="23">
        <f>Construction!$C$48-S26</f>
        <v>9098792.288297378</v>
      </c>
      <c r="T29" s="23">
        <f>Construction!$C$48-T26</f>
        <v>5459275.3729784265</v>
      </c>
      <c r="U29" s="23">
        <f>Construction!$C$48-U26</f>
        <v>1819758.4576594755</v>
      </c>
      <c r="V29" s="23">
        <f>Construction!$C$48-V26</f>
        <v>0</v>
      </c>
      <c r="W29" s="23">
        <f>Construction!$C$48-W26</f>
        <v>0</v>
      </c>
      <c r="X29" s="23">
        <f>Construction!$C$48-X26</f>
        <v>0</v>
      </c>
      <c r="Y29" s="23">
        <f>Construction!$C$48-Y26</f>
        <v>0</v>
      </c>
      <c r="Z29" s="23">
        <f>Construction!$C$48-Z26</f>
        <v>0</v>
      </c>
      <c r="AA29" s="23">
        <f>Construction!$C$48-AA26</f>
        <v>0</v>
      </c>
      <c r="AB29" s="23">
        <f>Construction!$C$48-AB26</f>
        <v>0</v>
      </c>
      <c r="AC29" s="23">
        <f>Construction!$C$48-AC26</f>
        <v>0</v>
      </c>
      <c r="AD29" s="23">
        <f>Construction!$C$48-AD26</f>
        <v>0</v>
      </c>
      <c r="AE29" s="23">
        <f>Construction!$C$48-AE26</f>
        <v>0</v>
      </c>
    </row>
    <row r="30">
      <c r="A30" s="6" t="inlineStr">
        <is>
          <t xml:space="preserve">Receivables</t>
        </is>
      </c>
      <c r="B30" s="10" t="inlineStr">
        <is>
          <t xml:space="preserve">€</t>
        </is>
      </c>
      <c r="F30" s="45">
        <f>Operations!F114</f>
        <v>416346.6520970571</v>
      </c>
      <c r="G30" s="45">
        <f>Operations!G114</f>
        <v>348642.95816960535</v>
      </c>
      <c r="H30" s="45">
        <f>Operations!H114</f>
        <v>343401.4756587894</v>
      </c>
      <c r="I30" s="45">
        <f>Operations!I114</f>
        <v>349568.9661616212</v>
      </c>
      <c r="J30" s="45">
        <f>Operations!J114</f>
        <v>354874.9646168515</v>
      </c>
      <c r="K30" s="45">
        <f>Operations!K114</f>
        <v>362238.24095118215</v>
      </c>
      <c r="L30" s="45">
        <f>Operations!L114</f>
        <v>368744.03975866537</v>
      </c>
      <c r="M30" s="45">
        <f>Operations!M114</f>
        <v>375366.6827127309</v>
      </c>
      <c r="N30" s="45">
        <f>Operations!N114</f>
        <v>381064.25667213614</v>
      </c>
      <c r="O30" s="45">
        <f>Operations!O114</f>
        <v>388970.93283353484</v>
      </c>
      <c r="P30" s="45">
        <f>Operations!P114</f>
        <v>395956.85078722495</v>
      </c>
      <c r="Q30" s="45">
        <f>Operations!Q114</f>
        <v>403068.23582736356</v>
      </c>
      <c r="R30" s="45">
        <f>Operations!R114</f>
        <v>409186.28303314315</v>
      </c>
      <c r="S30" s="45">
        <f>Operations!S114</f>
        <v>417676.46119334025</v>
      </c>
      <c r="T30" s="45">
        <f>Operations!T114</f>
        <v>425177.93043637264</v>
      </c>
      <c r="U30" s="45">
        <f>Operations!U114</f>
        <v>432814.1260670097</v>
      </c>
      <c r="V30" s="45">
        <f>Operations!V114</f>
        <v>439383.6768756235</v>
      </c>
      <c r="W30" s="45">
        <f>Operations!W114</f>
        <v>448500.41869234346</v>
      </c>
      <c r="X30" s="45">
        <f>Operations!X114</f>
        <v>456555.486212058</v>
      </c>
      <c r="Y30" s="45">
        <f>Operations!Y114</f>
        <v>464755.2227444266</v>
      </c>
      <c r="Z30" s="45">
        <f>Operations!Z114</f>
        <v>471809.5975106407</v>
      </c>
      <c r="AA30" s="45">
        <f>Operations!AA114</f>
        <v>481599.14253366314</v>
      </c>
      <c r="AB30" s="45">
        <f>Operations!AB114</f>
        <v>490248.6631335678</v>
      </c>
      <c r="AC30" s="45">
        <f>Operations!AC114</f>
        <v>499053.52912344673</v>
      </c>
      <c r="AD30" s="45">
        <f>Operations!AD114</f>
        <v>506628.50719910895</v>
      </c>
      <c r="AE30" s="45">
        <f>Operations!AE114</f>
        <v>0</v>
      </c>
    </row>
    <row r="31">
      <c r="A31" s="6" t="inlineStr">
        <is>
          <t xml:space="preserve">Debt service reserve</t>
        </is>
      </c>
      <c r="B31" s="10" t="inlineStr">
        <is>
          <t xml:space="preserve">€</t>
        </is>
      </c>
      <c r="F31" s="45">
        <f>Waterfall!F78</f>
        <v>573287.0601285857</v>
      </c>
      <c r="G31" s="45">
        <f>Waterfall!G78</f>
        <v>573287.0601285857</v>
      </c>
      <c r="H31" s="45">
        <f>Waterfall!H78</f>
        <v>557054.2618926666</v>
      </c>
      <c r="I31" s="45">
        <f>Waterfall!I78</f>
        <v>540821.4636567476</v>
      </c>
      <c r="J31" s="45">
        <f>Waterfall!J78</f>
        <v>524588.6654208285</v>
      </c>
      <c r="K31" s="45">
        <f>Waterfall!K78</f>
        <v>508355.8671849094</v>
      </c>
      <c r="L31" s="45">
        <f>Waterfall!L78</f>
        <v>492123.06894899043</v>
      </c>
      <c r="M31" s="45">
        <f>Waterfall!M78</f>
        <v>475890.27071307134</v>
      </c>
      <c r="N31" s="45">
        <f>Waterfall!N78</f>
        <v>459657.47247715236</v>
      </c>
      <c r="O31" s="45">
        <f>Waterfall!O78</f>
        <v>443424.67424123327</v>
      </c>
      <c r="P31" s="45">
        <f>Waterfall!P78</f>
        <v>427191.87600531423</v>
      </c>
      <c r="Q31" s="45">
        <f>Waterfall!Q78</f>
        <v>410959.07776939514</v>
      </c>
      <c r="R31" s="45">
        <f>Waterfall!R78</f>
        <v>394726.2795334761</v>
      </c>
      <c r="S31" s="45">
        <f>Waterfall!S78</f>
        <v>378493.48129755707</v>
      </c>
      <c r="T31" s="45">
        <f>Waterfall!T78</f>
        <v>362260.68306163803</v>
      </c>
      <c r="U31" s="45">
        <f>Waterfall!U78</f>
        <v>346027.88482571894</v>
      </c>
      <c r="V31" s="45">
        <f>Waterfall!V78</f>
        <v>329795.0865897999</v>
      </c>
      <c r="W31" s="45">
        <f>Waterfall!W78</f>
        <v>313562.2883538849</v>
      </c>
      <c r="X31" s="45">
        <f>Waterfall!X78</f>
        <v>0</v>
      </c>
      <c r="Y31" s="45">
        <f>Waterfall!Y78</f>
        <v>0</v>
      </c>
      <c r="Z31" s="45">
        <f>Waterfall!Z78</f>
        <v>0</v>
      </c>
      <c r="AA31" s="45">
        <f>Waterfall!AA78</f>
        <v>0</v>
      </c>
      <c r="AB31" s="45">
        <f>Waterfall!AB78</f>
        <v>0</v>
      </c>
      <c r="AC31" s="45">
        <f>Waterfall!AC78</f>
        <v>0</v>
      </c>
      <c r="AD31" s="45">
        <f>Waterfall!AD78</f>
        <v>0</v>
      </c>
      <c r="AE31" s="45">
        <f>Waterfall!AE78</f>
        <v>0</v>
      </c>
    </row>
    <row r="32">
      <c r="A32" s="6" t="inlineStr">
        <is>
          <t xml:space="preserve">Decommissioning reserve</t>
        </is>
      </c>
      <c r="B32" s="10" t="inlineStr">
        <is>
          <t xml:space="preserve">€</t>
        </is>
      </c>
      <c r="F32" s="45">
        <f>Waterfall!F79</f>
        <v>0</v>
      </c>
      <c r="G32" s="45">
        <f>Waterfall!G79</f>
        <v>0</v>
      </c>
      <c r="H32" s="45">
        <f>Waterfall!H79</f>
        <v>0</v>
      </c>
      <c r="I32" s="45">
        <f>Waterfall!I79</f>
        <v>0</v>
      </c>
      <c r="J32" s="45">
        <f>Waterfall!J79</f>
        <v>0</v>
      </c>
      <c r="K32" s="45">
        <f>Waterfall!K79</f>
        <v>0</v>
      </c>
      <c r="L32" s="45">
        <f>Waterfall!L79</f>
        <v>0</v>
      </c>
      <c r="M32" s="45">
        <f>Waterfall!M79</f>
        <v>0</v>
      </c>
      <c r="N32" s="45">
        <f>Waterfall!N79</f>
        <v>0</v>
      </c>
      <c r="O32" s="45">
        <f>Waterfall!O79</f>
        <v>0</v>
      </c>
      <c r="P32" s="45">
        <f>Waterfall!P79</f>
        <v>0</v>
      </c>
      <c r="Q32" s="45">
        <f>Waterfall!Q79</f>
        <v>0</v>
      </c>
      <c r="R32" s="45">
        <f>Waterfall!R79</f>
        <v>0</v>
      </c>
      <c r="S32" s="45">
        <f>Waterfall!S79</f>
        <v>0</v>
      </c>
      <c r="T32" s="45">
        <f>Waterfall!T79</f>
        <v>0</v>
      </c>
      <c r="U32" s="45">
        <f>Waterfall!U79</f>
        <v>0</v>
      </c>
      <c r="V32" s="45">
        <f>Waterfall!V79</f>
        <v>0</v>
      </c>
      <c r="W32" s="45">
        <f>Waterfall!W79</f>
        <v>0</v>
      </c>
      <c r="X32" s="45">
        <f>Waterfall!X79</f>
        <v>0</v>
      </c>
      <c r="Y32" s="45">
        <f>Waterfall!Y79</f>
        <v>0</v>
      </c>
      <c r="Z32" s="45">
        <f>Waterfall!Z79</f>
        <v>450690.3190348829</v>
      </c>
      <c r="AA32" s="45">
        <f>Waterfall!AA79</f>
        <v>901380.6380697659</v>
      </c>
      <c r="AB32" s="45">
        <f>Waterfall!AB79</f>
        <v>1352070.9571046487</v>
      </c>
      <c r="AC32" s="45">
        <f>Waterfall!AC79</f>
        <v>1802761.2761395315</v>
      </c>
      <c r="AD32" s="45">
        <f>Waterfall!AD79</f>
        <v>2253451.5951744146</v>
      </c>
      <c r="AE32" s="45">
        <f>Waterfall!AE79</f>
        <v>0</v>
      </c>
    </row>
    <row r="33">
      <c r="A33" s="6" t="inlineStr">
        <is>
          <t xml:space="preserve">Cash held back</t>
        </is>
      </c>
      <c r="B33" s="10" t="inlineStr">
        <is>
          <t xml:space="preserve">€</t>
        </is>
      </c>
      <c r="F33" s="45">
        <f>Waterfall!F80</f>
        <v>0</v>
      </c>
      <c r="G33" s="45">
        <f>Waterfall!G80</f>
        <v>0</v>
      </c>
      <c r="H33" s="45">
        <f>Waterfall!H80</f>
        <v>0</v>
      </c>
      <c r="I33" s="45">
        <f>Waterfall!I80</f>
        <v>0</v>
      </c>
      <c r="J33" s="45">
        <f>Waterfall!J80</f>
        <v>0</v>
      </c>
      <c r="K33" s="45">
        <f>Waterfall!K80</f>
        <v>0</v>
      </c>
      <c r="L33" s="45">
        <f>Waterfall!L80</f>
        <v>0</v>
      </c>
      <c r="M33" s="45">
        <f>Waterfall!M80</f>
        <v>0</v>
      </c>
      <c r="N33" s="45">
        <f>Waterfall!N80</f>
        <v>0</v>
      </c>
      <c r="O33" s="45">
        <f>Waterfall!O80</f>
        <v>0</v>
      </c>
      <c r="P33" s="45">
        <f>Waterfall!P80</f>
        <v>0</v>
      </c>
      <c r="Q33" s="45">
        <f>Waterfall!Q80</f>
        <v>0</v>
      </c>
      <c r="R33" s="45">
        <f>Waterfall!R80</f>
        <v>0</v>
      </c>
      <c r="S33" s="45">
        <f>Waterfall!S80</f>
        <v>0</v>
      </c>
      <c r="T33" s="45">
        <f>Waterfall!T80</f>
        <v>0</v>
      </c>
      <c r="U33" s="45">
        <f>Waterfall!U80</f>
        <v>0</v>
      </c>
      <c r="V33" s="45">
        <f>Waterfall!V80</f>
        <v>0</v>
      </c>
      <c r="W33" s="45">
        <f>Waterfall!W80</f>
        <v>0</v>
      </c>
      <c r="X33" s="45">
        <f>Waterfall!X80</f>
        <v>0</v>
      </c>
      <c r="Y33" s="45">
        <f>Waterfall!Y80</f>
        <v>0</v>
      </c>
      <c r="Z33" s="45">
        <f>Waterfall!Z80</f>
        <v>0</v>
      </c>
      <c r="AA33" s="45">
        <f>Waterfall!AA80</f>
        <v>0</v>
      </c>
      <c r="AB33" s="45">
        <f>Waterfall!AB80</f>
        <v>0</v>
      </c>
      <c r="AC33" s="45">
        <f>Waterfall!AC80</f>
        <v>0</v>
      </c>
      <c r="AD33" s="45">
        <f>Waterfall!AD80</f>
        <v>0</v>
      </c>
      <c r="AE33" s="45">
        <f>Waterfall!AE80</f>
        <v>0</v>
      </c>
    </row>
    <row r="34">
      <c r="A34" s="6" t="inlineStr">
        <is>
          <t xml:space="preserve">Unpaid cash (negative)</t>
        </is>
      </c>
      <c r="B34" s="10" t="inlineStr">
        <is>
          <t xml:space="preserve">€</t>
        </is>
      </c>
      <c r="F34" s="45">
        <f>Waterfall!F81</f>
        <v>0</v>
      </c>
      <c r="G34" s="45">
        <f>Waterfall!G81</f>
        <v>0</v>
      </c>
      <c r="H34" s="45">
        <f>Waterfall!H81</f>
        <v>0</v>
      </c>
      <c r="I34" s="45">
        <f>Waterfall!I81</f>
        <v>0</v>
      </c>
      <c r="J34" s="45">
        <f>Waterfall!J81</f>
        <v>0</v>
      </c>
      <c r="K34" s="45">
        <f>Waterfall!K81</f>
        <v>0</v>
      </c>
      <c r="L34" s="45">
        <f>Waterfall!L81</f>
        <v>0</v>
      </c>
      <c r="M34" s="45">
        <f>Waterfall!M81</f>
        <v>0</v>
      </c>
      <c r="N34" s="45">
        <f>Waterfall!N81</f>
        <v>0</v>
      </c>
      <c r="O34" s="45">
        <f>Waterfall!O81</f>
        <v>0</v>
      </c>
      <c r="P34" s="45">
        <f>Waterfall!P81</f>
        <v>0</v>
      </c>
      <c r="Q34" s="45">
        <f>Waterfall!Q81</f>
        <v>0</v>
      </c>
      <c r="R34" s="45">
        <f>Waterfall!R81</f>
        <v>0</v>
      </c>
      <c r="S34" s="45">
        <f>Waterfall!S81</f>
        <v>0</v>
      </c>
      <c r="T34" s="45">
        <f>Waterfall!T81</f>
        <v>0</v>
      </c>
      <c r="U34" s="45">
        <f>Waterfall!U81</f>
        <v>0</v>
      </c>
      <c r="V34" s="45">
        <f>Waterfall!V81</f>
        <v>0</v>
      </c>
      <c r="W34" s="45">
        <f>Waterfall!W81</f>
        <v>0</v>
      </c>
      <c r="X34" s="45">
        <f>Waterfall!X81</f>
        <v>0</v>
      </c>
      <c r="Y34" s="45">
        <f>Waterfall!Y81</f>
        <v>0</v>
      </c>
      <c r="Z34" s="45">
        <f>Waterfall!Z81</f>
        <v>0</v>
      </c>
      <c r="AA34" s="45">
        <f>Waterfall!AA81</f>
        <v>0</v>
      </c>
      <c r="AB34" s="45">
        <f>Waterfall!AB81</f>
        <v>0</v>
      </c>
      <c r="AC34" s="45">
        <f>Waterfall!AC81</f>
        <v>0</v>
      </c>
      <c r="AD34" s="45">
        <f>Waterfall!AD81</f>
        <v>0</v>
      </c>
      <c r="AE34" s="45">
        <f>Waterfall!AE81</f>
        <v>0</v>
      </c>
    </row>
    <row r="35">
      <c r="A35" s="41" t="inlineStr">
        <is>
          <t xml:space="preserve">Total assets</t>
        </is>
      </c>
      <c r="B35" s="10" t="inlineStr">
        <is>
          <t xml:space="preserve">€</t>
        </is>
      </c>
      <c r="F35" s="42">
        <f>F29+F30+F31+F32+F33+F34</f>
        <v>57402145.89966936</v>
      </c>
      <c r="G35" s="42">
        <f>G29+G30+G31+G32+G33+G34</f>
        <v>53694925.29042295</v>
      </c>
      <c r="H35" s="42">
        <f>H29+H30+H31+H32+H33+H34</f>
        <v>50033934.094357274</v>
      </c>
      <c r="I35" s="42">
        <f>I29+I30+I31+I32+I33+I34</f>
        <v>46384351.87130524</v>
      </c>
      <c r="J35" s="42">
        <f>J29+J30+J31+J32+J33+J34</f>
        <v>42733908.1562056</v>
      </c>
      <c r="K35" s="42">
        <f>K29+K30+K31+K32+K33+K34</f>
        <v>39085521.71898506</v>
      </c>
      <c r="L35" s="42">
        <f>L29+L30+L31+L32+L33+L34</f>
        <v>35436277.804237686</v>
      </c>
      <c r="M35" s="42">
        <f>M29+M30+M31+M32+M33+M34</f>
        <v>31787150.73363688</v>
      </c>
      <c r="N35" s="42">
        <f>N29+N30+N31+N32+N33+N34</f>
        <v>28137098.59404142</v>
      </c>
      <c r="O35" s="42">
        <f>O29+O30+O31+O32+O33+O34</f>
        <v>24489255.55664795</v>
      </c>
      <c r="P35" s="42">
        <f>P29+P30+P31+P32+P33+P34</f>
        <v>20840491.76104677</v>
      </c>
      <c r="Q35" s="42">
        <f>Q29+Q30+Q31+Q32+Q33+Q34</f>
        <v>17191853.43253204</v>
      </c>
      <c r="R35" s="42">
        <f>R29+R30+R31+R32+R33+R34</f>
        <v>13542221.766182948</v>
      </c>
      <c r="S35" s="42">
        <f>S29+S30+S31+S32+S33+S34</f>
        <v>9894962.230788274</v>
      </c>
      <c r="T35" s="42">
        <f>T29+T30+T31+T32+T33+T34</f>
        <v>6246713.986476437</v>
      </c>
      <c r="U35" s="42">
        <f>U29+U30+U31+U32+U33+U34</f>
        <v>2598600.4685522043</v>
      </c>
      <c r="V35" s="42">
        <f>V29+V30+V31+V32+V33+V34</f>
        <v>769178.7634654234</v>
      </c>
      <c r="W35" s="42">
        <f>W29+W30+W31+W32+W33+W34</f>
        <v>762062.7070462283</v>
      </c>
      <c r="X35" s="42">
        <f>X29+X30+X31+X32+X33+X34</f>
        <v>456555.486212058</v>
      </c>
      <c r="Y35" s="42">
        <f>Y29+Y30+Y31+Y32+Y33+Y34</f>
        <v>464755.2227444266</v>
      </c>
      <c r="Z35" s="42">
        <f>Z29+Z30+Z31+Z32+Z33+Z34</f>
        <v>922499.9165455236</v>
      </c>
      <c r="AA35" s="42">
        <f>AA29+AA30+AA31+AA32+AA33+AA34</f>
        <v>1382979.780603429</v>
      </c>
      <c r="AB35" s="42">
        <f>AB29+AB30+AB31+AB32+AB33+AB34</f>
        <v>1842319.6202382166</v>
      </c>
      <c r="AC35" s="42">
        <f>AC29+AC30+AC31+AC32+AC33+AC34</f>
        <v>2301814.805262978</v>
      </c>
      <c r="AD35" s="42">
        <f>AD29+AD30+AD31+AD32+AD33+AD34</f>
        <v>2760080.1023735236</v>
      </c>
      <c r="AE35" s="42">
        <f>AE29+AE30+AE31+AE32+AE33+AE34</f>
        <v>0</v>
      </c>
    </row>
    <row r="36">
      <c r="A36" s="6" t="inlineStr">
        <is>
          <t xml:space="preserve">Senior loan</t>
        </is>
      </c>
      <c r="B36" s="10" t="inlineStr">
        <is>
          <t xml:space="preserve">€</t>
        </is>
      </c>
      <c r="F36" s="45">
        <f>Debt!F12</f>
        <v>20632341.68303732</v>
      </c>
      <c r="G36" s="45">
        <f>Debt!G12</f>
        <v>20632341.68303732</v>
      </c>
      <c r="H36" s="45">
        <f>Debt!H12</f>
        <v>19418674.525211595</v>
      </c>
      <c r="I36" s="45">
        <f>Debt!I12</f>
        <v>18205007.36738587</v>
      </c>
      <c r="J36" s="45">
        <f>Debt!J12</f>
        <v>16991340.20956015</v>
      </c>
      <c r="K36" s="45">
        <f>Debt!K12</f>
        <v>15777673.051734425</v>
      </c>
      <c r="L36" s="45">
        <f>Debt!L12</f>
        <v>14564005.893908702</v>
      </c>
      <c r="M36" s="45">
        <f>Debt!M12</f>
        <v>13350338.736082979</v>
      </c>
      <c r="N36" s="45">
        <f>Debt!N12</f>
        <v>12136671.578257255</v>
      </c>
      <c r="O36" s="45">
        <f>Debt!O12</f>
        <v>10923004.420431532</v>
      </c>
      <c r="P36" s="45">
        <f>Debt!P12</f>
        <v>9709337.262605809</v>
      </c>
      <c r="Q36" s="45">
        <f>Debt!Q12</f>
        <v>8495670.104780085</v>
      </c>
      <c r="R36" s="45">
        <f>Debt!R12</f>
        <v>7282002.946954362</v>
      </c>
      <c r="S36" s="45">
        <f>Debt!S12</f>
        <v>6068335.789128639</v>
      </c>
      <c r="T36" s="45">
        <f>Debt!T12</f>
        <v>4854668.6313029155</v>
      </c>
      <c r="U36" s="45">
        <f>Debt!U12</f>
        <v>3641001.4734771913</v>
      </c>
      <c r="V36" s="45">
        <f>Debt!V12</f>
        <v>2427334.315651466</v>
      </c>
      <c r="W36" s="45">
        <f>Debt!W12</f>
        <v>1213667.157825741</v>
      </c>
      <c r="X36" s="45">
        <f>Debt!X12</f>
        <v>0</v>
      </c>
      <c r="Y36" s="45">
        <f>Debt!Y12</f>
        <v>0</v>
      </c>
      <c r="Z36" s="45">
        <f>Debt!Z12</f>
        <v>0</v>
      </c>
      <c r="AA36" s="45">
        <f>Debt!AA12</f>
        <v>0</v>
      </c>
      <c r="AB36" s="45">
        <f>Debt!AB12</f>
        <v>0</v>
      </c>
      <c r="AC36" s="45">
        <f>Debt!AC12</f>
        <v>0</v>
      </c>
      <c r="AD36" s="45">
        <f>Debt!AD12</f>
        <v>0</v>
      </c>
      <c r="AE36" s="45">
        <f>Debt!AE12</f>
        <v>0</v>
      </c>
    </row>
    <row r="37">
      <c r="A37" s="6" t="inlineStr">
        <is>
          <t xml:space="preserve">Decommissioning provision</t>
        </is>
      </c>
      <c r="B37" s="10" t="inlineStr">
        <is>
          <t xml:space="preserve">€</t>
        </is>
      </c>
      <c r="F37" s="23">
        <f>IF(Timing!F72=1,0,Tax!F9)</f>
        <v>8940.313145703616</v>
      </c>
      <c r="G37" s="23">
        <f>IF(Timing!G72=1,0,Tax!G9)</f>
        <v>28705.15416236045</v>
      </c>
      <c r="H37" s="23">
        <f>IF(Timing!H72=1,0,Tax!H9)</f>
        <v>51426.42875085992</v>
      </c>
      <c r="I37" s="23">
        <f>IF(Timing!I72=1,0,Tax!I9)</f>
        <v>77439.6437558924</v>
      </c>
      <c r="J37" s="23">
        <f>IF(Timing!J72=1,0,Tax!J9)</f>
        <v>107195.12647063406</v>
      </c>
      <c r="K37" s="23">
        <f>IF(Timing!K72=1,0,Tax!K9)</f>
        <v>140947.646167811</v>
      </c>
      <c r="L37" s="23">
        <f>IF(Timing!L72=1,0,Tax!L9)</f>
        <v>179216.50987453028</v>
      </c>
      <c r="M37" s="23">
        <f>IF(Timing!M72=1,0,Tax!M9)</f>
        <v>222493.6372194487</v>
      </c>
      <c r="N37" s="23">
        <f>IF(Timing!N72=1,0,Tax!N9)</f>
        <v>271446.8592501429</v>
      </c>
      <c r="O37" s="23">
        <f>IF(Timing!O72=1,0,Tax!O9)</f>
        <v>326430.4131824992</v>
      </c>
      <c r="P37" s="23">
        <f>IF(Timing!P72=1,0,Tax!P9)</f>
        <v>388210.458257602</v>
      </c>
      <c r="Q37" s="23">
        <f>IF(Timing!Q72=1,0,Tax!Q9)</f>
        <v>457502.9991200089</v>
      </c>
      <c r="R37" s="23">
        <f>IF(Timing!R72=1,0,Tax!R9)</f>
        <v>535289.3615646651</v>
      </c>
      <c r="S37" s="23">
        <f>IF(Timing!S72=1,0,Tax!S9)</f>
        <v>622061.4665916484</v>
      </c>
      <c r="T37" s="23">
        <f>IF(Timing!T72=1,0,Tax!T9)</f>
        <v>718940.3129001517</v>
      </c>
      <c r="U37" s="23">
        <f>IF(Timing!U72=1,0,Tax!U9)</f>
        <v>826961.6310308687</v>
      </c>
      <c r="V37" s="23">
        <f>IF(Timing!V72=1,0,Tax!V9)</f>
        <v>947556.4129436896</v>
      </c>
      <c r="W37" s="23">
        <f>IF(Timing!W72=1,0,Tax!W9)</f>
        <v>1081406.9774399346</v>
      </c>
      <c r="X37" s="23">
        <f>IF(Timing!X72=1,0,Tax!X9)</f>
        <v>1230142.0996783047</v>
      </c>
      <c r="Y37" s="23">
        <f>IF(Timing!Y72=1,0,Tax!Y9)</f>
        <v>1395252.052619535</v>
      </c>
      <c r="Z37" s="23">
        <f>IF(Timing!Z72=1,0,Tax!Z9)</f>
        <v>1578810.089440279</v>
      </c>
      <c r="AA37" s="23">
        <f>IF(Timing!AA72=1,0,Tax!AA9)</f>
        <v>1781761.58332694</v>
      </c>
      <c r="AB37" s="23">
        <f>IF(Timing!AB72=1,0,Tax!AB9)</f>
        <v>2006459.0738050842</v>
      </c>
      <c r="AC37" s="23">
        <f>IF(Timing!AC72=1,0,Tax!AC9)</f>
        <v>2255036.966835023</v>
      </c>
      <c r="AD37" s="23">
        <f>IF(Timing!AD72=1,0,Tax!AD9)</f>
        <v>2598567.488492467</v>
      </c>
      <c r="AE37" s="23">
        <f>IF(Timing!AE72=1,0,Tax!AE9)</f>
        <v>0</v>
      </c>
    </row>
    <row r="38">
      <c r="A38" s="6" t="inlineStr">
        <is>
          <t xml:space="preserve">Equity paid in</t>
        </is>
      </c>
      <c r="B38" s="10" t="inlineStr">
        <is>
          <t xml:space="preserve">€</t>
        </is>
      </c>
      <c r="C38" s="45">
        <f>Construction!$C$45</f>
        <v>38671265.02302264</v>
      </c>
    </row>
    <row r="39">
      <c r="A39" s="41" t="inlineStr">
        <is>
          <t xml:space="preserve">Book equity (model balance sheet, not an HGB test)</t>
        </is>
      </c>
      <c r="B39" s="10" t="inlineStr">
        <is>
          <t xml:space="preserve">€</t>
        </is>
      </c>
      <c r="F39" s="42">
        <f>$C$38-F28+F27</f>
        <v>36760863.903486416</v>
      </c>
      <c r="G39" s="42">
        <f>$C$38-G28+G27</f>
        <v>33033878.453223355</v>
      </c>
      <c r="H39" s="42">
        <f>$C$38-H28+H27</f>
        <v>30563833.140394896</v>
      </c>
      <c r="I39" s="42">
        <f>$C$38-I28+I27</f>
        <v>28101904.860163547</v>
      </c>
      <c r="J39" s="42">
        <f>$C$38-J28+J27</f>
        <v>25635372.820174895</v>
      </c>
      <c r="K39" s="42">
        <f>$C$38-K28+K27</f>
        <v>23166901.0210829</v>
      </c>
      <c r="L39" s="42">
        <f>$C$38-L28+L27</f>
        <v>20693055.40045453</v>
      </c>
      <c r="M39" s="42">
        <f>$C$38-M28+M27</f>
        <v>18214318.36033453</v>
      </c>
      <c r="N39" s="42">
        <f>$C$38-N28+N27</f>
        <v>15728980.1565341</v>
      </c>
      <c r="O39" s="42">
        <f>$C$38-O28+O27</f>
        <v>13239820.723033994</v>
      </c>
      <c r="P39" s="42">
        <f>$C$38-P28+P27</f>
        <v>10742944.04018344</v>
      </c>
      <c r="Q39" s="42">
        <f>$C$38-Q28+Q27</f>
        <v>8238680.328632031</v>
      </c>
      <c r="R39" s="42">
        <f>$C$38-R28+R27</f>
        <v>5724929.457664013</v>
      </c>
      <c r="S39" s="42">
        <f>$C$38-S28+S27</f>
        <v>3204564.975068081</v>
      </c>
      <c r="T39" s="42">
        <f>$C$38-T28+T27</f>
        <v>673105.0422734693</v>
      </c>
      <c r="U39" s="42">
        <f>$C$38-U28+U27</f>
        <v>-1869362.6359557547</v>
      </c>
      <c r="V39" s="42">
        <f>$C$38-V28+V27</f>
        <v>-2605711.9651296325</v>
      </c>
      <c r="W39" s="42">
        <f>$C$38-W28+W27</f>
        <v>-1533011.4282193482</v>
      </c>
      <c r="X39" s="42">
        <f>$C$38-X28+X27</f>
        <v>-773586.6134661473</v>
      </c>
      <c r="Y39" s="42">
        <f>$C$38-Y28+Y27</f>
        <v>-930496.8298750073</v>
      </c>
      <c r="Z39" s="42">
        <f>$C$38-Z28+Z27</f>
        <v>-656310.1728946529</v>
      </c>
      <c r="AA39" s="42">
        <f>$C$38-AA28+AA27</f>
        <v>-398781.8027234068</v>
      </c>
      <c r="AB39" s="42">
        <f>$C$38-AB28+AB27</f>
        <v>-164139.45356676448</v>
      </c>
      <c r="AC39" s="42">
        <f>$C$38-AC28+AC27</f>
        <v>46777.838428060524</v>
      </c>
      <c r="AD39" s="42">
        <f>$C$38-AD28+AD27</f>
        <v>161512.61388116283</v>
      </c>
      <c r="AE39" s="42">
        <f>$C$38-AE28+AE27</f>
        <v>1.0477378964424133e-7</v>
      </c>
    </row>
    <row r="40">
      <c r="A40" s="6" t="inlineStr">
        <is>
          <t xml:space="preserve">Check: assets − loan − provision − equity</t>
        </is>
      </c>
      <c r="B40" s="10" t="inlineStr">
        <is>
          <t xml:space="preserve">€</t>
        </is>
      </c>
      <c r="F40" s="23">
        <f>F35-F36-F37-F39</f>
        <v>-8.195638656616211e-8</v>
      </c>
      <c r="G40" s="23">
        <f>G35-G36-G37-G39</f>
        <v>-8.195638656616211e-8</v>
      </c>
      <c r="H40" s="23">
        <f>H35-H36-H37-H39</f>
        <v>-7.82310962677002e-8</v>
      </c>
      <c r="I40" s="23">
        <f>I35-I36-I37-I39</f>
        <v>-7.078051567077637e-8</v>
      </c>
      <c r="J40" s="23">
        <f>J35-J36-J37-J39</f>
        <v>-7.450580596923828e-8</v>
      </c>
      <c r="K40" s="23">
        <f>K35-K36-K37-K39</f>
        <v>-7.82310962677002e-8</v>
      </c>
      <c r="L40" s="23">
        <f>L35-L36-L37-L39</f>
        <v>-7.450580596923828e-8</v>
      </c>
      <c r="M40" s="23">
        <f>M35-M36-M37-M39</f>
        <v>-8.195638656616211e-8</v>
      </c>
      <c r="N40" s="23">
        <f>N35-N36-N37-N39</f>
        <v>-8.009374141693115e-8</v>
      </c>
      <c r="O40" s="23">
        <f>O35-O36-O37-O39</f>
        <v>-7.636845111846924e-8</v>
      </c>
      <c r="P40" s="23">
        <f>P35-P36-P37-P39</f>
        <v>-8.009374141693115e-8</v>
      </c>
      <c r="Q40" s="23">
        <f>Q35-Q36-Q37-Q39</f>
        <v>-8.568167686462402e-8</v>
      </c>
      <c r="R40" s="23">
        <f>R35-R36-R37-R39</f>
        <v>-9.220093488693237e-8</v>
      </c>
      <c r="S40" s="23">
        <f>S35-S36-S37-S39</f>
        <v>-9.499490261077881e-8</v>
      </c>
      <c r="T40" s="23">
        <f>T35-T36-T37-T39</f>
        <v>-9.96515154838562e-8</v>
      </c>
      <c r="U40" s="23">
        <f>U35-U36-U37-U39</f>
        <v>-1.0104849934577942e-7</v>
      </c>
      <c r="V40" s="23">
        <f>V35-V36-V37-V39</f>
        <v>-9.96515154838562e-8</v>
      </c>
      <c r="W40" s="23">
        <f>W35-W36-W37-W39</f>
        <v>-9.872019290924072e-8</v>
      </c>
      <c r="X40" s="23">
        <f>X35-X36-X37-X39</f>
        <v>-9.941868484020233e-8</v>
      </c>
      <c r="Y40" s="23">
        <f>Y35-Y36-Y37-Y39</f>
        <v>-1.0116491466760635e-7</v>
      </c>
      <c r="Z40" s="23">
        <f>Z35-Z36-Z37-Z39</f>
        <v>-1.0244548320770264e-7</v>
      </c>
      <c r="AA40" s="23">
        <f>AA35-AA36-AA37-AA39</f>
        <v>-1.0407529771327972e-7</v>
      </c>
      <c r="AB40" s="23">
        <f>AB35-AB36-AB37-AB39</f>
        <v>-1.0314397513866425e-7</v>
      </c>
      <c r="AC40" s="23">
        <f>AC35-AC36-AC37-AC39</f>
        <v>-1.0523945093154907e-7</v>
      </c>
      <c r="AD40" s="23">
        <f>AD35-AD36-AD37-AD39</f>
        <v>-1.0617077350616455e-7</v>
      </c>
      <c r="AE40" s="23">
        <f>AE35-AE36-AE37-AE39</f>
        <v>-1.0477378964424133e-7</v>
      </c>
    </row>
    <row r="42">
      <c r="A42" s="5" t="inlineStr">
        <is>
          <t xml:space="preserve">P90 10-yr</t>
        </is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>
      <c r="A43" s="6" t="inlineStr">
        <is>
          <t xml:space="preserve">Net income</t>
        </is>
      </c>
      <c r="B43" s="10" t="inlineStr">
        <is>
          <t xml:space="preserve">€</t>
        </is>
      </c>
      <c r="F43" s="23">
        <f>Tax!F92-Tax!F108</f>
        <v>-559307.5745777076</v>
      </c>
      <c r="G43" s="23">
        <f>Tax!G92-Tax!G108</f>
        <v>-1942109.8407950443</v>
      </c>
      <c r="H43" s="23">
        <f>Tax!H92-Tax!H108</f>
        <v>-1999768.4500870719</v>
      </c>
      <c r="I43" s="23">
        <f>Tax!I92-Tax!I108</f>
        <v>-1887854.197771164</v>
      </c>
      <c r="J43" s="23">
        <f>Tax!J92-Tax!J108</f>
        <v>-1775528.6330575629</v>
      </c>
      <c r="K43" s="23">
        <f>Tax!K92-Tax!K108</f>
        <v>-1328706.0796255625</v>
      </c>
      <c r="L43" s="23">
        <f>Tax!L92-Tax!L108</f>
        <v>-1549262.1165393272</v>
      </c>
      <c r="M43" s="23">
        <f>Tax!M92-Tax!M108</f>
        <v>-1435528.027149477</v>
      </c>
      <c r="N43" s="23">
        <f>Tax!N92-Tax!N108</f>
        <v>-1321539.5447322237</v>
      </c>
      <c r="O43" s="23">
        <f>Tax!O92-Tax!O108</f>
        <v>-1206967.281087005</v>
      </c>
      <c r="P43" s="23">
        <f>Tax!P92-Tax!P108</f>
        <v>-1216256.1703215982</v>
      </c>
      <c r="Q43" s="23">
        <f>Tax!Q92-Tax!Q108</f>
        <v>-1103722.5553155164</v>
      </c>
      <c r="R43" s="23">
        <f>Tax!R92-Tax!R108</f>
        <v>-991232.857738764</v>
      </c>
      <c r="S43" s="23">
        <f>Tax!S92-Tax!S108</f>
        <v>-878281.7712646351</v>
      </c>
      <c r="T43" s="23">
        <f>Tax!T92-Tax!T108</f>
        <v>-765482.2053849243</v>
      </c>
      <c r="U43" s="23">
        <f>Tax!U92-Tax!U108</f>
        <v>-652732.4526466897</v>
      </c>
      <c r="V43" s="23">
        <f>Tax!V92-Tax!V108</f>
        <v>1263653.3980552088</v>
      </c>
      <c r="W43" s="23">
        <f>Tax!W92-Tax!W108</f>
        <v>3088704.557211266</v>
      </c>
      <c r="X43" s="23">
        <f>Tax!X92-Tax!X108</f>
        <v>3195325.3905526428</v>
      </c>
      <c r="Y43" s="23">
        <f>Tax!Y92-Tax!Y108</f>
        <v>3278211.229792754</v>
      </c>
      <c r="Z43" s="23">
        <f>Tax!Z92-Tax!Z108</f>
        <v>3245152.090794377</v>
      </c>
      <c r="AA43" s="23">
        <f>Tax!AA92-Tax!AA108</f>
        <v>3286835.188587673</v>
      </c>
      <c r="AB43" s="23">
        <f>Tax!AB92-Tax!AB108</f>
        <v>3327298.456445937</v>
      </c>
      <c r="AC43" s="23">
        <f>Tax!AC92-Tax!AC108</f>
        <v>3281966.158403921</v>
      </c>
      <c r="AD43" s="23">
        <f>Tax!AD92-Tax!AD108</f>
        <v>2989616.906069233</v>
      </c>
      <c r="AE43" s="23">
        <f>Tax!AE92-Tax!AE108</f>
        <v>1571079.6325850182</v>
      </c>
    </row>
    <row r="44">
      <c r="A44" s="6" t="inlineStr">
        <is>
          <t xml:space="preserve">Depreciation to date</t>
        </is>
      </c>
      <c r="B44" s="10" t="inlineStr">
        <is>
          <t xml:space="preserve">€</t>
        </is>
      </c>
      <c r="E44" s="9">
        <v>0</v>
      </c>
      <c r="F44" s="23">
        <f>E44+Tax!F90</f>
        <v>1819758.4576594748</v>
      </c>
      <c r="G44" s="23">
        <f>F44+Tax!G90</f>
        <v>5459275.372978425</v>
      </c>
      <c r="H44" s="23">
        <f>G44+Tax!H90</f>
        <v>9098792.288297374</v>
      </c>
      <c r="I44" s="23">
        <f>H44+Tax!I90</f>
        <v>12738309.203616323</v>
      </c>
      <c r="J44" s="23">
        <f>I44+Tax!J90</f>
        <v>16377826.118935272</v>
      </c>
      <c r="K44" s="23">
        <f>J44+Tax!K90</f>
        <v>20017343.034254223</v>
      </c>
      <c r="L44" s="23">
        <f>K44+Tax!L90</f>
        <v>23656859.94957317</v>
      </c>
      <c r="M44" s="23">
        <f>L44+Tax!M90</f>
        <v>27296376.864892118</v>
      </c>
      <c r="N44" s="23">
        <f>M44+Tax!N90</f>
        <v>30935893.780211065</v>
      </c>
      <c r="O44" s="23">
        <f>N44+Tax!O90</f>
        <v>34575410.69553001</v>
      </c>
      <c r="P44" s="23">
        <f>O44+Tax!P90</f>
        <v>38214927.61084896</v>
      </c>
      <c r="Q44" s="23">
        <f>P44+Tax!Q90</f>
        <v>41854444.526167914</v>
      </c>
      <c r="R44" s="23">
        <f>Q44+Tax!R90</f>
        <v>45493961.441486865</v>
      </c>
      <c r="S44" s="23">
        <f>R44+Tax!S90</f>
        <v>49133478.35680582</v>
      </c>
      <c r="T44" s="23">
        <f>S44+Tax!T90</f>
        <v>52772995.27212477</v>
      </c>
      <c r="U44" s="23">
        <f>T44+Tax!U90</f>
        <v>56412512.18744372</v>
      </c>
      <c r="V44" s="23">
        <f>U44+Tax!V90</f>
        <v>58232270.645103194</v>
      </c>
      <c r="W44" s="23">
        <f>V44+Tax!W90</f>
        <v>58232270.645103194</v>
      </c>
      <c r="X44" s="23">
        <f>W44+Tax!X90</f>
        <v>58232270.645103194</v>
      </c>
      <c r="Y44" s="23">
        <f>X44+Tax!Y90</f>
        <v>58232270.645103194</v>
      </c>
      <c r="Z44" s="23">
        <f>Y44+Tax!Z90</f>
        <v>58232270.645103194</v>
      </c>
      <c r="AA44" s="23">
        <f>Z44+Tax!AA90</f>
        <v>58232270.645103194</v>
      </c>
      <c r="AB44" s="23">
        <f>AA44+Tax!AB90</f>
        <v>58232270.645103194</v>
      </c>
      <c r="AC44" s="23">
        <f>AB44+Tax!AC90</f>
        <v>58232270.645103194</v>
      </c>
      <c r="AD44" s="23">
        <f>AC44+Tax!AD90</f>
        <v>58232270.645103194</v>
      </c>
      <c r="AE44" s="23">
        <f>AD44+Tax!AE90</f>
        <v>58232270.645103194</v>
      </c>
    </row>
    <row r="45">
      <c r="A45" s="6" t="inlineStr">
        <is>
          <t xml:space="preserve">Net income to date</t>
        </is>
      </c>
      <c r="B45" s="10" t="inlineStr">
        <is>
          <t xml:space="preserve">€</t>
        </is>
      </c>
      <c r="E45" s="9">
        <v>0</v>
      </c>
      <c r="F45" s="23">
        <f>E45+F43</f>
        <v>-559307.5745777076</v>
      </c>
      <c r="G45" s="23">
        <f>F45+G43</f>
        <v>-2501417.4153727517</v>
      </c>
      <c r="H45" s="23">
        <f>G45+H43</f>
        <v>-4501185.865459824</v>
      </c>
      <c r="I45" s="23">
        <f>H45+I43</f>
        <v>-6389040.063230988</v>
      </c>
      <c r="J45" s="23">
        <f>I45+J43</f>
        <v>-8164568.69628855</v>
      </c>
      <c r="K45" s="23">
        <f>J45+K43</f>
        <v>-9493274.775914112</v>
      </c>
      <c r="L45" s="23">
        <f>K45+L43</f>
        <v>-11042536.89245344</v>
      </c>
      <c r="M45" s="23">
        <f>L45+M43</f>
        <v>-12478064.919602916</v>
      </c>
      <c r="N45" s="23">
        <f>M45+N43</f>
        <v>-13799604.46433514</v>
      </c>
      <c r="O45" s="23">
        <f>N45+O43</f>
        <v>-15006571.745422145</v>
      </c>
      <c r="P45" s="23">
        <f>O45+P43</f>
        <v>-16222827.915743744</v>
      </c>
      <c r="Q45" s="23">
        <f>P45+Q43</f>
        <v>-17326550.47105926</v>
      </c>
      <c r="R45" s="23">
        <f>Q45+R43</f>
        <v>-18317783.328798022</v>
      </c>
      <c r="S45" s="23">
        <f>R45+S43</f>
        <v>-19196065.100062657</v>
      </c>
      <c r="T45" s="23">
        <f>S45+T43</f>
        <v>-19961547.305447582</v>
      </c>
      <c r="U45" s="23">
        <f>T45+U43</f>
        <v>-20614279.758094274</v>
      </c>
      <c r="V45" s="23">
        <f>U45+V43</f>
        <v>-19350626.360039063</v>
      </c>
      <c r="W45" s="23">
        <f>V45+W43</f>
        <v>-16261921.802827798</v>
      </c>
      <c r="X45" s="23">
        <f>W45+X43</f>
        <v>-13066596.412275154</v>
      </c>
      <c r="Y45" s="23">
        <f>X45+Y43</f>
        <v>-9788385.182482399</v>
      </c>
      <c r="Z45" s="23">
        <f>Y45+Z43</f>
        <v>-6543233.091688022</v>
      </c>
      <c r="AA45" s="23">
        <f>Z45+AA43</f>
        <v>-3256397.903100349</v>
      </c>
      <c r="AB45" s="23">
        <f>AA45+AB43</f>
        <v>70900.55334558804</v>
      </c>
      <c r="AC45" s="23">
        <f>AB45+AC43</f>
        <v>3352866.711749509</v>
      </c>
      <c r="AD45" s="23">
        <f>AC45+AD43</f>
        <v>6342483.617818742</v>
      </c>
      <c r="AE45" s="23">
        <f>AD45+AE43</f>
        <v>7913563.25040376</v>
      </c>
    </row>
    <row r="46">
      <c r="A46" s="6" t="inlineStr">
        <is>
          <t xml:space="preserve">Cash to equity to date</t>
        </is>
      </c>
      <c r="B46" s="10" t="inlineStr">
        <is>
          <t xml:space="preserve">€</t>
        </is>
      </c>
      <c r="E46" s="9">
        <v>0</v>
      </c>
      <c r="F46" s="23">
        <f>E46+Waterfall!F122</f>
        <v>1335136.0549719844</v>
      </c>
      <c r="G46" s="23">
        <f>F46+Waterfall!G122</f>
        <v>3122606.5718625914</v>
      </c>
      <c r="H46" s="23">
        <f>G46+Waterfall!H122</f>
        <v>3593084.32706765</v>
      </c>
      <c r="I46" s="23">
        <f>H46+Waterfall!I122</f>
        <v>4166922.0255736294</v>
      </c>
      <c r="J46" s="23">
        <f>I46+Waterfall!J122</f>
        <v>4857722.06731182</v>
      </c>
      <c r="K46" s="23">
        <f>J46+Waterfall!K122</f>
        <v>5627196.186179134</v>
      </c>
      <c r="L46" s="23">
        <f>K46+Waterfall!L122</f>
        <v>6921539.7250997275</v>
      </c>
      <c r="M46" s="23">
        <f>L46+Waterfall!M122</f>
        <v>7964494.909300178</v>
      </c>
      <c r="N46" s="23">
        <f>M46+Waterfall!N122</f>
        <v>9128075.195099508</v>
      </c>
      <c r="O46" s="23">
        <f>N46+Waterfall!O122</f>
        <v>10409964.3050718</v>
      </c>
      <c r="P46" s="23">
        <f>O46+Waterfall!P122</f>
        <v>11690317.065439831</v>
      </c>
      <c r="Q46" s="23">
        <f>P46+Waterfall!Q122</f>
        <v>13090585.660685992</v>
      </c>
      <c r="R46" s="23">
        <f>Q46+Waterfall!R122</f>
        <v>14612869.184994701</v>
      </c>
      <c r="S46" s="23">
        <f>R46+Waterfall!S122</f>
        <v>16254626.489763236</v>
      </c>
      <c r="T46" s="23">
        <f>S46+Waterfall!T122</f>
        <v>18020316.705264933</v>
      </c>
      <c r="U46" s="23">
        <f>T46+Waterfall!U122</f>
        <v>19909759.25522561</v>
      </c>
      <c r="V46" s="23">
        <f>U46+Waterfall!V122</f>
        <v>21909510.1885692</v>
      </c>
      <c r="W46" s="23">
        <f>V46+Waterfall!W122</f>
        <v>23925164.787743535</v>
      </c>
      <c r="X46" s="23">
        <f>W46+Waterfall!X122</f>
        <v>26360756.633645333</v>
      </c>
      <c r="Y46" s="23">
        <f>X46+Waterfall!Y122</f>
        <v>29795563.805160344</v>
      </c>
      <c r="Z46" s="23">
        <f>Y46+Waterfall!Z122</f>
        <v>32766258.86304093</v>
      </c>
      <c r="AA46" s="23">
        <f>Z46+Waterfall!AA122</f>
        <v>35795190.47352452</v>
      </c>
      <c r="AB46" s="23">
        <f>AA46+Waterfall!AB122</f>
        <v>38887515.06706759</v>
      </c>
      <c r="AC46" s="23">
        <f>AB46+Waterfall!AC122</f>
        <v>41958226.465743594</v>
      </c>
      <c r="AD46" s="23">
        <f>AC46+Waterfall!AD122</f>
        <v>44832818.26704837</v>
      </c>
      <c r="AE46" s="23">
        <f>AD46+Waterfall!AE122</f>
        <v>46584828.27342629</v>
      </c>
    </row>
    <row r="47">
      <c r="A47" s="6" t="inlineStr">
        <is>
          <t xml:space="preserve">Wind farm (book value)</t>
        </is>
      </c>
      <c r="B47" s="10" t="inlineStr">
        <is>
          <t xml:space="preserve">€</t>
        </is>
      </c>
      <c r="F47" s="23">
        <f>Construction!$C$48-F44</f>
        <v>56412512.18744372</v>
      </c>
      <c r="G47" s="23">
        <f>Construction!$C$48-G44</f>
        <v>52772995.27212477</v>
      </c>
      <c r="H47" s="23">
        <f>Construction!$C$48-H44</f>
        <v>49133478.35680582</v>
      </c>
      <c r="I47" s="23">
        <f>Construction!$C$48-I44</f>
        <v>45493961.44148687</v>
      </c>
      <c r="J47" s="23">
        <f>Construction!$C$48-J44</f>
        <v>41854444.52616792</v>
      </c>
      <c r="K47" s="23">
        <f>Construction!$C$48-K44</f>
        <v>38214927.61084897</v>
      </c>
      <c r="L47" s="23">
        <f>Construction!$C$48-L44</f>
        <v>34575410.69553003</v>
      </c>
      <c r="M47" s="23">
        <f>Construction!$C$48-M44</f>
        <v>30935893.780211076</v>
      </c>
      <c r="N47" s="23">
        <f>Construction!$C$48-N44</f>
        <v>27296376.86489213</v>
      </c>
      <c r="O47" s="23">
        <f>Construction!$C$48-O44</f>
        <v>23656859.94957318</v>
      </c>
      <c r="P47" s="23">
        <f>Construction!$C$48-P44</f>
        <v>20017343.03425423</v>
      </c>
      <c r="Q47" s="23">
        <f>Construction!$C$48-Q44</f>
        <v>16377826.11893528</v>
      </c>
      <c r="R47" s="23">
        <f>Construction!$C$48-R44</f>
        <v>12738309.203616329</v>
      </c>
      <c r="S47" s="23">
        <f>Construction!$C$48-S44</f>
        <v>9098792.288297378</v>
      </c>
      <c r="T47" s="23">
        <f>Construction!$C$48-T44</f>
        <v>5459275.3729784265</v>
      </c>
      <c r="U47" s="23">
        <f>Construction!$C$48-U44</f>
        <v>1819758.4576594755</v>
      </c>
      <c r="V47" s="23">
        <f>Construction!$C$48-V44</f>
        <v>0</v>
      </c>
      <c r="W47" s="23">
        <f>Construction!$C$48-W44</f>
        <v>0</v>
      </c>
      <c r="X47" s="23">
        <f>Construction!$C$48-X44</f>
        <v>0</v>
      </c>
      <c r="Y47" s="23">
        <f>Construction!$C$48-Y44</f>
        <v>0</v>
      </c>
      <c r="Z47" s="23">
        <f>Construction!$C$48-Z44</f>
        <v>0</v>
      </c>
      <c r="AA47" s="23">
        <f>Construction!$C$48-AA44</f>
        <v>0</v>
      </c>
      <c r="AB47" s="23">
        <f>Construction!$C$48-AB44</f>
        <v>0</v>
      </c>
      <c r="AC47" s="23">
        <f>Construction!$C$48-AC44</f>
        <v>0</v>
      </c>
      <c r="AD47" s="23">
        <f>Construction!$C$48-AD44</f>
        <v>0</v>
      </c>
      <c r="AE47" s="23">
        <f>Construction!$C$48-AE44</f>
        <v>0</v>
      </c>
    </row>
    <row r="48">
      <c r="A48" s="6" t="inlineStr">
        <is>
          <t xml:space="preserve">Receivables</t>
        </is>
      </c>
      <c r="B48" s="10" t="inlineStr">
        <is>
          <t xml:space="preserve">€</t>
        </is>
      </c>
      <c r="F48" s="45">
        <f>Operations!F169</f>
        <v>432304.1420835895</v>
      </c>
      <c r="G48" s="45">
        <f>Operations!G169</f>
        <v>362005.5407335444</v>
      </c>
      <c r="H48" s="45">
        <f>Operations!H169</f>
        <v>356563.1657590574</v>
      </c>
      <c r="I48" s="45">
        <f>Operations!I169</f>
        <v>362967.04021609004</v>
      </c>
      <c r="J48" s="45">
        <f>Operations!J169</f>
        <v>368476.4038642225</v>
      </c>
      <c r="K48" s="45">
        <f>Operations!K169</f>
        <v>746131.2807976665</v>
      </c>
      <c r="L48" s="45">
        <f>Operations!L169</f>
        <v>382877.0447736083</v>
      </c>
      <c r="M48" s="45">
        <f>Operations!M169</f>
        <v>389753.5164977422</v>
      </c>
      <c r="N48" s="45">
        <f>Operations!N169</f>
        <v>395669.46372602513</v>
      </c>
      <c r="O48" s="45">
        <f>Operations!O169</f>
        <v>403879.1823282284</v>
      </c>
      <c r="P48" s="45">
        <f>Operations!P169</f>
        <v>411132.85244284326</v>
      </c>
      <c r="Q48" s="45">
        <f>Operations!Q169</f>
        <v>418516.7984727167</v>
      </c>
      <c r="R48" s="45">
        <f>Operations!R169</f>
        <v>424869.3345990428</v>
      </c>
      <c r="S48" s="45">
        <f>Operations!S169</f>
        <v>433684.919321999</v>
      </c>
      <c r="T48" s="45">
        <f>Operations!T169</f>
        <v>441473.900473022</v>
      </c>
      <c r="U48" s="45">
        <f>Operations!U169</f>
        <v>449402.7717255174</v>
      </c>
      <c r="V48" s="45">
        <f>Operations!V169</f>
        <v>456224.11641962663</v>
      </c>
      <c r="W48" s="45">
        <f>Operations!W169</f>
        <v>465690.2793629903</v>
      </c>
      <c r="X48" s="45">
        <f>Operations!X169</f>
        <v>474054.0767803496</v>
      </c>
      <c r="Y48" s="45">
        <f>Operations!Y169</f>
        <v>482568.08799932466</v>
      </c>
      <c r="Z48" s="45">
        <f>Operations!Z169</f>
        <v>489892.83869897353</v>
      </c>
      <c r="AA48" s="45">
        <f>Operations!AA169</f>
        <v>500057.59165483445</v>
      </c>
      <c r="AB48" s="45">
        <f>Operations!AB169</f>
        <v>509038.6260009553</v>
      </c>
      <c r="AC48" s="45">
        <f>Operations!AC169</f>
        <v>518180.95972393255</v>
      </c>
      <c r="AD48" s="45">
        <f>Operations!AD169</f>
        <v>526046.2671109553</v>
      </c>
      <c r="AE48" s="45">
        <f>Operations!AE169</f>
        <v>0</v>
      </c>
    </row>
    <row r="49">
      <c r="A49" s="6" t="inlineStr">
        <is>
          <t xml:space="preserve">Debt service reserve</t>
        </is>
      </c>
      <c r="B49" s="10" t="inlineStr">
        <is>
          <t xml:space="preserve">€</t>
        </is>
      </c>
      <c r="F49" s="45">
        <f>Waterfall!F118</f>
        <v>573287.0601285857</v>
      </c>
      <c r="G49" s="45">
        <f>Waterfall!G118</f>
        <v>573287.0601285857</v>
      </c>
      <c r="H49" s="45">
        <f>Waterfall!H118</f>
        <v>557054.2618926666</v>
      </c>
      <c r="I49" s="45">
        <f>Waterfall!I118</f>
        <v>540821.4636567476</v>
      </c>
      <c r="J49" s="45">
        <f>Waterfall!J118</f>
        <v>524588.6654208285</v>
      </c>
      <c r="K49" s="45">
        <f>Waterfall!K118</f>
        <v>508355.8671849094</v>
      </c>
      <c r="L49" s="45">
        <f>Waterfall!L118</f>
        <v>492123.06894899043</v>
      </c>
      <c r="M49" s="45">
        <f>Waterfall!M118</f>
        <v>475890.27071307134</v>
      </c>
      <c r="N49" s="45">
        <f>Waterfall!N118</f>
        <v>459657.47247715236</v>
      </c>
      <c r="O49" s="45">
        <f>Waterfall!O118</f>
        <v>443424.67424123327</v>
      </c>
      <c r="P49" s="45">
        <f>Waterfall!P118</f>
        <v>427191.87600531423</v>
      </c>
      <c r="Q49" s="45">
        <f>Waterfall!Q118</f>
        <v>410959.07776939514</v>
      </c>
      <c r="R49" s="45">
        <f>Waterfall!R118</f>
        <v>394726.2795334761</v>
      </c>
      <c r="S49" s="45">
        <f>Waterfall!S118</f>
        <v>378493.48129755707</v>
      </c>
      <c r="T49" s="45">
        <f>Waterfall!T118</f>
        <v>362260.68306163803</v>
      </c>
      <c r="U49" s="45">
        <f>Waterfall!U118</f>
        <v>346027.88482571894</v>
      </c>
      <c r="V49" s="45">
        <f>Waterfall!V118</f>
        <v>329795.0865897999</v>
      </c>
      <c r="W49" s="45">
        <f>Waterfall!W118</f>
        <v>313562.2883538849</v>
      </c>
      <c r="X49" s="45">
        <f>Waterfall!X118</f>
        <v>0</v>
      </c>
      <c r="Y49" s="45">
        <f>Waterfall!Y118</f>
        <v>0</v>
      </c>
      <c r="Z49" s="45">
        <f>Waterfall!Z118</f>
        <v>0</v>
      </c>
      <c r="AA49" s="45">
        <f>Waterfall!AA118</f>
        <v>0</v>
      </c>
      <c r="AB49" s="45">
        <f>Waterfall!AB118</f>
        <v>0</v>
      </c>
      <c r="AC49" s="45">
        <f>Waterfall!AC118</f>
        <v>0</v>
      </c>
      <c r="AD49" s="45">
        <f>Waterfall!AD118</f>
        <v>0</v>
      </c>
      <c r="AE49" s="45">
        <f>Waterfall!AE118</f>
        <v>0</v>
      </c>
    </row>
    <row r="50">
      <c r="A50" s="6" t="inlineStr">
        <is>
          <t xml:space="preserve">Decommissioning reserve</t>
        </is>
      </c>
      <c r="B50" s="10" t="inlineStr">
        <is>
          <t xml:space="preserve">€</t>
        </is>
      </c>
      <c r="F50" s="45">
        <f>Waterfall!F119</f>
        <v>0</v>
      </c>
      <c r="G50" s="45">
        <f>Waterfall!G119</f>
        <v>0</v>
      </c>
      <c r="H50" s="45">
        <f>Waterfall!H119</f>
        <v>0</v>
      </c>
      <c r="I50" s="45">
        <f>Waterfall!I119</f>
        <v>0</v>
      </c>
      <c r="J50" s="45">
        <f>Waterfall!J119</f>
        <v>0</v>
      </c>
      <c r="K50" s="45">
        <f>Waterfall!K119</f>
        <v>0</v>
      </c>
      <c r="L50" s="45">
        <f>Waterfall!L119</f>
        <v>0</v>
      </c>
      <c r="M50" s="45">
        <f>Waterfall!M119</f>
        <v>0</v>
      </c>
      <c r="N50" s="45">
        <f>Waterfall!N119</f>
        <v>0</v>
      </c>
      <c r="O50" s="45">
        <f>Waterfall!O119</f>
        <v>0</v>
      </c>
      <c r="P50" s="45">
        <f>Waterfall!P119</f>
        <v>0</v>
      </c>
      <c r="Q50" s="45">
        <f>Waterfall!Q119</f>
        <v>0</v>
      </c>
      <c r="R50" s="45">
        <f>Waterfall!R119</f>
        <v>0</v>
      </c>
      <c r="S50" s="45">
        <f>Waterfall!S119</f>
        <v>0</v>
      </c>
      <c r="T50" s="45">
        <f>Waterfall!T119</f>
        <v>0</v>
      </c>
      <c r="U50" s="45">
        <f>Waterfall!U119</f>
        <v>0</v>
      </c>
      <c r="V50" s="45">
        <f>Waterfall!V119</f>
        <v>0</v>
      </c>
      <c r="W50" s="45">
        <f>Waterfall!W119</f>
        <v>0</v>
      </c>
      <c r="X50" s="45">
        <f>Waterfall!X119</f>
        <v>0</v>
      </c>
      <c r="Y50" s="45">
        <f>Waterfall!Y119</f>
        <v>0</v>
      </c>
      <c r="Z50" s="45">
        <f>Waterfall!Z119</f>
        <v>450690.3190348829</v>
      </c>
      <c r="AA50" s="45">
        <f>Waterfall!AA119</f>
        <v>901380.6380697659</v>
      </c>
      <c r="AB50" s="45">
        <f>Waterfall!AB119</f>
        <v>1352070.9571046487</v>
      </c>
      <c r="AC50" s="45">
        <f>Waterfall!AC119</f>
        <v>1802761.2761395315</v>
      </c>
      <c r="AD50" s="45">
        <f>Waterfall!AD119</f>
        <v>2253451.5951744146</v>
      </c>
      <c r="AE50" s="45">
        <f>Waterfall!AE119</f>
        <v>0</v>
      </c>
    </row>
    <row r="51">
      <c r="A51" s="6" t="inlineStr">
        <is>
          <t xml:space="preserve">Cash held back</t>
        </is>
      </c>
      <c r="B51" s="10" t="inlineStr">
        <is>
          <t xml:space="preserve">€</t>
        </is>
      </c>
      <c r="F51" s="45">
        <f>Waterfall!F120</f>
        <v>0</v>
      </c>
      <c r="G51" s="45">
        <f>Waterfall!G120</f>
        <v>0</v>
      </c>
      <c r="H51" s="45">
        <f>Waterfall!H120</f>
        <v>0</v>
      </c>
      <c r="I51" s="45">
        <f>Waterfall!I120</f>
        <v>0</v>
      </c>
      <c r="J51" s="45">
        <f>Waterfall!J120</f>
        <v>0</v>
      </c>
      <c r="K51" s="45">
        <f>Waterfall!K120</f>
        <v>0</v>
      </c>
      <c r="L51" s="45">
        <f>Waterfall!L120</f>
        <v>0</v>
      </c>
      <c r="M51" s="45">
        <f>Waterfall!M120</f>
        <v>0</v>
      </c>
      <c r="N51" s="45">
        <f>Waterfall!N120</f>
        <v>0</v>
      </c>
      <c r="O51" s="45">
        <f>Waterfall!O120</f>
        <v>0</v>
      </c>
      <c r="P51" s="45">
        <f>Waterfall!P120</f>
        <v>0</v>
      </c>
      <c r="Q51" s="45">
        <f>Waterfall!Q120</f>
        <v>0</v>
      </c>
      <c r="R51" s="45">
        <f>Waterfall!R120</f>
        <v>0</v>
      </c>
      <c r="S51" s="45">
        <f>Waterfall!S120</f>
        <v>0</v>
      </c>
      <c r="T51" s="45">
        <f>Waterfall!T120</f>
        <v>0</v>
      </c>
      <c r="U51" s="45">
        <f>Waterfall!U120</f>
        <v>0</v>
      </c>
      <c r="V51" s="45">
        <f>Waterfall!V120</f>
        <v>0</v>
      </c>
      <c r="W51" s="45">
        <f>Waterfall!W120</f>
        <v>0</v>
      </c>
      <c r="X51" s="45">
        <f>Waterfall!X120</f>
        <v>0</v>
      </c>
      <c r="Y51" s="45">
        <f>Waterfall!Y120</f>
        <v>0</v>
      </c>
      <c r="Z51" s="45">
        <f>Waterfall!Z120</f>
        <v>0</v>
      </c>
      <c r="AA51" s="45">
        <f>Waterfall!AA120</f>
        <v>0</v>
      </c>
      <c r="AB51" s="45">
        <f>Waterfall!AB120</f>
        <v>0</v>
      </c>
      <c r="AC51" s="45">
        <f>Waterfall!AC120</f>
        <v>0</v>
      </c>
      <c r="AD51" s="45">
        <f>Waterfall!AD120</f>
        <v>0</v>
      </c>
      <c r="AE51" s="45">
        <f>Waterfall!AE120</f>
        <v>0</v>
      </c>
    </row>
    <row r="52">
      <c r="A52" s="6" t="inlineStr">
        <is>
          <t xml:space="preserve">Unpaid cash (negative)</t>
        </is>
      </c>
      <c r="B52" s="10" t="inlineStr">
        <is>
          <t xml:space="preserve">€</t>
        </is>
      </c>
      <c r="F52" s="45">
        <f>Waterfall!F121</f>
        <v>0</v>
      </c>
      <c r="G52" s="45">
        <f>Waterfall!G121</f>
        <v>0</v>
      </c>
      <c r="H52" s="45">
        <f>Waterfall!H121</f>
        <v>0</v>
      </c>
      <c r="I52" s="45">
        <f>Waterfall!I121</f>
        <v>0</v>
      </c>
      <c r="J52" s="45">
        <f>Waterfall!J121</f>
        <v>0</v>
      </c>
      <c r="K52" s="45">
        <f>Waterfall!K121</f>
        <v>0</v>
      </c>
      <c r="L52" s="45">
        <f>Waterfall!L121</f>
        <v>0</v>
      </c>
      <c r="M52" s="45">
        <f>Waterfall!M121</f>
        <v>0</v>
      </c>
      <c r="N52" s="45">
        <f>Waterfall!N121</f>
        <v>0</v>
      </c>
      <c r="O52" s="45">
        <f>Waterfall!O121</f>
        <v>0</v>
      </c>
      <c r="P52" s="45">
        <f>Waterfall!P121</f>
        <v>0</v>
      </c>
      <c r="Q52" s="45">
        <f>Waterfall!Q121</f>
        <v>0</v>
      </c>
      <c r="R52" s="45">
        <f>Waterfall!R121</f>
        <v>0</v>
      </c>
      <c r="S52" s="45">
        <f>Waterfall!S121</f>
        <v>0</v>
      </c>
      <c r="T52" s="45">
        <f>Waterfall!T121</f>
        <v>0</v>
      </c>
      <c r="U52" s="45">
        <f>Waterfall!U121</f>
        <v>0</v>
      </c>
      <c r="V52" s="45">
        <f>Waterfall!V121</f>
        <v>0</v>
      </c>
      <c r="W52" s="45">
        <f>Waterfall!W121</f>
        <v>0</v>
      </c>
      <c r="X52" s="45">
        <f>Waterfall!X121</f>
        <v>0</v>
      </c>
      <c r="Y52" s="45">
        <f>Waterfall!Y121</f>
        <v>0</v>
      </c>
      <c r="Z52" s="45">
        <f>Waterfall!Z121</f>
        <v>0</v>
      </c>
      <c r="AA52" s="45">
        <f>Waterfall!AA121</f>
        <v>0</v>
      </c>
      <c r="AB52" s="45">
        <f>Waterfall!AB121</f>
        <v>0</v>
      </c>
      <c r="AC52" s="45">
        <f>Waterfall!AC121</f>
        <v>0</v>
      </c>
      <c r="AD52" s="45">
        <f>Waterfall!AD121</f>
        <v>0</v>
      </c>
      <c r="AE52" s="45">
        <f>Waterfall!AE121</f>
        <v>0</v>
      </c>
    </row>
    <row r="53">
      <c r="A53" s="41" t="inlineStr">
        <is>
          <t xml:space="preserve">Total assets</t>
        </is>
      </c>
      <c r="B53" s="10" t="inlineStr">
        <is>
          <t xml:space="preserve">€</t>
        </is>
      </c>
      <c r="F53" s="42">
        <f>F47+F48+F49+F50+F51+F52</f>
        <v>57418103.389655896</v>
      </c>
      <c r="G53" s="42">
        <f>G47+G48+G49+G50+G51+G52</f>
        <v>53708287.8729869</v>
      </c>
      <c r="H53" s="42">
        <f>H47+H48+H49+H50+H51+H52</f>
        <v>50047095.78445754</v>
      </c>
      <c r="I53" s="42">
        <f>I47+I48+I49+I50+I51+I52</f>
        <v>46397749.94535971</v>
      </c>
      <c r="J53" s="42">
        <f>J47+J48+J49+J50+J51+J52</f>
        <v>42747509.59545297</v>
      </c>
      <c r="K53" s="42">
        <f>K47+K48+K49+K50+K51+K52</f>
        <v>39469414.758831546</v>
      </c>
      <c r="L53" s="42">
        <f>L47+L48+L49+L50+L51+L52</f>
        <v>35450410.80925263</v>
      </c>
      <c r="M53" s="42">
        <f>M47+M48+M49+M50+M51+M52</f>
        <v>31801537.56742189</v>
      </c>
      <c r="N53" s="42">
        <f>N47+N48+N49+N50+N51+N52</f>
        <v>28151703.801095307</v>
      </c>
      <c r="O53" s="42">
        <f>O47+O48+O49+O50+O51+O52</f>
        <v>24504163.806142643</v>
      </c>
      <c r="P53" s="42">
        <f>P47+P48+P49+P50+P51+P52</f>
        <v>20855667.762702387</v>
      </c>
      <c r="Q53" s="42">
        <f>Q47+Q48+Q49+Q50+Q51+Q52</f>
        <v>17207301.995177392</v>
      </c>
      <c r="R53" s="42">
        <f>R47+R48+R49+R50+R51+R52</f>
        <v>13557904.817748846</v>
      </c>
      <c r="S53" s="42">
        <f>S47+S48+S49+S50+S51+S52</f>
        <v>9910970.688916933</v>
      </c>
      <c r="T53" s="42">
        <f>T47+T48+T49+T50+T51+T52</f>
        <v>6263009.956513086</v>
      </c>
      <c r="U53" s="42">
        <f>U47+U48+U49+U50+U51+U52</f>
        <v>2615189.114210712</v>
      </c>
      <c r="V53" s="42">
        <f>V47+V48+V49+V50+V51+V52</f>
        <v>786019.2030094266</v>
      </c>
      <c r="W53" s="42">
        <f>W47+W48+W49+W50+W51+W52</f>
        <v>779252.5677168751</v>
      </c>
      <c r="X53" s="42">
        <f>X47+X48+X49+X50+X51+X52</f>
        <v>474054.0767803496</v>
      </c>
      <c r="Y53" s="42">
        <f>Y47+Y48+Y49+Y50+Y51+Y52</f>
        <v>482568.08799932466</v>
      </c>
      <c r="Z53" s="42">
        <f>Z47+Z48+Z49+Z50+Z51+Z52</f>
        <v>940583.1577338565</v>
      </c>
      <c r="AA53" s="42">
        <f>AA47+AA48+AA49+AA50+AA51+AA52</f>
        <v>1401438.2297246004</v>
      </c>
      <c r="AB53" s="42">
        <f>AB47+AB48+AB49+AB50+AB51+AB52</f>
        <v>1861109.583105604</v>
      </c>
      <c r="AC53" s="42">
        <f>AC47+AC48+AC49+AC50+AC51+AC52</f>
        <v>2320942.235863464</v>
      </c>
      <c r="AD53" s="42">
        <f>AD47+AD48+AD49+AD50+AD51+AD52</f>
        <v>2779497.86228537</v>
      </c>
      <c r="AE53" s="42">
        <f>AE47+AE48+AE49+AE50+AE51+AE52</f>
        <v>0</v>
      </c>
    </row>
    <row r="54">
      <c r="A54" s="6" t="inlineStr">
        <is>
          <t xml:space="preserve">Senior loan</t>
        </is>
      </c>
      <c r="B54" s="10" t="inlineStr">
        <is>
          <t xml:space="preserve">€</t>
        </is>
      </c>
      <c r="F54" s="45">
        <f>Debt!F12</f>
        <v>20632341.68303732</v>
      </c>
      <c r="G54" s="45">
        <f>Debt!G12</f>
        <v>20632341.68303732</v>
      </c>
      <c r="H54" s="45">
        <f>Debt!H12</f>
        <v>19418674.525211595</v>
      </c>
      <c r="I54" s="45">
        <f>Debt!I12</f>
        <v>18205007.36738587</v>
      </c>
      <c r="J54" s="45">
        <f>Debt!J12</f>
        <v>16991340.20956015</v>
      </c>
      <c r="K54" s="45">
        <f>Debt!K12</f>
        <v>15777673.051734425</v>
      </c>
      <c r="L54" s="45">
        <f>Debt!L12</f>
        <v>14564005.893908702</v>
      </c>
      <c r="M54" s="45">
        <f>Debt!M12</f>
        <v>13350338.736082979</v>
      </c>
      <c r="N54" s="45">
        <f>Debt!N12</f>
        <v>12136671.578257255</v>
      </c>
      <c r="O54" s="45">
        <f>Debt!O12</f>
        <v>10923004.420431532</v>
      </c>
      <c r="P54" s="45">
        <f>Debt!P12</f>
        <v>9709337.262605809</v>
      </c>
      <c r="Q54" s="45">
        <f>Debt!Q12</f>
        <v>8495670.104780085</v>
      </c>
      <c r="R54" s="45">
        <f>Debt!R12</f>
        <v>7282002.946954362</v>
      </c>
      <c r="S54" s="45">
        <f>Debt!S12</f>
        <v>6068335.789128639</v>
      </c>
      <c r="T54" s="45">
        <f>Debt!T12</f>
        <v>4854668.6313029155</v>
      </c>
      <c r="U54" s="45">
        <f>Debt!U12</f>
        <v>3641001.4734771913</v>
      </c>
      <c r="V54" s="45">
        <f>Debt!V12</f>
        <v>2427334.315651466</v>
      </c>
      <c r="W54" s="45">
        <f>Debt!W12</f>
        <v>1213667.157825741</v>
      </c>
      <c r="X54" s="45">
        <f>Debt!X12</f>
        <v>0</v>
      </c>
      <c r="Y54" s="45">
        <f>Debt!Y12</f>
        <v>0</v>
      </c>
      <c r="Z54" s="45">
        <f>Debt!Z12</f>
        <v>0</v>
      </c>
      <c r="AA54" s="45">
        <f>Debt!AA12</f>
        <v>0</v>
      </c>
      <c r="AB54" s="45">
        <f>Debt!AB12</f>
        <v>0</v>
      </c>
      <c r="AC54" s="45">
        <f>Debt!AC12</f>
        <v>0</v>
      </c>
      <c r="AD54" s="45">
        <f>Debt!AD12</f>
        <v>0</v>
      </c>
      <c r="AE54" s="45">
        <f>Debt!AE12</f>
        <v>0</v>
      </c>
    </row>
    <row r="55">
      <c r="A55" s="6" t="inlineStr">
        <is>
          <t xml:space="preserve">Decommissioning provision</t>
        </is>
      </c>
      <c r="B55" s="10" t="inlineStr">
        <is>
          <t xml:space="preserve">€</t>
        </is>
      </c>
      <c r="F55" s="23">
        <f>IF(Timing!F72=1,0,Tax!F9)</f>
        <v>8940.313145703616</v>
      </c>
      <c r="G55" s="23">
        <f>IF(Timing!G72=1,0,Tax!G9)</f>
        <v>28705.15416236045</v>
      </c>
      <c r="H55" s="23">
        <f>IF(Timing!H72=1,0,Tax!H9)</f>
        <v>51426.42875085992</v>
      </c>
      <c r="I55" s="23">
        <f>IF(Timing!I72=1,0,Tax!I9)</f>
        <v>77439.6437558924</v>
      </c>
      <c r="J55" s="23">
        <f>IF(Timing!J72=1,0,Tax!J9)</f>
        <v>107195.12647063406</v>
      </c>
      <c r="K55" s="23">
        <f>IF(Timing!K72=1,0,Tax!K9)</f>
        <v>140947.646167811</v>
      </c>
      <c r="L55" s="23">
        <f>IF(Timing!L72=1,0,Tax!L9)</f>
        <v>179216.50987453028</v>
      </c>
      <c r="M55" s="23">
        <f>IF(Timing!M72=1,0,Tax!M9)</f>
        <v>222493.6372194487</v>
      </c>
      <c r="N55" s="23">
        <f>IF(Timing!N72=1,0,Tax!N9)</f>
        <v>271446.8592501429</v>
      </c>
      <c r="O55" s="23">
        <f>IF(Timing!O72=1,0,Tax!O9)</f>
        <v>326430.4131824992</v>
      </c>
      <c r="P55" s="23">
        <f>IF(Timing!P72=1,0,Tax!P9)</f>
        <v>388210.458257602</v>
      </c>
      <c r="Q55" s="23">
        <f>IF(Timing!Q72=1,0,Tax!Q9)</f>
        <v>457502.9991200089</v>
      </c>
      <c r="R55" s="23">
        <f>IF(Timing!R72=1,0,Tax!R9)</f>
        <v>535289.3615646651</v>
      </c>
      <c r="S55" s="23">
        <f>IF(Timing!S72=1,0,Tax!S9)</f>
        <v>622061.4665916484</v>
      </c>
      <c r="T55" s="23">
        <f>IF(Timing!T72=1,0,Tax!T9)</f>
        <v>718940.3129001517</v>
      </c>
      <c r="U55" s="23">
        <f>IF(Timing!U72=1,0,Tax!U9)</f>
        <v>826961.6310308687</v>
      </c>
      <c r="V55" s="23">
        <f>IF(Timing!V72=1,0,Tax!V9)</f>
        <v>947556.4129436896</v>
      </c>
      <c r="W55" s="23">
        <f>IF(Timing!W72=1,0,Tax!W9)</f>
        <v>1081406.9774399346</v>
      </c>
      <c r="X55" s="23">
        <f>IF(Timing!X72=1,0,Tax!X9)</f>
        <v>1230142.0996783047</v>
      </c>
      <c r="Y55" s="23">
        <f>IF(Timing!Y72=1,0,Tax!Y9)</f>
        <v>1395252.052619535</v>
      </c>
      <c r="Z55" s="23">
        <f>IF(Timing!Z72=1,0,Tax!Z9)</f>
        <v>1578810.089440279</v>
      </c>
      <c r="AA55" s="23">
        <f>IF(Timing!AA72=1,0,Tax!AA9)</f>
        <v>1781761.58332694</v>
      </c>
      <c r="AB55" s="23">
        <f>IF(Timing!AB72=1,0,Tax!AB9)</f>
        <v>2006459.0738050842</v>
      </c>
      <c r="AC55" s="23">
        <f>IF(Timing!AC72=1,0,Tax!AC9)</f>
        <v>2255036.966835023</v>
      </c>
      <c r="AD55" s="23">
        <f>IF(Timing!AD72=1,0,Tax!AD9)</f>
        <v>2598567.488492467</v>
      </c>
      <c r="AE55" s="23">
        <f>IF(Timing!AE72=1,0,Tax!AE9)</f>
        <v>0</v>
      </c>
    </row>
    <row r="56">
      <c r="A56" s="6" t="inlineStr">
        <is>
          <t xml:space="preserve">Equity paid in</t>
        </is>
      </c>
      <c r="B56" s="10" t="inlineStr">
        <is>
          <t xml:space="preserve">€</t>
        </is>
      </c>
      <c r="C56" s="45">
        <f>Construction!$C$45</f>
        <v>38671265.02302264</v>
      </c>
    </row>
    <row r="57">
      <c r="A57" s="41" t="inlineStr">
        <is>
          <t xml:space="preserve">Book equity (model balance sheet, not an HGB test)</t>
        </is>
      </c>
      <c r="B57" s="10" t="inlineStr">
        <is>
          <t xml:space="preserve">€</t>
        </is>
      </c>
      <c r="F57" s="42">
        <f>$C$56-F46+F45</f>
        <v>36776821.39347295</v>
      </c>
      <c r="G57" s="42">
        <f>$C$56-G46+G45</f>
        <v>33047241.03578729</v>
      </c>
      <c r="H57" s="42">
        <f>$C$56-H46+H45</f>
        <v>30576994.830495164</v>
      </c>
      <c r="I57" s="42">
        <f>$C$56-I46+I45</f>
        <v>28115302.934218023</v>
      </c>
      <c r="J57" s="42">
        <f>$C$56-J46+J45</f>
        <v>25648974.259422265</v>
      </c>
      <c r="K57" s="42">
        <f>$C$56-K46+K45</f>
        <v>23550794.060929388</v>
      </c>
      <c r="L57" s="42">
        <f>$C$56-L46+L45</f>
        <v>20707188.40546947</v>
      </c>
      <c r="M57" s="42">
        <f>$C$56-M46+M45</f>
        <v>18228705.194119543</v>
      </c>
      <c r="N57" s="42">
        <f>$C$56-N46+N45</f>
        <v>15743585.363587987</v>
      </c>
      <c r="O57" s="42">
        <f>$C$56-O46+O45</f>
        <v>13254728.97252869</v>
      </c>
      <c r="P57" s="42">
        <f>$C$56-P46+P45</f>
        <v>10758120.041839061</v>
      </c>
      <c r="Q57" s="42">
        <f>$C$56-Q46+Q45</f>
        <v>8254128.891277384</v>
      </c>
      <c r="R57" s="42">
        <f>$C$56-R46+R45</f>
        <v>5740612.509229913</v>
      </c>
      <c r="S57" s="42">
        <f>$C$56-S46+S45</f>
        <v>3220573.433196742</v>
      </c>
      <c r="T57" s="42">
        <f>$C$56-T46+T45</f>
        <v>689401.0123101212</v>
      </c>
      <c r="U57" s="42">
        <f>$C$56-U46+U45</f>
        <v>-1852773.9902972467</v>
      </c>
      <c r="V57" s="42">
        <f>$C$56-V46+V45</f>
        <v>-2588871.5255856253</v>
      </c>
      <c r="W57" s="42">
        <f>$C$56-W46+W45</f>
        <v>-1515821.567548696</v>
      </c>
      <c r="X57" s="42">
        <f>$C$56-X46+X45</f>
        <v>-756088.0228978507</v>
      </c>
      <c r="Y57" s="42">
        <f>$C$56-Y46+Y45</f>
        <v>-912683.9646201059</v>
      </c>
      <c r="Z57" s="42">
        <f>$C$56-Z46+Z45</f>
        <v>-638226.9317063168</v>
      </c>
      <c r="AA57" s="42">
        <f>$C$56-AA46+AA45</f>
        <v>-380323.35360223055</v>
      </c>
      <c r="AB57" s="42">
        <f>$C$56-AB46+AB45</f>
        <v>-145349.49069936853</v>
      </c>
      <c r="AC57" s="42">
        <f>$C$56-AC46+AC45</f>
        <v>65905.26902855188</v>
      </c>
      <c r="AD57" s="42">
        <f>$C$56-AD46+AD45</f>
        <v>180930.37379301246</v>
      </c>
      <c r="AE57" s="42">
        <f>$C$56-AE46+AE45</f>
        <v>1.0989606380462646e-7</v>
      </c>
    </row>
    <row r="58">
      <c r="A58" s="6" t="inlineStr">
        <is>
          <t xml:space="preserve">Check: assets − loan − provision − equity</t>
        </is>
      </c>
      <c r="B58" s="10" t="inlineStr">
        <is>
          <t xml:space="preserve">€</t>
        </is>
      </c>
      <c r="F58" s="23">
        <f>F53-F54-F55-F57</f>
        <v>-7.450580596923828e-8</v>
      </c>
      <c r="G58" s="23">
        <f>G53-G54-G55-G57</f>
        <v>-7.450580596923828e-8</v>
      </c>
      <c r="H58" s="23">
        <f>H53-H54-H55-H57</f>
        <v>-7.82310962677002e-8</v>
      </c>
      <c r="I58" s="23">
        <f>I53-I54-I55-I57</f>
        <v>-8.195638656616211e-8</v>
      </c>
      <c r="J58" s="23">
        <f>J53-J54-J55-J57</f>
        <v>-7.450580596923828e-8</v>
      </c>
      <c r="K58" s="23">
        <f>K53-K54-K55-K57</f>
        <v>-7.82310962677002e-8</v>
      </c>
      <c r="L58" s="23">
        <f>L53-L54-L55-L57</f>
        <v>-7.450580596923828e-8</v>
      </c>
      <c r="M58" s="23">
        <f>M53-M54-M55-M57</f>
        <v>-8.195638656616211e-8</v>
      </c>
      <c r="N58" s="23">
        <f>N53-N54-N55-N57</f>
        <v>-7.82310962677002e-8</v>
      </c>
      <c r="O58" s="23">
        <f>O53-O54-O55-O57</f>
        <v>-7.82310962677002e-8</v>
      </c>
      <c r="P58" s="23">
        <f>P53-P54-P55-P57</f>
        <v>-8.568167686462402e-8</v>
      </c>
      <c r="Q58" s="23">
        <f>Q53-Q54-Q55-Q57</f>
        <v>-8.568167686462402e-8</v>
      </c>
      <c r="R58" s="23">
        <f>R53-R54-R55-R57</f>
        <v>-9.406358003616333e-8</v>
      </c>
      <c r="S58" s="23">
        <f>S53-S54-S55-S57</f>
        <v>-9.685754776000977e-8</v>
      </c>
      <c r="T58" s="23">
        <f>T53-T54-T55-T57</f>
        <v>-1.0244548320770264e-7</v>
      </c>
      <c r="U58" s="23">
        <f>U53-U54-U55-U57</f>
        <v>-1.0151416063308716e-7</v>
      </c>
      <c r="V58" s="23">
        <f>V53-V54-V55-V57</f>
        <v>-1.0384246706962585e-7</v>
      </c>
      <c r="W58" s="23">
        <f>W53-W54-W55-W57</f>
        <v>-1.043081283569336e-7</v>
      </c>
      <c r="X58" s="23">
        <f>X53-X54-X55-X57</f>
        <v>-1.0442454367876053e-7</v>
      </c>
      <c r="Y58" s="23">
        <f>Y53-Y54-Y55-Y57</f>
        <v>-1.0442454367876053e-7</v>
      </c>
      <c r="Z58" s="23">
        <f>Z53-Z54-Z55-Z57</f>
        <v>-1.0570511221885681e-7</v>
      </c>
      <c r="AA58" s="23">
        <f>AA53-AA54-AA55-AA57</f>
        <v>-1.0896474123001099e-7</v>
      </c>
      <c r="AB58" s="23">
        <f>AB53-AB54-AB55-AB57</f>
        <v>-1.1175870895385742e-7</v>
      </c>
      <c r="AC58" s="23">
        <f>AC53-AC54-AC55-AC57</f>
        <v>-1.1082738637924194e-7</v>
      </c>
      <c r="AD58" s="23">
        <f>AD53-AD54-AD55-AD57</f>
        <v>-1.0943040251731873e-7</v>
      </c>
      <c r="AE58" s="23">
        <f>AE53-AE54-AE55-AE57</f>
        <v>-1.0989606380462646e-7</v>
      </c>
    </row>
    <row r="60">
      <c r="A60" s="5" t="inlineStr">
        <is>
          <t xml:space="preserve">Downside</t>
        </is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>
      <c r="A61" s="6" t="inlineStr">
        <is>
          <t xml:space="preserve">Net income</t>
        </is>
      </c>
      <c r="B61" s="10" t="inlineStr">
        <is>
          <t xml:space="preserve">€</t>
        </is>
      </c>
      <c r="F61" s="23">
        <f>Tax!F125-Tax!F141</f>
        <v>-1168661.628190943</v>
      </c>
      <c r="G61" s="23">
        <f>Tax!G125-Tax!G141</f>
        <v>-2302334.7821137677</v>
      </c>
      <c r="H61" s="23">
        <f>Tax!H125-Tax!H141</f>
        <v>-2311934.3053157046</v>
      </c>
      <c r="I61" s="23">
        <f>Tax!I125-Tax!I141</f>
        <v>-2276508.498143874</v>
      </c>
      <c r="J61" s="23">
        <f>Tax!J125-Tax!J141</f>
        <v>-2241900.880268686</v>
      </c>
      <c r="K61" s="23">
        <f>Tax!K125-Tax!K141</f>
        <v>-656137.2152585821</v>
      </c>
      <c r="L61" s="23">
        <f>Tax!L125-Tax!L141</f>
        <v>-1893224.6489005324</v>
      </c>
      <c r="M61" s="23">
        <f>Tax!M125-Tax!M141</f>
        <v>-1861596.580554394</v>
      </c>
      <c r="N61" s="23">
        <f>Tax!N125-Tax!N141</f>
        <v>-1831034.745930917</v>
      </c>
      <c r="O61" s="23">
        <f>Tax!O125-Tax!O141</f>
        <v>-1801233.8690031678</v>
      </c>
      <c r="P61" s="23">
        <f>Tax!P125-Tax!P141</f>
        <v>-1913381.2921269229</v>
      </c>
      <c r="Q61" s="23">
        <f>Tax!Q125-Tax!Q141</f>
        <v>-1898045.565235972</v>
      </c>
      <c r="R61" s="23">
        <f>Tax!R125-Tax!R141</f>
        <v>-1884348.882963175</v>
      </c>
      <c r="S61" s="23">
        <f>Tax!S125-Tax!S141</f>
        <v>-1871815.393255123</v>
      </c>
      <c r="T61" s="23">
        <f>Tax!T125-Tax!T141</f>
        <v>-1861087.997357988</v>
      </c>
      <c r="U61" s="23">
        <f>Tax!U125-Tax!U141</f>
        <v>-1852095.5268923487</v>
      </c>
      <c r="V61" s="23">
        <f>Tax!V125-Tax!V141</f>
        <v>87.39107319986215</v>
      </c>
      <c r="W61" s="23">
        <f>Tax!W125-Tax!W141</f>
        <v>1944505.0860285058</v>
      </c>
      <c r="X61" s="23">
        <f>Tax!X125-Tax!X141</f>
        <v>2029334.493219609</v>
      </c>
      <c r="Y61" s="23">
        <f>Tax!Y125-Tax!Y141</f>
        <v>2090015.7967316275</v>
      </c>
      <c r="Z61" s="23">
        <f>Tax!Z125-Tax!Z141</f>
        <v>2026685.7561525803</v>
      </c>
      <c r="AA61" s="23">
        <f>Tax!AA125-Tax!AA141</f>
        <v>2045137.2925499948</v>
      </c>
      <c r="AB61" s="23">
        <f>Tax!AB125-Tax!AB141</f>
        <v>2061940.8254299918</v>
      </c>
      <c r="AC61" s="23">
        <f>Tax!AC125-Tax!AC141</f>
        <v>2077309.6086373916</v>
      </c>
      <c r="AD61" s="23">
        <f>Tax!AD125-Tax!AD141</f>
        <v>2026179.0704494086</v>
      </c>
      <c r="AE61" s="23">
        <f>Tax!AE125-Tax!AE141</f>
        <v>1115963.5132500674</v>
      </c>
    </row>
    <row r="62">
      <c r="A62" s="6" t="inlineStr">
        <is>
          <t xml:space="preserve">Depreciation to date</t>
        </is>
      </c>
      <c r="B62" s="10" t="inlineStr">
        <is>
          <t xml:space="preserve">€</t>
        </is>
      </c>
      <c r="E62" s="9">
        <v>0</v>
      </c>
      <c r="F62" s="23">
        <f>E62+Tax!F123</f>
        <v>1909215.6001672638</v>
      </c>
      <c r="G62" s="23">
        <f>F62+Tax!G123</f>
        <v>5727646.800501792</v>
      </c>
      <c r="H62" s="23">
        <f>G62+Tax!H123</f>
        <v>9546078.00083632</v>
      </c>
      <c r="I62" s="23">
        <f>H62+Tax!I123</f>
        <v>13364509.201170847</v>
      </c>
      <c r="J62" s="23">
        <f>I62+Tax!J123</f>
        <v>17182940.401505373</v>
      </c>
      <c r="K62" s="23">
        <f>J62+Tax!K123</f>
        <v>21001371.6018399</v>
      </c>
      <c r="L62" s="23">
        <f>K62+Tax!L123</f>
        <v>24819802.802174427</v>
      </c>
      <c r="M62" s="23">
        <f>L62+Tax!M123</f>
        <v>28638234.002508953</v>
      </c>
      <c r="N62" s="23">
        <f>M62+Tax!N123</f>
        <v>32456665.20284348</v>
      </c>
      <c r="O62" s="23">
        <f>N62+Tax!O123</f>
        <v>36275096.40317801</v>
      </c>
      <c r="P62" s="23">
        <f>O62+Tax!P123</f>
        <v>40093527.60351253</v>
      </c>
      <c r="Q62" s="23">
        <f>P62+Tax!Q123</f>
        <v>43911958.80384706</v>
      </c>
      <c r="R62" s="23">
        <f>Q62+Tax!R123</f>
        <v>47730390.004181586</v>
      </c>
      <c r="S62" s="23">
        <f>R62+Tax!S123</f>
        <v>51548821.20451611</v>
      </c>
      <c r="T62" s="23">
        <f>S62+Tax!T123</f>
        <v>55367252.40485064</v>
      </c>
      <c r="U62" s="23">
        <f>T62+Tax!U123</f>
        <v>59185683.605185166</v>
      </c>
      <c r="V62" s="23">
        <f>U62+Tax!V123</f>
        <v>61094899.20535243</v>
      </c>
      <c r="W62" s="23">
        <f>V62+Tax!W123</f>
        <v>61094899.20535243</v>
      </c>
      <c r="X62" s="23">
        <f>W62+Tax!X123</f>
        <v>61094899.20535243</v>
      </c>
      <c r="Y62" s="23">
        <f>X62+Tax!Y123</f>
        <v>61094899.20535243</v>
      </c>
      <c r="Z62" s="23">
        <f>Y62+Tax!Z123</f>
        <v>61094899.20535243</v>
      </c>
      <c r="AA62" s="23">
        <f>Z62+Tax!AA123</f>
        <v>61094899.20535243</v>
      </c>
      <c r="AB62" s="23">
        <f>AA62+Tax!AB123</f>
        <v>61094899.20535243</v>
      </c>
      <c r="AC62" s="23">
        <f>AB62+Tax!AC123</f>
        <v>61094899.20535243</v>
      </c>
      <c r="AD62" s="23">
        <f>AC62+Tax!AD123</f>
        <v>61094899.20535243</v>
      </c>
      <c r="AE62" s="23">
        <f>AD62+Tax!AE123</f>
        <v>61094899.20535243</v>
      </c>
    </row>
    <row r="63">
      <c r="A63" s="6" t="inlineStr">
        <is>
          <t xml:space="preserve">Net income to date</t>
        </is>
      </c>
      <c r="B63" s="10" t="inlineStr">
        <is>
          <t xml:space="preserve">€</t>
        </is>
      </c>
      <c r="E63" s="9">
        <v>0</v>
      </c>
      <c r="F63" s="23">
        <f>E63+F61</f>
        <v>-1168661.628190943</v>
      </c>
      <c r="G63" s="23">
        <f>F63+G61</f>
        <v>-3470996.4103047107</v>
      </c>
      <c r="H63" s="23">
        <f>G63+H61</f>
        <v>-5782930.715620415</v>
      </c>
      <c r="I63" s="23">
        <f>H63+I61</f>
        <v>-8059439.213764289</v>
      </c>
      <c r="J63" s="23">
        <f>I63+J61</f>
        <v>-10301340.094032975</v>
      </c>
      <c r="K63" s="23">
        <f>J63+K61</f>
        <v>-10957477.309291556</v>
      </c>
      <c r="L63" s="23">
        <f>K63+L61</f>
        <v>-12850701.95819209</v>
      </c>
      <c r="M63" s="23">
        <f>L63+M61</f>
        <v>-14712298.538746484</v>
      </c>
      <c r="N63" s="23">
        <f>M63+N61</f>
        <v>-16543333.284677401</v>
      </c>
      <c r="O63" s="23">
        <f>N63+O61</f>
        <v>-18344567.15368057</v>
      </c>
      <c r="P63" s="23">
        <f>O63+P61</f>
        <v>-20257948.445807494</v>
      </c>
      <c r="Q63" s="23">
        <f>P63+Q61</f>
        <v>-22155994.011043467</v>
      </c>
      <c r="R63" s="23">
        <f>Q63+R61</f>
        <v>-24040342.89400664</v>
      </c>
      <c r="S63" s="23">
        <f>R63+S61</f>
        <v>-25912158.28726176</v>
      </c>
      <c r="T63" s="23">
        <f>S63+T61</f>
        <v>-27773246.28461975</v>
      </c>
      <c r="U63" s="23">
        <f>T63+U61</f>
        <v>-29625341.811512098</v>
      </c>
      <c r="V63" s="23">
        <f>U63+V61</f>
        <v>-29625254.420438897</v>
      </c>
      <c r="W63" s="23">
        <f>V63+W61</f>
        <v>-27680749.33441039</v>
      </c>
      <c r="X63" s="23">
        <f>W63+X61</f>
        <v>-25651414.84119078</v>
      </c>
      <c r="Y63" s="23">
        <f>X63+Y61</f>
        <v>-23561399.044459153</v>
      </c>
      <c r="Z63" s="23">
        <f>Y63+Z61</f>
        <v>-21534713.28830657</v>
      </c>
      <c r="AA63" s="23">
        <f>Z63+AA61</f>
        <v>-19489575.995756578</v>
      </c>
      <c r="AB63" s="23">
        <f>AA63+AB61</f>
        <v>-17427635.170326587</v>
      </c>
      <c r="AC63" s="23">
        <f>AB63+AC61</f>
        <v>-15350325.561689194</v>
      </c>
      <c r="AD63" s="23">
        <f>AC63+AD61</f>
        <v>-13324146.491239786</v>
      </c>
      <c r="AE63" s="23">
        <f>AD63+AE61</f>
        <v>-12208182.977989718</v>
      </c>
    </row>
    <row r="64">
      <c r="A64" s="6" t="inlineStr">
        <is>
          <t xml:space="preserve">Cash to equity to date</t>
        </is>
      </c>
      <c r="B64" s="10" t="inlineStr">
        <is>
          <t xml:space="preserve">€</t>
        </is>
      </c>
      <c r="E64" s="9">
        <v>0</v>
      </c>
      <c r="F64" s="23">
        <f>E64+Waterfall!F162</f>
        <v>901699.9722832558</v>
      </c>
      <c r="G64" s="23">
        <f>F64+Waterfall!G162</f>
        <v>1732313.6114433436</v>
      </c>
      <c r="H64" s="23">
        <f>G64+Waterfall!H162</f>
        <v>2607320.0636274787</v>
      </c>
      <c r="I64" s="23">
        <f>H64+Waterfall!I162</f>
        <v>3078865.6810104577</v>
      </c>
      <c r="J64" s="23">
        <f>I64+Waterfall!J162</f>
        <v>3490329.149227307</v>
      </c>
      <c r="K64" s="23">
        <f>J64+Waterfall!K162</f>
        <v>3910633.5563748544</v>
      </c>
      <c r="L64" s="23">
        <f>K64+Waterfall!L162</f>
        <v>6231750.062708562</v>
      </c>
      <c r="M64" s="23">
        <f>L64+Waterfall!M162</f>
        <v>7036327.442748911</v>
      </c>
      <c r="N64" s="23">
        <f>M64+Waterfall!N162</f>
        <v>7878024.942915083</v>
      </c>
      <c r="O64" s="23">
        <f>N64+Waterfall!O162</f>
        <v>8753834.487670109</v>
      </c>
      <c r="P64" s="23">
        <f>O64+Waterfall!P162</f>
        <v>9525175.911041085</v>
      </c>
      <c r="Q64" s="23">
        <f>P64+Waterfall!Q162</f>
        <v>10319381.465093154</v>
      </c>
      <c r="R64" s="23">
        <f>Q64+Waterfall!R162</f>
        <v>11136724.97524843</v>
      </c>
      <c r="S64" s="23">
        <f>R64+Waterfall!S162</f>
        <v>11973741.838089027</v>
      </c>
      <c r="T64" s="23">
        <f>S64+Waterfall!T162</f>
        <v>12832540.955248635</v>
      </c>
      <c r="U64" s="23">
        <f>T64+Waterfall!U162</f>
        <v>13711492.25269163</v>
      </c>
      <c r="V64" s="23">
        <f>U64+Waterfall!V162</f>
        <v>14610882.44461872</v>
      </c>
      <c r="W64" s="23">
        <f>V64+Waterfall!W162</f>
        <v>15462103.872282814</v>
      </c>
      <c r="X64" s="23">
        <f>W64+Waterfall!X162</f>
        <v>16733377.580335049</v>
      </c>
      <c r="Y64" s="23">
        <f>X64+Waterfall!Y162</f>
        <v>18981692.121032726</v>
      </c>
      <c r="Z64" s="23">
        <f>Y64+Waterfall!Z162</f>
        <v>20735385.794411447</v>
      </c>
      <c r="AA64" s="23">
        <f>Z64+Waterfall!AA162</f>
        <v>22524652.45944853</v>
      </c>
      <c r="AB64" s="23">
        <f>AA64+Waterfall!AB162</f>
        <v>24353415.628844887</v>
      </c>
      <c r="AC64" s="23">
        <f>AB64+Waterfall!AC162</f>
        <v>26221298.944498952</v>
      </c>
      <c r="AD64" s="23">
        <f>AC64+Waterfall!AD162</f>
        <v>28134025.971661303</v>
      </c>
      <c r="AE64" s="23">
        <f>AD64+Waterfall!AE162</f>
        <v>29325710.605282083</v>
      </c>
    </row>
    <row r="65">
      <c r="A65" s="6" t="inlineStr">
        <is>
          <t xml:space="preserve">Wind farm (book value)</t>
        </is>
      </c>
      <c r="B65" s="10" t="inlineStr">
        <is>
          <t xml:space="preserve">€</t>
        </is>
      </c>
      <c r="F65" s="23">
        <f>Construction!$C$83-F62</f>
        <v>59185683.60518517</v>
      </c>
      <c r="G65" s="23">
        <f>Construction!$C$83-G62</f>
        <v>55367252.40485065</v>
      </c>
      <c r="H65" s="23">
        <f>Construction!$C$83-H62</f>
        <v>51548821.20451612</v>
      </c>
      <c r="I65" s="23">
        <f>Construction!$C$83-I62</f>
        <v>47730390.00418159</v>
      </c>
      <c r="J65" s="23">
        <f>Construction!$C$83-J62</f>
        <v>43911958.80384707</v>
      </c>
      <c r="K65" s="23">
        <f>Construction!$C$83-K62</f>
        <v>40093527.60351254</v>
      </c>
      <c r="L65" s="23">
        <f>Construction!$C$83-L62</f>
        <v>36275096.403178014</v>
      </c>
      <c r="M65" s="23">
        <f>Construction!$C$83-M62</f>
        <v>32456665.202843487</v>
      </c>
      <c r="N65" s="23">
        <f>Construction!$C$83-N62</f>
        <v>28638234.00250896</v>
      </c>
      <c r="O65" s="23">
        <f>Construction!$C$83-O62</f>
        <v>24819802.802174434</v>
      </c>
      <c r="P65" s="23">
        <f>Construction!$C$83-P62</f>
        <v>21001371.601839907</v>
      </c>
      <c r="Q65" s="23">
        <f>Construction!$C$83-Q62</f>
        <v>17182940.40150538</v>
      </c>
      <c r="R65" s="23">
        <f>Construction!$C$83-R62</f>
        <v>13364509.201170854</v>
      </c>
      <c r="S65" s="23">
        <f>Construction!$C$83-S62</f>
        <v>9546078.000836328</v>
      </c>
      <c r="T65" s="23">
        <f>Construction!$C$83-T62</f>
        <v>5727646.800501801</v>
      </c>
      <c r="U65" s="23">
        <f>Construction!$C$83-U62</f>
        <v>1909215.6001672745</v>
      </c>
      <c r="V65" s="23">
        <f>Construction!$C$83-V62</f>
        <v>7.450580596923828e-9</v>
      </c>
      <c r="W65" s="23">
        <f>Construction!$C$83-W62</f>
        <v>7.450580596923828e-9</v>
      </c>
      <c r="X65" s="23">
        <f>Construction!$C$83-X62</f>
        <v>7.450580596923828e-9</v>
      </c>
      <c r="Y65" s="23">
        <f>Construction!$C$83-Y62</f>
        <v>7.450580596923828e-9</v>
      </c>
      <c r="Z65" s="23">
        <f>Construction!$C$83-Z62</f>
        <v>7.450580596923828e-9</v>
      </c>
      <c r="AA65" s="23">
        <f>Construction!$C$83-AA62</f>
        <v>7.450580596923828e-9</v>
      </c>
      <c r="AB65" s="23">
        <f>Construction!$C$83-AB62</f>
        <v>7.450580596923828e-9</v>
      </c>
      <c r="AC65" s="23">
        <f>Construction!$C$83-AC62</f>
        <v>7.450580596923828e-9</v>
      </c>
      <c r="AD65" s="23">
        <f>Construction!$C$83-AD62</f>
        <v>7.450580596923828e-9</v>
      </c>
      <c r="AE65" s="23">
        <f>Construction!$C$83-AE62</f>
        <v>7.450580596923828e-9</v>
      </c>
    </row>
    <row r="66">
      <c r="A66" s="6" t="inlineStr">
        <is>
          <t xml:space="preserve">Receivables</t>
        </is>
      </c>
      <c r="B66" s="10" t="inlineStr">
        <is>
          <t xml:space="preserve">€</t>
        </is>
      </c>
      <c r="F66" s="45">
        <f>Operations!F224</f>
        <v>345843.31366687163</v>
      </c>
      <c r="G66" s="45">
        <f>Operations!G224</f>
        <v>1051090.9337442005</v>
      </c>
      <c r="H66" s="45">
        <f>Operations!H224</f>
        <v>507868.291577583</v>
      </c>
      <c r="I66" s="45">
        <f>Operations!I224</f>
        <v>406824.23180048383</v>
      </c>
      <c r="J66" s="45">
        <f>Operations!J224</f>
        <v>404212.2067744117</v>
      </c>
      <c r="K66" s="45">
        <f>Operations!K224</f>
        <v>1982519.9448101814</v>
      </c>
      <c r="L66" s="45">
        <f>Operations!L224</f>
        <v>427444.49402738234</v>
      </c>
      <c r="M66" s="45">
        <f>Operations!M224</f>
        <v>425544.50152228033</v>
      </c>
      <c r="N66" s="45">
        <f>Operations!N224</f>
        <v>422762.3182006076</v>
      </c>
      <c r="O66" s="45">
        <f>Operations!O224</f>
        <v>421699.2991194933</v>
      </c>
      <c r="P66" s="45">
        <f>Operations!P224</f>
        <v>419753.46944142046</v>
      </c>
      <c r="Q66" s="45">
        <f>Operations!Q224</f>
        <v>417791.73176050873</v>
      </c>
      <c r="R66" s="45">
        <f>Operations!R224</f>
        <v>414882.54183143855</v>
      </c>
      <c r="S66" s="45">
        <f>Operations!S224</f>
        <v>413819.2315074268</v>
      </c>
      <c r="T66" s="45">
        <f>Operations!T224</f>
        <v>411807.8040430567</v>
      </c>
      <c r="U66" s="45">
        <f>Operations!U224</f>
        <v>409779.13858315395</v>
      </c>
      <c r="V66" s="45">
        <f>Operations!V224</f>
        <v>342852.36021954415</v>
      </c>
      <c r="W66" s="45">
        <f>Operations!W224</f>
        <v>372552.2234903922</v>
      </c>
      <c r="X66" s="45">
        <f>Operations!X224</f>
        <v>379243.26142427983</v>
      </c>
      <c r="Y66" s="45">
        <f>Operations!Y224</f>
        <v>386054.47039945977</v>
      </c>
      <c r="Z66" s="45">
        <f>Operations!Z224</f>
        <v>391914.27095917874</v>
      </c>
      <c r="AA66" s="45">
        <f>Operations!AA224</f>
        <v>400046.0733238676</v>
      </c>
      <c r="AB66" s="45">
        <f>Operations!AB224</f>
        <v>407230.9008007642</v>
      </c>
      <c r="AC66" s="45">
        <f>Operations!AC224</f>
        <v>414544.76777914603</v>
      </c>
      <c r="AD66" s="45">
        <f>Operations!AD224</f>
        <v>420837.01368876424</v>
      </c>
      <c r="AE66" s="45">
        <f>Operations!AE224</f>
        <v>0</v>
      </c>
    </row>
    <row r="67">
      <c r="A67" s="6" t="inlineStr">
        <is>
          <t xml:space="preserve">Debt service reserve</t>
        </is>
      </c>
      <c r="B67" s="10" t="inlineStr">
        <is>
          <t xml:space="preserve">€</t>
        </is>
      </c>
      <c r="F67" s="45">
        <f>Waterfall!F158</f>
        <v>573287.0601285857</v>
      </c>
      <c r="G67" s="45">
        <f>Waterfall!G158</f>
        <v>573287.0601285857</v>
      </c>
      <c r="H67" s="45">
        <f>Waterfall!H158</f>
        <v>557054.2618926666</v>
      </c>
      <c r="I67" s="45">
        <f>Waterfall!I158</f>
        <v>540821.4636567476</v>
      </c>
      <c r="J67" s="45">
        <f>Waterfall!J158</f>
        <v>524588.6654208285</v>
      </c>
      <c r="K67" s="45">
        <f>Waterfall!K158</f>
        <v>508355.8671849094</v>
      </c>
      <c r="L67" s="45">
        <f>Waterfall!L158</f>
        <v>492123.06894899043</v>
      </c>
      <c r="M67" s="45">
        <f>Waterfall!M158</f>
        <v>475890.27071307134</v>
      </c>
      <c r="N67" s="45">
        <f>Waterfall!N158</f>
        <v>459657.47247715236</v>
      </c>
      <c r="O67" s="45">
        <f>Waterfall!O158</f>
        <v>443424.67424123327</v>
      </c>
      <c r="P67" s="45">
        <f>Waterfall!P158</f>
        <v>427191.87600531423</v>
      </c>
      <c r="Q67" s="45">
        <f>Waterfall!Q158</f>
        <v>410959.07776939514</v>
      </c>
      <c r="R67" s="45">
        <f>Waterfall!R158</f>
        <v>394726.2795334761</v>
      </c>
      <c r="S67" s="45">
        <f>Waterfall!S158</f>
        <v>378493.48129755707</v>
      </c>
      <c r="T67" s="45">
        <f>Waterfall!T158</f>
        <v>362260.68306163803</v>
      </c>
      <c r="U67" s="45">
        <f>Waterfall!U158</f>
        <v>346027.88482571894</v>
      </c>
      <c r="V67" s="45">
        <f>Waterfall!V158</f>
        <v>329795.0865897999</v>
      </c>
      <c r="W67" s="45">
        <f>Waterfall!W158</f>
        <v>313562.2883538849</v>
      </c>
      <c r="X67" s="45">
        <f>Waterfall!X158</f>
        <v>0</v>
      </c>
      <c r="Y67" s="45">
        <f>Waterfall!Y158</f>
        <v>0</v>
      </c>
      <c r="Z67" s="45">
        <f>Waterfall!Z158</f>
        <v>0</v>
      </c>
      <c r="AA67" s="45">
        <f>Waterfall!AA158</f>
        <v>0</v>
      </c>
      <c r="AB67" s="45">
        <f>Waterfall!AB158</f>
        <v>0</v>
      </c>
      <c r="AC67" s="45">
        <f>Waterfall!AC158</f>
        <v>0</v>
      </c>
      <c r="AD67" s="45">
        <f>Waterfall!AD158</f>
        <v>0</v>
      </c>
      <c r="AE67" s="45">
        <f>Waterfall!AE158</f>
        <v>0</v>
      </c>
    </row>
    <row r="68">
      <c r="A68" s="6" t="inlineStr">
        <is>
          <t xml:space="preserve">Decommissioning reserve</t>
        </is>
      </c>
      <c r="B68" s="10" t="inlineStr">
        <is>
          <t xml:space="preserve">€</t>
        </is>
      </c>
      <c r="F68" s="45">
        <f>Waterfall!F159</f>
        <v>0</v>
      </c>
      <c r="G68" s="45">
        <f>Waterfall!G159</f>
        <v>0</v>
      </c>
      <c r="H68" s="45">
        <f>Waterfall!H159</f>
        <v>0</v>
      </c>
      <c r="I68" s="45">
        <f>Waterfall!I159</f>
        <v>0</v>
      </c>
      <c r="J68" s="45">
        <f>Waterfall!J159</f>
        <v>0</v>
      </c>
      <c r="K68" s="45">
        <f>Waterfall!K159</f>
        <v>0</v>
      </c>
      <c r="L68" s="45">
        <f>Waterfall!L159</f>
        <v>0</v>
      </c>
      <c r="M68" s="45">
        <f>Waterfall!M159</f>
        <v>0</v>
      </c>
      <c r="N68" s="45">
        <f>Waterfall!N159</f>
        <v>0</v>
      </c>
      <c r="O68" s="45">
        <f>Waterfall!O159</f>
        <v>0</v>
      </c>
      <c r="P68" s="45">
        <f>Waterfall!P159</f>
        <v>0</v>
      </c>
      <c r="Q68" s="45">
        <f>Waterfall!Q159</f>
        <v>0</v>
      </c>
      <c r="R68" s="45">
        <f>Waterfall!R159</f>
        <v>0</v>
      </c>
      <c r="S68" s="45">
        <f>Waterfall!S159</f>
        <v>0</v>
      </c>
      <c r="T68" s="45">
        <f>Waterfall!T159</f>
        <v>0</v>
      </c>
      <c r="U68" s="45">
        <f>Waterfall!U159</f>
        <v>0</v>
      </c>
      <c r="V68" s="45">
        <f>Waterfall!V159</f>
        <v>0</v>
      </c>
      <c r="W68" s="45">
        <f>Waterfall!W159</f>
        <v>0</v>
      </c>
      <c r="X68" s="45">
        <f>Waterfall!X159</f>
        <v>0</v>
      </c>
      <c r="Y68" s="45">
        <f>Waterfall!Y159</f>
        <v>0</v>
      </c>
      <c r="Z68" s="45">
        <f>Waterfall!Z159</f>
        <v>450690.3190348829</v>
      </c>
      <c r="AA68" s="45">
        <f>Waterfall!AA159</f>
        <v>901380.6380697659</v>
      </c>
      <c r="AB68" s="45">
        <f>Waterfall!AB159</f>
        <v>1352070.9571046487</v>
      </c>
      <c r="AC68" s="45">
        <f>Waterfall!AC159</f>
        <v>1802761.2761395315</v>
      </c>
      <c r="AD68" s="45">
        <f>Waterfall!AD159</f>
        <v>2253451.5951744146</v>
      </c>
      <c r="AE68" s="45">
        <f>Waterfall!AE159</f>
        <v>0</v>
      </c>
    </row>
    <row r="69">
      <c r="A69" s="6" t="inlineStr">
        <is>
          <t xml:space="preserve">Cash held back</t>
        </is>
      </c>
      <c r="B69" s="10" t="inlineStr">
        <is>
          <t xml:space="preserve">€</t>
        </is>
      </c>
      <c r="F69" s="45">
        <f>Waterfall!F160</f>
        <v>0</v>
      </c>
      <c r="G69" s="45">
        <f>Waterfall!G160</f>
        <v>0</v>
      </c>
      <c r="H69" s="45">
        <f>Waterfall!H160</f>
        <v>0</v>
      </c>
      <c r="I69" s="45">
        <f>Waterfall!I160</f>
        <v>0</v>
      </c>
      <c r="J69" s="45">
        <f>Waterfall!J160</f>
        <v>0</v>
      </c>
      <c r="K69" s="45">
        <f>Waterfall!K160</f>
        <v>0</v>
      </c>
      <c r="L69" s="45">
        <f>Waterfall!L160</f>
        <v>0</v>
      </c>
      <c r="M69" s="45">
        <f>Waterfall!M160</f>
        <v>0</v>
      </c>
      <c r="N69" s="45">
        <f>Waterfall!N160</f>
        <v>0</v>
      </c>
      <c r="O69" s="45">
        <f>Waterfall!O160</f>
        <v>0</v>
      </c>
      <c r="P69" s="45">
        <f>Waterfall!P160</f>
        <v>0</v>
      </c>
      <c r="Q69" s="45">
        <f>Waterfall!Q160</f>
        <v>0</v>
      </c>
      <c r="R69" s="45">
        <f>Waterfall!R160</f>
        <v>0</v>
      </c>
      <c r="S69" s="45">
        <f>Waterfall!S160</f>
        <v>0</v>
      </c>
      <c r="T69" s="45">
        <f>Waterfall!T160</f>
        <v>0</v>
      </c>
      <c r="U69" s="45">
        <f>Waterfall!U160</f>
        <v>0</v>
      </c>
      <c r="V69" s="45">
        <f>Waterfall!V160</f>
        <v>0</v>
      </c>
      <c r="W69" s="45">
        <f>Waterfall!W160</f>
        <v>0</v>
      </c>
      <c r="X69" s="45">
        <f>Waterfall!X160</f>
        <v>0</v>
      </c>
      <c r="Y69" s="45">
        <f>Waterfall!Y160</f>
        <v>0</v>
      </c>
      <c r="Z69" s="45">
        <f>Waterfall!Z160</f>
        <v>0</v>
      </c>
      <c r="AA69" s="45">
        <f>Waterfall!AA160</f>
        <v>0</v>
      </c>
      <c r="AB69" s="45">
        <f>Waterfall!AB160</f>
        <v>0</v>
      </c>
      <c r="AC69" s="45">
        <f>Waterfall!AC160</f>
        <v>0</v>
      </c>
      <c r="AD69" s="45">
        <f>Waterfall!AD160</f>
        <v>0</v>
      </c>
      <c r="AE69" s="45">
        <f>Waterfall!AE160</f>
        <v>0</v>
      </c>
    </row>
    <row r="70">
      <c r="A70" s="6" t="inlineStr">
        <is>
          <t xml:space="preserve">Unpaid cash (negative)</t>
        </is>
      </c>
      <c r="B70" s="10" t="inlineStr">
        <is>
          <t xml:space="preserve">€</t>
        </is>
      </c>
      <c r="F70" s="45">
        <f>Waterfall!F161</f>
        <v>0</v>
      </c>
      <c r="G70" s="45">
        <f>Waterfall!G161</f>
        <v>0</v>
      </c>
      <c r="H70" s="45">
        <f>Waterfall!H161</f>
        <v>0</v>
      </c>
      <c r="I70" s="45">
        <f>Waterfall!I161</f>
        <v>0</v>
      </c>
      <c r="J70" s="45">
        <f>Waterfall!J161</f>
        <v>0</v>
      </c>
      <c r="K70" s="45">
        <f>Waterfall!K161</f>
        <v>0</v>
      </c>
      <c r="L70" s="45">
        <f>Waterfall!L161</f>
        <v>0</v>
      </c>
      <c r="M70" s="45">
        <f>Waterfall!M161</f>
        <v>0</v>
      </c>
      <c r="N70" s="45">
        <f>Waterfall!N161</f>
        <v>0</v>
      </c>
      <c r="O70" s="45">
        <f>Waterfall!O161</f>
        <v>0</v>
      </c>
      <c r="P70" s="45">
        <f>Waterfall!P161</f>
        <v>0</v>
      </c>
      <c r="Q70" s="45">
        <f>Waterfall!Q161</f>
        <v>0</v>
      </c>
      <c r="R70" s="45">
        <f>Waterfall!R161</f>
        <v>0</v>
      </c>
      <c r="S70" s="45">
        <f>Waterfall!S161</f>
        <v>0</v>
      </c>
      <c r="T70" s="45">
        <f>Waterfall!T161</f>
        <v>0</v>
      </c>
      <c r="U70" s="45">
        <f>Waterfall!U161</f>
        <v>0</v>
      </c>
      <c r="V70" s="45">
        <f>Waterfall!V161</f>
        <v>0</v>
      </c>
      <c r="W70" s="45">
        <f>Waterfall!W161</f>
        <v>0</v>
      </c>
      <c r="X70" s="45">
        <f>Waterfall!X161</f>
        <v>0</v>
      </c>
      <c r="Y70" s="45">
        <f>Waterfall!Y161</f>
        <v>0</v>
      </c>
      <c r="Z70" s="45">
        <f>Waterfall!Z161</f>
        <v>0</v>
      </c>
      <c r="AA70" s="45">
        <f>Waterfall!AA161</f>
        <v>0</v>
      </c>
      <c r="AB70" s="45">
        <f>Waterfall!AB161</f>
        <v>0</v>
      </c>
      <c r="AC70" s="45">
        <f>Waterfall!AC161</f>
        <v>0</v>
      </c>
      <c r="AD70" s="45">
        <f>Waterfall!AD161</f>
        <v>0</v>
      </c>
      <c r="AE70" s="45">
        <f>Waterfall!AE161</f>
        <v>0</v>
      </c>
    </row>
    <row r="71">
      <c r="A71" s="41" t="inlineStr">
        <is>
          <t xml:space="preserve">Total assets</t>
        </is>
      </c>
      <c r="B71" s="10" t="inlineStr">
        <is>
          <t xml:space="preserve">€</t>
        </is>
      </c>
      <c r="F71" s="42">
        <f>F65+F66+F67+F68+F69+F70</f>
        <v>60104813.97898063</v>
      </c>
      <c r="G71" s="42">
        <f>G65+G66+G67+G68+G69+G70</f>
        <v>56991630.39872343</v>
      </c>
      <c r="H71" s="42">
        <f>H65+H66+H67+H68+H69+H70</f>
        <v>52613743.757986374</v>
      </c>
      <c r="I71" s="42">
        <f>I65+I66+I67+I68+I69+I70</f>
        <v>48678035.69963882</v>
      </c>
      <c r="J71" s="42">
        <f>J65+J66+J67+J68+J69+J70</f>
        <v>44840759.67604231</v>
      </c>
      <c r="K71" s="42">
        <f>K65+K66+K67+K68+K69+K70</f>
        <v>42584403.41550763</v>
      </c>
      <c r="L71" s="42">
        <f>L65+L66+L67+L68+L69+L70</f>
        <v>37194663.96615439</v>
      </c>
      <c r="M71" s="42">
        <f>M65+M66+M67+M68+M69+M70</f>
        <v>33358099.97507884</v>
      </c>
      <c r="N71" s="42">
        <f>N65+N66+N67+N68+N69+N70</f>
        <v>29520653.79318672</v>
      </c>
      <c r="O71" s="42">
        <f>O65+O66+O67+O68+O69+O70</f>
        <v>25684926.775535163</v>
      </c>
      <c r="P71" s="42">
        <f>P65+P66+P67+P68+P69+P70</f>
        <v>21848316.947286643</v>
      </c>
      <c r="Q71" s="42">
        <f>Q65+Q66+Q67+Q68+Q69+Q70</f>
        <v>18011691.211035285</v>
      </c>
      <c r="R71" s="42">
        <f>R65+R66+R67+R68+R69+R70</f>
        <v>14174118.02253577</v>
      </c>
      <c r="S71" s="42">
        <f>S65+S66+S67+S68+S69+S70</f>
        <v>10338390.71364131</v>
      </c>
      <c r="T71" s="42">
        <f>T65+T66+T67+T68+T69+T70</f>
        <v>6501715.287606495</v>
      </c>
      <c r="U71" s="42">
        <f>U65+U66+U67+U68+U69+U70</f>
        <v>2665022.6235761475</v>
      </c>
      <c r="V71" s="42">
        <f>V65+V66+V67+V68+V69+V70</f>
        <v>672647.4468093514</v>
      </c>
      <c r="W71" s="42">
        <f>W65+W66+W67+W68+W69+W70</f>
        <v>686114.5118442846</v>
      </c>
      <c r="X71" s="42">
        <f>X65+X66+X67+X68+X69+X70</f>
        <v>379243.2614242873</v>
      </c>
      <c r="Y71" s="42">
        <f>Y65+Y66+Y67+Y68+Y69+Y70</f>
        <v>386054.4703994672</v>
      </c>
      <c r="Z71" s="42">
        <f>Z65+Z66+Z67+Z68+Z69+Z70</f>
        <v>842604.5899940691</v>
      </c>
      <c r="AA71" s="42">
        <f>AA65+AA66+AA67+AA68+AA69+AA70</f>
        <v>1301426.7113936408</v>
      </c>
      <c r="AB71" s="42">
        <f>AB65+AB66+AB67+AB68+AB69+AB70</f>
        <v>1759301.8579054205</v>
      </c>
      <c r="AC71" s="42">
        <f>AC65+AC66+AC67+AC68+AC69+AC70</f>
        <v>2217306.043918685</v>
      </c>
      <c r="AD71" s="42">
        <f>AD65+AD66+AD67+AD68+AD69+AD70</f>
        <v>2674288.608863186</v>
      </c>
      <c r="AE71" s="42">
        <f>AE65+AE66+AE67+AE68+AE69+AE70</f>
        <v>7.450580596923828e-9</v>
      </c>
    </row>
    <row r="72">
      <c r="A72" s="6" t="inlineStr">
        <is>
          <t xml:space="preserve">Senior loan</t>
        </is>
      </c>
      <c r="B72" s="10" t="inlineStr">
        <is>
          <t xml:space="preserve">€</t>
        </is>
      </c>
      <c r="F72" s="45">
        <f>Debt!F12</f>
        <v>20632341.68303732</v>
      </c>
      <c r="G72" s="45">
        <f>Debt!G12</f>
        <v>20632341.68303732</v>
      </c>
      <c r="H72" s="45">
        <f>Debt!H12</f>
        <v>19418674.525211595</v>
      </c>
      <c r="I72" s="45">
        <f>Debt!I12</f>
        <v>18205007.36738587</v>
      </c>
      <c r="J72" s="45">
        <f>Debt!J12</f>
        <v>16991340.20956015</v>
      </c>
      <c r="K72" s="45">
        <f>Debt!K12</f>
        <v>15777673.051734425</v>
      </c>
      <c r="L72" s="45">
        <f>Debt!L12</f>
        <v>14564005.893908702</v>
      </c>
      <c r="M72" s="45">
        <f>Debt!M12</f>
        <v>13350338.736082979</v>
      </c>
      <c r="N72" s="45">
        <f>Debt!N12</f>
        <v>12136671.578257255</v>
      </c>
      <c r="O72" s="45">
        <f>Debt!O12</f>
        <v>10923004.420431532</v>
      </c>
      <c r="P72" s="45">
        <f>Debt!P12</f>
        <v>9709337.262605809</v>
      </c>
      <c r="Q72" s="45">
        <f>Debt!Q12</f>
        <v>8495670.104780085</v>
      </c>
      <c r="R72" s="45">
        <f>Debt!R12</f>
        <v>7282002.946954362</v>
      </c>
      <c r="S72" s="45">
        <f>Debt!S12</f>
        <v>6068335.789128639</v>
      </c>
      <c r="T72" s="45">
        <f>Debt!T12</f>
        <v>4854668.6313029155</v>
      </c>
      <c r="U72" s="45">
        <f>Debt!U12</f>
        <v>3641001.4734771913</v>
      </c>
      <c r="V72" s="45">
        <f>Debt!V12</f>
        <v>2427334.315651466</v>
      </c>
      <c r="W72" s="45">
        <f>Debt!W12</f>
        <v>1213667.157825741</v>
      </c>
      <c r="X72" s="45">
        <f>Debt!X12</f>
        <v>0</v>
      </c>
      <c r="Y72" s="45">
        <f>Debt!Y12</f>
        <v>0</v>
      </c>
      <c r="Z72" s="45">
        <f>Debt!Z12</f>
        <v>0</v>
      </c>
      <c r="AA72" s="45">
        <f>Debt!AA12</f>
        <v>0</v>
      </c>
      <c r="AB72" s="45">
        <f>Debt!AB12</f>
        <v>0</v>
      </c>
      <c r="AC72" s="45">
        <f>Debt!AC12</f>
        <v>0</v>
      </c>
      <c r="AD72" s="45">
        <f>Debt!AD12</f>
        <v>0</v>
      </c>
      <c r="AE72" s="45">
        <f>Debt!AE12</f>
        <v>0</v>
      </c>
    </row>
    <row r="73">
      <c r="A73" s="6" t="inlineStr">
        <is>
          <t xml:space="preserve">Decommissioning provision</t>
        </is>
      </c>
      <c r="B73" s="10" t="inlineStr">
        <is>
          <t xml:space="preserve">€</t>
        </is>
      </c>
      <c r="F73" s="23">
        <f>IF(Timing!F72=1,0,Tax!F9)</f>
        <v>8940.313145703616</v>
      </c>
      <c r="G73" s="23">
        <f>IF(Timing!G72=1,0,Tax!G9)</f>
        <v>28705.15416236045</v>
      </c>
      <c r="H73" s="23">
        <f>IF(Timing!H72=1,0,Tax!H9)</f>
        <v>51426.42875085992</v>
      </c>
      <c r="I73" s="23">
        <f>IF(Timing!I72=1,0,Tax!I9)</f>
        <v>77439.6437558924</v>
      </c>
      <c r="J73" s="23">
        <f>IF(Timing!J72=1,0,Tax!J9)</f>
        <v>107195.12647063406</v>
      </c>
      <c r="K73" s="23">
        <f>IF(Timing!K72=1,0,Tax!K9)</f>
        <v>140947.646167811</v>
      </c>
      <c r="L73" s="23">
        <f>IF(Timing!L72=1,0,Tax!L9)</f>
        <v>179216.50987453028</v>
      </c>
      <c r="M73" s="23">
        <f>IF(Timing!M72=1,0,Tax!M9)</f>
        <v>222493.6372194487</v>
      </c>
      <c r="N73" s="23">
        <f>IF(Timing!N72=1,0,Tax!N9)</f>
        <v>271446.8592501429</v>
      </c>
      <c r="O73" s="23">
        <f>IF(Timing!O72=1,0,Tax!O9)</f>
        <v>326430.4131824992</v>
      </c>
      <c r="P73" s="23">
        <f>IF(Timing!P72=1,0,Tax!P9)</f>
        <v>388210.458257602</v>
      </c>
      <c r="Q73" s="23">
        <f>IF(Timing!Q72=1,0,Tax!Q9)</f>
        <v>457502.9991200089</v>
      </c>
      <c r="R73" s="23">
        <f>IF(Timing!R72=1,0,Tax!R9)</f>
        <v>535289.3615646651</v>
      </c>
      <c r="S73" s="23">
        <f>IF(Timing!S72=1,0,Tax!S9)</f>
        <v>622061.4665916484</v>
      </c>
      <c r="T73" s="23">
        <f>IF(Timing!T72=1,0,Tax!T9)</f>
        <v>718940.3129001517</v>
      </c>
      <c r="U73" s="23">
        <f>IF(Timing!U72=1,0,Tax!U9)</f>
        <v>826961.6310308687</v>
      </c>
      <c r="V73" s="23">
        <f>IF(Timing!V72=1,0,Tax!V9)</f>
        <v>947556.4129436896</v>
      </c>
      <c r="W73" s="23">
        <f>IF(Timing!W72=1,0,Tax!W9)</f>
        <v>1081406.9774399346</v>
      </c>
      <c r="X73" s="23">
        <f>IF(Timing!X72=1,0,Tax!X9)</f>
        <v>1230142.0996783047</v>
      </c>
      <c r="Y73" s="23">
        <f>IF(Timing!Y72=1,0,Tax!Y9)</f>
        <v>1395252.052619535</v>
      </c>
      <c r="Z73" s="23">
        <f>IF(Timing!Z72=1,0,Tax!Z9)</f>
        <v>1578810.089440279</v>
      </c>
      <c r="AA73" s="23">
        <f>IF(Timing!AA72=1,0,Tax!AA9)</f>
        <v>1781761.58332694</v>
      </c>
      <c r="AB73" s="23">
        <f>IF(Timing!AB72=1,0,Tax!AB9)</f>
        <v>2006459.0738050842</v>
      </c>
      <c r="AC73" s="23">
        <f>IF(Timing!AC72=1,0,Tax!AC9)</f>
        <v>2255036.966835023</v>
      </c>
      <c r="AD73" s="23">
        <f>IF(Timing!AD72=1,0,Tax!AD9)</f>
        <v>2598567.488492467</v>
      </c>
      <c r="AE73" s="23">
        <f>IF(Timing!AE72=1,0,Tax!AE9)</f>
        <v>0</v>
      </c>
    </row>
    <row r="74">
      <c r="A74" s="6" t="inlineStr">
        <is>
          <t xml:space="preserve">Equity paid in</t>
        </is>
      </c>
      <c r="B74" s="10" t="inlineStr">
        <is>
          <t xml:space="preserve">€</t>
        </is>
      </c>
      <c r="C74" s="45">
        <f>Construction!$C$80</f>
        <v>41533893.58327187</v>
      </c>
    </row>
    <row r="75">
      <c r="A75" s="41" t="inlineStr">
        <is>
          <t xml:space="preserve">Book equity (model balance sheet, not an HGB test)</t>
        </is>
      </c>
      <c r="B75" s="10" t="inlineStr">
        <is>
          <t xml:space="preserve">€</t>
        </is>
      </c>
      <c r="F75" s="42">
        <f>$C$74-F64+F63</f>
        <v>39463531.98279767</v>
      </c>
      <c r="G75" s="42">
        <f>$C$74-G64+G63</f>
        <v>36330583.56152382</v>
      </c>
      <c r="H75" s="42">
        <f>$C$74-H64+H63</f>
        <v>33143642.804023974</v>
      </c>
      <c r="I75" s="42">
        <f>$C$74-I64+I63</f>
        <v>30395588.688497126</v>
      </c>
      <c r="J75" s="42">
        <f>$C$74-J64+J63</f>
        <v>27742224.34001159</v>
      </c>
      <c r="K75" s="42">
        <f>$C$74-K64+K63</f>
        <v>26665782.717605457</v>
      </c>
      <c r="L75" s="42">
        <f>$C$74-L64+L63</f>
        <v>22451441.562371217</v>
      </c>
      <c r="M75" s="42">
        <f>$C$74-M64+M63</f>
        <v>19785267.601776473</v>
      </c>
      <c r="N75" s="42">
        <f>$C$74-N64+N63</f>
        <v>17112535.355679385</v>
      </c>
      <c r="O75" s="42">
        <f>$C$74-O64+O63</f>
        <v>14435491.94192119</v>
      </c>
      <c r="P75" s="42">
        <f>$C$74-P64+P63</f>
        <v>11750769.22642329</v>
      </c>
      <c r="Q75" s="42">
        <f>$C$74-Q64+Q63</f>
        <v>9058518.107135247</v>
      </c>
      <c r="R75" s="42">
        <f>$C$74-R64+R63</f>
        <v>6356825.714016799</v>
      </c>
      <c r="S75" s="42">
        <f>$C$74-S64+S63</f>
        <v>3647993.4579210803</v>
      </c>
      <c r="T75" s="42">
        <f>$C$74-T64+T63</f>
        <v>928106.3434034847</v>
      </c>
      <c r="U75" s="42">
        <f>$C$74-U64+U63</f>
        <v>-1802940.4809318595</v>
      </c>
      <c r="V75" s="42">
        <f>$C$74-V64+V63</f>
        <v>-2702243.281785749</v>
      </c>
      <c r="W75" s="42">
        <f>$C$74-W64+W63</f>
        <v>-1608959.6234213375</v>
      </c>
      <c r="X75" s="42">
        <f>$C$74-X64+X63</f>
        <v>-850898.8382539637</v>
      </c>
      <c r="Y75" s="42">
        <f>$C$74-Y64+Y63</f>
        <v>-1009197.5822200105</v>
      </c>
      <c r="Z75" s="42">
        <f>$C$74-Z64+Z63</f>
        <v>-736205.4994461499</v>
      </c>
      <c r="AA75" s="42">
        <f>$C$74-AA64+AA63</f>
        <v>-480334.87193324044</v>
      </c>
      <c r="AB75" s="42">
        <f>$C$74-AB64+AB63</f>
        <v>-247157.2158996053</v>
      </c>
      <c r="AC75" s="42">
        <f>$C$74-AC64+AC63</f>
        <v>-37730.92291627824</v>
      </c>
      <c r="AD75" s="42">
        <f>$C$74-AD64+AD63</f>
        <v>75721.12037077919</v>
      </c>
      <c r="AE75" s="42">
        <f>$C$74-AE64+AE63</f>
        <v>6.705522537231445e-8</v>
      </c>
    </row>
    <row r="76">
      <c r="A76" s="6" t="inlineStr">
        <is>
          <t xml:space="preserve">Check: assets − loan − provision − equity</t>
        </is>
      </c>
      <c r="B76" s="10" t="inlineStr">
        <is>
          <t xml:space="preserve">€</t>
        </is>
      </c>
      <c r="F76" s="23">
        <f>F71-F72-F73-F75</f>
        <v>-5.960464477539063e-8</v>
      </c>
      <c r="G76" s="23">
        <f>G71-G72-G73-G75</f>
        <v>-6.705522537231445e-8</v>
      </c>
      <c r="H76" s="23">
        <f>H71-H72-H73-H75</f>
        <v>-5.587935447692871e-8</v>
      </c>
      <c r="I76" s="23">
        <f>I71-I72-I73-I75</f>
        <v>-7.078051567077637e-8</v>
      </c>
      <c r="J76" s="23">
        <f>J71-J72-J73-J75</f>
        <v>-5.960464477539063e-8</v>
      </c>
      <c r="K76" s="23">
        <f>K71-K72-K73-K75</f>
        <v>-6.332993507385254e-8</v>
      </c>
      <c r="L76" s="23">
        <f>L71-L72-L73-L75</f>
        <v>-5.960464477539063e-8</v>
      </c>
      <c r="M76" s="23">
        <f>M71-M72-M73-M75</f>
        <v>-5.960464477539063e-8</v>
      </c>
      <c r="N76" s="23">
        <f>N71-N72-N73-N75</f>
        <v>-6.332993507385254e-8</v>
      </c>
      <c r="O76" s="23">
        <f>O71-O72-O73-O75</f>
        <v>-5.774199962615967e-8</v>
      </c>
      <c r="P76" s="23">
        <f>P71-P72-P73-P75</f>
        <v>-5.774199962615967e-8</v>
      </c>
      <c r="Q76" s="23">
        <f>Q71-Q72-Q73-Q75</f>
        <v>-5.587935447692871e-8</v>
      </c>
      <c r="R76" s="23">
        <f>R71-R72-R73-R75</f>
        <v>-5.681067705154419e-8</v>
      </c>
      <c r="S76" s="23">
        <f>S71-S72-S73-S75</f>
        <v>-5.774199962615967e-8</v>
      </c>
      <c r="T76" s="23">
        <f>T71-T72-T73-T75</f>
        <v>-5.681067705154419e-8</v>
      </c>
      <c r="U76" s="23">
        <f>U71-U72-U73-U75</f>
        <v>-5.3085386753082275e-8</v>
      </c>
      <c r="V76" s="23">
        <f>V71-V72-V73-V75</f>
        <v>-5.541369318962097e-8</v>
      </c>
      <c r="W76" s="23">
        <f>W71-W72-W73-W75</f>
        <v>-5.3318217396736145e-8</v>
      </c>
      <c r="X76" s="23">
        <f>X71-X72-X73-X75</f>
        <v>-5.3783878684043884e-8</v>
      </c>
      <c r="Y76" s="23">
        <f>Y71-Y72-Y73-Y75</f>
        <v>-5.727633833885193e-8</v>
      </c>
      <c r="Z76" s="23">
        <f>Z71-Z72-Z73-Z75</f>
        <v>-5.995389074087143e-8</v>
      </c>
      <c r="AA76" s="23">
        <f>AA71-AA72-AA73-AA75</f>
        <v>-5.8673322200775146e-8</v>
      </c>
      <c r="AB76" s="23">
        <f>AB71-AB72-AB73-AB75</f>
        <v>-5.844049155712128e-8</v>
      </c>
      <c r="AC76" s="23">
        <f>AC71-AC72-AC73-AC75</f>
        <v>-5.960464477539063e-8</v>
      </c>
      <c r="AD76" s="23">
        <f>AD71-AD72-AD73-AD75</f>
        <v>-6.007030606269836e-8</v>
      </c>
      <c r="AE76" s="23">
        <f>AE71-AE72-AE73-AE75</f>
        <v>-5.960464477539063e-8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2F75B5"/>
  </sheetPr>
  <sheetViews>
    <sheetView workbookViewId="0" zoomScale="85">
      <pane xSplit="5" ySplit="4" topLeftCell="F5" activePane="bottomRight" state="frozen"/>
    </sheetView>
  </sheetViews>
  <sheetFormatPr defaultRowHeight="13.2"/>
  <cols>
    <col min="1" max="1" width="46" customWidth="1"/>
    <col min="2" max="2" width="13" customWidth="1"/>
    <col min="3" max="3" width="16" customWidth="1"/>
    <col min="4" max="4" width="12" customWidth="1"/>
    <col min="5" max="5" width="14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</cols>
  <sheetData>
    <row r="1">
      <c r="A1" s="1" t="inlineStr">
        <is>
          <t xml:space="preserve">Results</t>
        </is>
      </c>
    </row>
    <row r="2">
      <c r="A2" s="2" t="inlineStr">
        <is>
          <t xml:space="preserve">Dated cash flows, returns, LCOE and cover ratios by case</t>
        </is>
      </c>
    </row>
    <row r="4">
      <c r="A4" s="17"/>
      <c r="B4" s="17" t="inlineStr">
        <is>
          <t xml:space="preserve">Unit</t>
        </is>
      </c>
      <c r="C4" s="17" t="inlineStr">
        <is>
          <t xml:space="preserve">Value</t>
        </is>
      </c>
      <c r="D4" s="17"/>
      <c r="E4" s="17" t="inlineStr">
        <is>
          <t xml:space="preserve">Opening</t>
        </is>
      </c>
      <c r="F4" s="40">
        <v>0</v>
      </c>
      <c r="G4" s="40">
        <v>1</v>
      </c>
      <c r="H4" s="40">
        <v>2</v>
      </c>
      <c r="I4" s="40">
        <v>3</v>
      </c>
      <c r="J4" s="40">
        <v>4</v>
      </c>
      <c r="K4" s="40">
        <v>5</v>
      </c>
      <c r="L4" s="40">
        <v>6</v>
      </c>
      <c r="M4" s="40">
        <v>7</v>
      </c>
      <c r="N4" s="40">
        <v>8</v>
      </c>
      <c r="O4" s="40">
        <v>9</v>
      </c>
      <c r="P4" s="40">
        <v>10</v>
      </c>
      <c r="Q4" s="40">
        <v>11</v>
      </c>
      <c r="R4" s="40">
        <v>12</v>
      </c>
      <c r="S4" s="40">
        <v>13</v>
      </c>
      <c r="T4" s="40">
        <v>14</v>
      </c>
      <c r="U4" s="40">
        <v>15</v>
      </c>
      <c r="V4" s="40">
        <v>16</v>
      </c>
      <c r="W4" s="40">
        <v>17</v>
      </c>
      <c r="X4" s="40">
        <v>18</v>
      </c>
      <c r="Y4" s="40">
        <v>19</v>
      </c>
      <c r="Z4" s="40">
        <v>20</v>
      </c>
      <c r="AA4" s="40">
        <v>21</v>
      </c>
      <c r="AB4" s="40">
        <v>22</v>
      </c>
      <c r="AC4" s="40">
        <v>23</v>
      </c>
      <c r="AD4" s="40">
        <v>24</v>
      </c>
      <c r="AE4" s="40">
        <v>25</v>
      </c>
      <c r="AF4" s="40">
        <v>26</v>
      </c>
      <c r="AG4" s="40">
        <v>27</v>
      </c>
      <c r="AH4" s="40">
        <v>28</v>
      </c>
      <c r="AI4" s="40">
        <v>29</v>
      </c>
      <c r="AJ4" s="40">
        <v>30</v>
      </c>
      <c r="AK4" s="40">
        <v>31</v>
      </c>
      <c r="AL4" s="40">
        <v>32</v>
      </c>
      <c r="AM4" s="40">
        <v>33</v>
      </c>
      <c r="AN4" s="40">
        <v>34</v>
      </c>
      <c r="AO4" s="40">
        <v>35</v>
      </c>
      <c r="AP4" s="40">
        <v>36</v>
      </c>
      <c r="AQ4" s="40">
        <v>37</v>
      </c>
      <c r="AR4" s="40">
        <v>38</v>
      </c>
      <c r="AS4" s="40">
        <v>39</v>
      </c>
      <c r="AT4" s="40">
        <v>40</v>
      </c>
      <c r="AU4" s="40">
        <v>41</v>
      </c>
      <c r="AV4" s="40">
        <v>42</v>
      </c>
      <c r="AW4" s="40">
        <v>43</v>
      </c>
      <c r="AX4" s="40">
        <v>44</v>
      </c>
    </row>
    <row r="5">
      <c r="A5" s="5" t="inlineStr">
        <is>
          <t xml:space="preserve">Dated cash flows (financial close, construction months, operating years)</t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>
      <c r="A6" s="6" t="inlineStr">
        <is>
          <t xml:space="preserve">Flow number</t>
        </is>
      </c>
      <c r="F6" s="23">
        <v>0</v>
      </c>
      <c r="G6" s="23">
        <v>1</v>
      </c>
      <c r="H6" s="23">
        <v>2</v>
      </c>
      <c r="I6" s="23">
        <v>3</v>
      </c>
      <c r="J6" s="23">
        <v>4</v>
      </c>
      <c r="K6" s="23">
        <v>5</v>
      </c>
      <c r="L6" s="23">
        <v>6</v>
      </c>
      <c r="M6" s="23">
        <v>7</v>
      </c>
      <c r="N6" s="23">
        <v>8</v>
      </c>
      <c r="O6" s="23">
        <v>9</v>
      </c>
      <c r="P6" s="23">
        <v>10</v>
      </c>
      <c r="Q6" s="23">
        <v>11</v>
      </c>
      <c r="R6" s="23">
        <v>12</v>
      </c>
      <c r="S6" s="23">
        <v>13</v>
      </c>
      <c r="T6" s="23">
        <v>14</v>
      </c>
      <c r="U6" s="23">
        <v>15</v>
      </c>
      <c r="V6" s="23">
        <v>16</v>
      </c>
      <c r="W6" s="23">
        <v>17</v>
      </c>
      <c r="X6" s="23">
        <v>18</v>
      </c>
      <c r="Y6" s="23">
        <v>19</v>
      </c>
      <c r="Z6" s="23">
        <v>20</v>
      </c>
      <c r="AA6" s="23">
        <v>21</v>
      </c>
      <c r="AB6" s="23">
        <v>22</v>
      </c>
      <c r="AC6" s="23">
        <v>23</v>
      </c>
      <c r="AD6" s="23">
        <v>24</v>
      </c>
      <c r="AE6" s="23">
        <v>25</v>
      </c>
      <c r="AF6" s="23">
        <v>26</v>
      </c>
      <c r="AG6" s="23">
        <v>27</v>
      </c>
      <c r="AH6" s="23">
        <v>28</v>
      </c>
      <c r="AI6" s="23">
        <v>29</v>
      </c>
      <c r="AJ6" s="23">
        <v>30</v>
      </c>
      <c r="AK6" s="23">
        <v>31</v>
      </c>
      <c r="AL6" s="23">
        <v>32</v>
      </c>
      <c r="AM6" s="23">
        <v>33</v>
      </c>
      <c r="AN6" s="23">
        <v>34</v>
      </c>
      <c r="AO6" s="23">
        <v>35</v>
      </c>
      <c r="AP6" s="23">
        <v>36</v>
      </c>
      <c r="AQ6" s="23">
        <v>37</v>
      </c>
      <c r="AR6" s="23">
        <v>38</v>
      </c>
      <c r="AS6" s="23">
        <v>39</v>
      </c>
      <c r="AT6" s="23">
        <v>40</v>
      </c>
      <c r="AU6" s="23">
        <v>41</v>
      </c>
      <c r="AV6" s="23">
        <v>42</v>
      </c>
      <c r="AW6" s="23">
        <v>43</v>
      </c>
      <c r="AX6" s="23">
        <v>44</v>
      </c>
    </row>
    <row r="7">
      <c r="A7" s="6" t="inlineStr">
        <is>
          <t xml:space="preserve">Date</t>
        </is>
      </c>
      <c r="E7" s="27">
        <f>Timing!$C$6</f>
        <v>46388</v>
      </c>
      <c r="F7" s="27">
        <f>IF(F6=0,Timing!$C$6,IF(F6&lt;=Inputs!$C$11,EDATE(Timing!$C$6,F6)-1,INDEX(Timing!$F$82:$AE$82,F6-Inputs!$C$11)))</f>
        <v>46388</v>
      </c>
      <c r="G7" s="27">
        <f>IF(G6=0,Timing!$C$6,IF(G6&lt;=Inputs!$C$11,EDATE(Timing!$C$6,G6)-1,INDEX(Timing!$F$82:$AE$82,G6-Inputs!$C$11)))</f>
        <v>46418</v>
      </c>
      <c r="H7" s="27">
        <f>IF(H6=0,Timing!$C$6,IF(H6&lt;=Inputs!$C$11,EDATE(Timing!$C$6,H6)-1,INDEX(Timing!$F$82:$AE$82,H6-Inputs!$C$11)))</f>
        <v>46446</v>
      </c>
      <c r="I7" s="27">
        <f>IF(I6=0,Timing!$C$6,IF(I6&lt;=Inputs!$C$11,EDATE(Timing!$C$6,I6)-1,INDEX(Timing!$F$82:$AE$82,I6-Inputs!$C$11)))</f>
        <v>46477</v>
      </c>
      <c r="J7" s="27">
        <f>IF(J6=0,Timing!$C$6,IF(J6&lt;=Inputs!$C$11,EDATE(Timing!$C$6,J6)-1,INDEX(Timing!$F$82:$AE$82,J6-Inputs!$C$11)))</f>
        <v>46507</v>
      </c>
      <c r="K7" s="27">
        <f>IF(K6=0,Timing!$C$6,IF(K6&lt;=Inputs!$C$11,EDATE(Timing!$C$6,K6)-1,INDEX(Timing!$F$82:$AE$82,K6-Inputs!$C$11)))</f>
        <v>46538</v>
      </c>
      <c r="L7" s="27">
        <f>IF(L6=0,Timing!$C$6,IF(L6&lt;=Inputs!$C$11,EDATE(Timing!$C$6,L6)-1,INDEX(Timing!$F$82:$AE$82,L6-Inputs!$C$11)))</f>
        <v>46568</v>
      </c>
      <c r="M7" s="27">
        <f>IF(M6=0,Timing!$C$6,IF(M6&lt;=Inputs!$C$11,EDATE(Timing!$C$6,M6)-1,INDEX(Timing!$F$82:$AE$82,M6-Inputs!$C$11)))</f>
        <v>46599</v>
      </c>
      <c r="N7" s="27">
        <f>IF(N6=0,Timing!$C$6,IF(N6&lt;=Inputs!$C$11,EDATE(Timing!$C$6,N6)-1,INDEX(Timing!$F$82:$AE$82,N6-Inputs!$C$11)))</f>
        <v>46630</v>
      </c>
      <c r="O7" s="27">
        <f>IF(O6=0,Timing!$C$6,IF(O6&lt;=Inputs!$C$11,EDATE(Timing!$C$6,O6)-1,INDEX(Timing!$F$82:$AE$82,O6-Inputs!$C$11)))</f>
        <v>46660</v>
      </c>
      <c r="P7" s="27">
        <f>IF(P6=0,Timing!$C$6,IF(P6&lt;=Inputs!$C$11,EDATE(Timing!$C$6,P6)-1,INDEX(Timing!$F$82:$AE$82,P6-Inputs!$C$11)))</f>
        <v>46691</v>
      </c>
      <c r="Q7" s="27">
        <f>IF(Q6=0,Timing!$C$6,IF(Q6&lt;=Inputs!$C$11,EDATE(Timing!$C$6,Q6)-1,INDEX(Timing!$F$82:$AE$82,Q6-Inputs!$C$11)))</f>
        <v>46721</v>
      </c>
      <c r="R7" s="27">
        <f>IF(R6=0,Timing!$C$6,IF(R6&lt;=Inputs!$C$11,EDATE(Timing!$C$6,R6)-1,INDEX(Timing!$F$82:$AE$82,R6-Inputs!$C$11)))</f>
        <v>46752</v>
      </c>
      <c r="S7" s="27">
        <f>IF(S6=0,Timing!$C$6,IF(S6&lt;=Inputs!$C$11,EDATE(Timing!$C$6,S6)-1,INDEX(Timing!$F$82:$AE$82,S6-Inputs!$C$11)))</f>
        <v>46783</v>
      </c>
      <c r="T7" s="27">
        <f>IF(T6=0,Timing!$C$6,IF(T6&lt;=Inputs!$C$11,EDATE(Timing!$C$6,T6)-1,INDEX(Timing!$F$82:$AE$82,T6-Inputs!$C$11)))</f>
        <v>46812</v>
      </c>
      <c r="U7" s="27">
        <f>IF(U6=0,Timing!$C$6,IF(U6&lt;=Inputs!$C$11,EDATE(Timing!$C$6,U6)-1,INDEX(Timing!$F$82:$AE$82,U6-Inputs!$C$11)))</f>
        <v>46843</v>
      </c>
      <c r="V7" s="27">
        <f>IF(V6=0,Timing!$C$6,IF(V6&lt;=Inputs!$C$11,EDATE(Timing!$C$6,V6)-1,INDEX(Timing!$F$82:$AE$82,V6-Inputs!$C$11)))</f>
        <v>46873</v>
      </c>
      <c r="W7" s="27">
        <f>IF(W6=0,Timing!$C$6,IF(W6&lt;=Inputs!$C$11,EDATE(Timing!$C$6,W6)-1,INDEX(Timing!$F$82:$AE$82,W6-Inputs!$C$11)))</f>
        <v>46904</v>
      </c>
      <c r="X7" s="27">
        <f>IF(X6=0,Timing!$C$6,IF(X6&lt;=Inputs!$C$11,EDATE(Timing!$C$6,X6)-1,INDEX(Timing!$F$82:$AE$82,X6-Inputs!$C$11)))</f>
        <v>46934</v>
      </c>
      <c r="Y7" s="27">
        <f>IF(Y6=0,Timing!$C$6,IF(Y6&lt;=Inputs!$C$11,EDATE(Timing!$C$6,Y6)-1,INDEX(Timing!$F$82:$AE$82,Y6-Inputs!$C$11)))</f>
        <v>47118</v>
      </c>
      <c r="Z7" s="27">
        <f>IF(Z6=0,Timing!$C$6,IF(Z6&lt;=Inputs!$C$11,EDATE(Timing!$C$6,Z6)-1,INDEX(Timing!$F$82:$AE$82,Z6-Inputs!$C$11)))</f>
        <v>47483</v>
      </c>
      <c r="AA7" s="27">
        <f>IF(AA6=0,Timing!$C$6,IF(AA6&lt;=Inputs!$C$11,EDATE(Timing!$C$6,AA6)-1,INDEX(Timing!$F$82:$AE$82,AA6-Inputs!$C$11)))</f>
        <v>47848</v>
      </c>
      <c r="AB7" s="27">
        <f>IF(AB6=0,Timing!$C$6,IF(AB6&lt;=Inputs!$C$11,EDATE(Timing!$C$6,AB6)-1,INDEX(Timing!$F$82:$AE$82,AB6-Inputs!$C$11)))</f>
        <v>48213</v>
      </c>
      <c r="AC7" s="27">
        <f>IF(AC6=0,Timing!$C$6,IF(AC6&lt;=Inputs!$C$11,EDATE(Timing!$C$6,AC6)-1,INDEX(Timing!$F$82:$AE$82,AC6-Inputs!$C$11)))</f>
        <v>48579</v>
      </c>
      <c r="AD7" s="27">
        <f>IF(AD6=0,Timing!$C$6,IF(AD6&lt;=Inputs!$C$11,EDATE(Timing!$C$6,AD6)-1,INDEX(Timing!$F$82:$AE$82,AD6-Inputs!$C$11)))</f>
        <v>48944</v>
      </c>
      <c r="AE7" s="27">
        <f>IF(AE6=0,Timing!$C$6,IF(AE6&lt;=Inputs!$C$11,EDATE(Timing!$C$6,AE6)-1,INDEX(Timing!$F$82:$AE$82,AE6-Inputs!$C$11)))</f>
        <v>49309</v>
      </c>
      <c r="AF7" s="27">
        <f>IF(AF6=0,Timing!$C$6,IF(AF6&lt;=Inputs!$C$11,EDATE(Timing!$C$6,AF6)-1,INDEX(Timing!$F$82:$AE$82,AF6-Inputs!$C$11)))</f>
        <v>49674</v>
      </c>
      <c r="AG7" s="27">
        <f>IF(AG6=0,Timing!$C$6,IF(AG6&lt;=Inputs!$C$11,EDATE(Timing!$C$6,AG6)-1,INDEX(Timing!$F$82:$AE$82,AG6-Inputs!$C$11)))</f>
        <v>50040</v>
      </c>
      <c r="AH7" s="27">
        <f>IF(AH6=0,Timing!$C$6,IF(AH6&lt;=Inputs!$C$11,EDATE(Timing!$C$6,AH6)-1,INDEX(Timing!$F$82:$AE$82,AH6-Inputs!$C$11)))</f>
        <v>50405</v>
      </c>
      <c r="AI7" s="27">
        <f>IF(AI6=0,Timing!$C$6,IF(AI6&lt;=Inputs!$C$11,EDATE(Timing!$C$6,AI6)-1,INDEX(Timing!$F$82:$AE$82,AI6-Inputs!$C$11)))</f>
        <v>50770</v>
      </c>
      <c r="AJ7" s="27">
        <f>IF(AJ6=0,Timing!$C$6,IF(AJ6&lt;=Inputs!$C$11,EDATE(Timing!$C$6,AJ6)-1,INDEX(Timing!$F$82:$AE$82,AJ6-Inputs!$C$11)))</f>
        <v>51135</v>
      </c>
      <c r="AK7" s="27">
        <f>IF(AK6=0,Timing!$C$6,IF(AK6&lt;=Inputs!$C$11,EDATE(Timing!$C$6,AK6)-1,INDEX(Timing!$F$82:$AE$82,AK6-Inputs!$C$11)))</f>
        <v>51501</v>
      </c>
      <c r="AL7" s="27">
        <f>IF(AL6=0,Timing!$C$6,IF(AL6&lt;=Inputs!$C$11,EDATE(Timing!$C$6,AL6)-1,INDEX(Timing!$F$82:$AE$82,AL6-Inputs!$C$11)))</f>
        <v>51866</v>
      </c>
      <c r="AM7" s="27">
        <f>IF(AM6=0,Timing!$C$6,IF(AM6&lt;=Inputs!$C$11,EDATE(Timing!$C$6,AM6)-1,INDEX(Timing!$F$82:$AE$82,AM6-Inputs!$C$11)))</f>
        <v>52231</v>
      </c>
      <c r="AN7" s="27">
        <f>IF(AN6=0,Timing!$C$6,IF(AN6&lt;=Inputs!$C$11,EDATE(Timing!$C$6,AN6)-1,INDEX(Timing!$F$82:$AE$82,AN6-Inputs!$C$11)))</f>
        <v>52596</v>
      </c>
      <c r="AO7" s="27">
        <f>IF(AO6=0,Timing!$C$6,IF(AO6&lt;=Inputs!$C$11,EDATE(Timing!$C$6,AO6)-1,INDEX(Timing!$F$82:$AE$82,AO6-Inputs!$C$11)))</f>
        <v>52962</v>
      </c>
      <c r="AP7" s="27">
        <f>IF(AP6=0,Timing!$C$6,IF(AP6&lt;=Inputs!$C$11,EDATE(Timing!$C$6,AP6)-1,INDEX(Timing!$F$82:$AE$82,AP6-Inputs!$C$11)))</f>
        <v>53327</v>
      </c>
      <c r="AQ7" s="27">
        <f>IF(AQ6=0,Timing!$C$6,IF(AQ6&lt;=Inputs!$C$11,EDATE(Timing!$C$6,AQ6)-1,INDEX(Timing!$F$82:$AE$82,AQ6-Inputs!$C$11)))</f>
        <v>53692</v>
      </c>
      <c r="AR7" s="27">
        <f>IF(AR6=0,Timing!$C$6,IF(AR6&lt;=Inputs!$C$11,EDATE(Timing!$C$6,AR6)-1,INDEX(Timing!$F$82:$AE$82,AR6-Inputs!$C$11)))</f>
        <v>54057</v>
      </c>
      <c r="AS7" s="27">
        <f>IF(AS6=0,Timing!$C$6,IF(AS6&lt;=Inputs!$C$11,EDATE(Timing!$C$6,AS6)-1,INDEX(Timing!$F$82:$AE$82,AS6-Inputs!$C$11)))</f>
        <v>54423</v>
      </c>
      <c r="AT7" s="27">
        <f>IF(AT6=0,Timing!$C$6,IF(AT6&lt;=Inputs!$C$11,EDATE(Timing!$C$6,AT6)-1,INDEX(Timing!$F$82:$AE$82,AT6-Inputs!$C$11)))</f>
        <v>54788</v>
      </c>
      <c r="AU7" s="27">
        <f>IF(AU6=0,Timing!$C$6,IF(AU6&lt;=Inputs!$C$11,EDATE(Timing!$C$6,AU6)-1,INDEX(Timing!$F$82:$AE$82,AU6-Inputs!$C$11)))</f>
        <v>55153</v>
      </c>
      <c r="AV7" s="27">
        <f>IF(AV6=0,Timing!$C$6,IF(AV6&lt;=Inputs!$C$11,EDATE(Timing!$C$6,AV6)-1,INDEX(Timing!$F$82:$AE$82,AV6-Inputs!$C$11)))</f>
        <v>55518</v>
      </c>
      <c r="AW7" s="27">
        <f>IF(AW6=0,Timing!$C$6,IF(AW6&lt;=Inputs!$C$11,EDATE(Timing!$C$6,AW6)-1,INDEX(Timing!$F$82:$AE$82,AW6-Inputs!$C$11)))</f>
        <v>55884</v>
      </c>
      <c r="AX7" s="27">
        <f>IF(AX6=0,Timing!$C$6,IF(AX6&lt;=Inputs!$C$11,EDATE(Timing!$C$6,AX6)-1,INDEX(Timing!$F$82:$AE$82,AX6-Inputs!$C$11)))</f>
        <v>56065</v>
      </c>
    </row>
    <row r="8">
      <c r="A8" s="6" t="inlineStr">
        <is>
          <t xml:space="preserve">Price index (2026 = 1) for real LCOE</t>
        </is>
      </c>
      <c r="F8" s="37">
        <f>IF(F6&lt;=Inputs!$C$11,INDEX(Timing!$B$40:$B$55,MATCH(YEAR(F7),Timing!$A$40:$A$55,0))/Timing!$C$30,INDEX(Timing!$F$76:$AE$76,F6-Inputs!$C$11))</f>
        <v>1.027</v>
      </c>
      <c r="G8" s="37">
        <f>IF(G6&lt;=Inputs!$C$11,INDEX(Timing!$B$40:$B$55,MATCH(YEAR(G7),Timing!$A$40:$A$55,0))/Timing!$C$30,INDEX(Timing!$F$76:$AE$76,G6-Inputs!$C$11))</f>
        <v>1.027</v>
      </c>
      <c r="H8" s="37">
        <f>IF(H6&lt;=Inputs!$C$11,INDEX(Timing!$B$40:$B$55,MATCH(YEAR(H7),Timing!$A$40:$A$55,0))/Timing!$C$30,INDEX(Timing!$F$76:$AE$76,H6-Inputs!$C$11))</f>
        <v>1.027</v>
      </c>
      <c r="I8" s="37">
        <f>IF(I6&lt;=Inputs!$C$11,INDEX(Timing!$B$40:$B$55,MATCH(YEAR(I7),Timing!$A$40:$A$55,0))/Timing!$C$30,INDEX(Timing!$F$76:$AE$76,I6-Inputs!$C$11))</f>
        <v>1.027</v>
      </c>
      <c r="J8" s="37">
        <f>IF(J6&lt;=Inputs!$C$11,INDEX(Timing!$B$40:$B$55,MATCH(YEAR(J7),Timing!$A$40:$A$55,0))/Timing!$C$30,INDEX(Timing!$F$76:$AE$76,J6-Inputs!$C$11))</f>
        <v>1.027</v>
      </c>
      <c r="K8" s="37">
        <f>IF(K6&lt;=Inputs!$C$11,INDEX(Timing!$B$40:$B$55,MATCH(YEAR(K7),Timing!$A$40:$A$55,0))/Timing!$C$30,INDEX(Timing!$F$76:$AE$76,K6-Inputs!$C$11))</f>
        <v>1.027</v>
      </c>
      <c r="L8" s="37">
        <f>IF(L6&lt;=Inputs!$C$11,INDEX(Timing!$B$40:$B$55,MATCH(YEAR(L7),Timing!$A$40:$A$55,0))/Timing!$C$30,INDEX(Timing!$F$76:$AE$76,L6-Inputs!$C$11))</f>
        <v>1.027</v>
      </c>
      <c r="M8" s="37">
        <f>IF(M6&lt;=Inputs!$C$11,INDEX(Timing!$B$40:$B$55,MATCH(YEAR(M7),Timing!$A$40:$A$55,0))/Timing!$C$30,INDEX(Timing!$F$76:$AE$76,M6-Inputs!$C$11))</f>
        <v>1.027</v>
      </c>
      <c r="N8" s="37">
        <f>IF(N6&lt;=Inputs!$C$11,INDEX(Timing!$B$40:$B$55,MATCH(YEAR(N7),Timing!$A$40:$A$55,0))/Timing!$C$30,INDEX(Timing!$F$76:$AE$76,N6-Inputs!$C$11))</f>
        <v>1.027</v>
      </c>
      <c r="O8" s="37">
        <f>IF(O6&lt;=Inputs!$C$11,INDEX(Timing!$B$40:$B$55,MATCH(YEAR(O7),Timing!$A$40:$A$55,0))/Timing!$C$30,INDEX(Timing!$F$76:$AE$76,O6-Inputs!$C$11))</f>
        <v>1.027</v>
      </c>
      <c r="P8" s="37">
        <f>IF(P6&lt;=Inputs!$C$11,INDEX(Timing!$B$40:$B$55,MATCH(YEAR(P7),Timing!$A$40:$A$55,0))/Timing!$C$30,INDEX(Timing!$F$76:$AE$76,P6-Inputs!$C$11))</f>
        <v>1.027</v>
      </c>
      <c r="Q8" s="37">
        <f>IF(Q6&lt;=Inputs!$C$11,INDEX(Timing!$B$40:$B$55,MATCH(YEAR(Q7),Timing!$A$40:$A$55,0))/Timing!$C$30,INDEX(Timing!$F$76:$AE$76,Q6-Inputs!$C$11))</f>
        <v>1.027</v>
      </c>
      <c r="R8" s="37">
        <f>IF(R6&lt;=Inputs!$C$11,INDEX(Timing!$B$40:$B$55,MATCH(YEAR(R7),Timing!$A$40:$A$55,0))/Timing!$C$30,INDEX(Timing!$F$76:$AE$76,R6-Inputs!$C$11))</f>
        <v>1.027</v>
      </c>
      <c r="S8" s="37">
        <f>IF(S6&lt;=Inputs!$C$11,INDEX(Timing!$B$40:$B$55,MATCH(YEAR(S7),Timing!$A$40:$A$55,0))/Timing!$C$30,INDEX(Timing!$F$76:$AE$76,S6-Inputs!$C$11))</f>
        <v>1.0465129999999998</v>
      </c>
      <c r="T8" s="37">
        <f>IF(T6&lt;=Inputs!$C$11,INDEX(Timing!$B$40:$B$55,MATCH(YEAR(T7),Timing!$A$40:$A$55,0))/Timing!$C$30,INDEX(Timing!$F$76:$AE$76,T6-Inputs!$C$11))</f>
        <v>1.0465129999999998</v>
      </c>
      <c r="U8" s="37">
        <f>IF(U6&lt;=Inputs!$C$11,INDEX(Timing!$B$40:$B$55,MATCH(YEAR(U7),Timing!$A$40:$A$55,0))/Timing!$C$30,INDEX(Timing!$F$76:$AE$76,U6-Inputs!$C$11))</f>
        <v>1.0465129999999998</v>
      </c>
      <c r="V8" s="37">
        <f>IF(V6&lt;=Inputs!$C$11,INDEX(Timing!$B$40:$B$55,MATCH(YEAR(V7),Timing!$A$40:$A$55,0))/Timing!$C$30,INDEX(Timing!$F$76:$AE$76,V6-Inputs!$C$11))</f>
        <v>1.0465129999999998</v>
      </c>
      <c r="W8" s="37">
        <f>IF(W6&lt;=Inputs!$C$11,INDEX(Timing!$B$40:$B$55,MATCH(YEAR(W7),Timing!$A$40:$A$55,0))/Timing!$C$30,INDEX(Timing!$F$76:$AE$76,W6-Inputs!$C$11))</f>
        <v>1.0465129999999998</v>
      </c>
      <c r="X8" s="37">
        <f>IF(X6&lt;=Inputs!$C$11,INDEX(Timing!$B$40:$B$55,MATCH(YEAR(X7),Timing!$A$40:$A$55,0))/Timing!$C$30,INDEX(Timing!$F$76:$AE$76,X6-Inputs!$C$11))</f>
        <v>1.0465129999999998</v>
      </c>
      <c r="Y8" s="37">
        <f>IF(Y6&lt;=Inputs!$C$11,INDEX(Timing!$B$40:$B$55,MATCH(YEAR(Y7),Timing!$A$40:$A$55,0))/Timing!$C$30,INDEX(Timing!$F$76:$AE$76,Y6-Inputs!$C$11))</f>
        <v>1.0465129999999998</v>
      </c>
      <c r="Z8" s="37">
        <f>IF(Z6&lt;=Inputs!$C$11,INDEX(Timing!$B$40:$B$55,MATCH(YEAR(Z7),Timing!$A$40:$A$55,0))/Timing!$C$30,INDEX(Timing!$F$76:$AE$76,Z6-Inputs!$C$11))</f>
        <v>1.06744326</v>
      </c>
      <c r="AA8" s="37">
        <f>IF(AA6&lt;=Inputs!$C$11,INDEX(Timing!$B$40:$B$55,MATCH(YEAR(AA7),Timing!$A$40:$A$55,0))/Timing!$C$30,INDEX(Timing!$F$76:$AE$76,AA6-Inputs!$C$11))</f>
        <v>1.0887921252000001</v>
      </c>
      <c r="AB8" s="37">
        <f>IF(AB6&lt;=Inputs!$C$11,INDEX(Timing!$B$40:$B$55,MATCH(YEAR(AB7),Timing!$A$40:$A$55,0))/Timing!$C$30,INDEX(Timing!$F$76:$AE$76,AB6-Inputs!$C$11))</f>
        <v>1.110567967704</v>
      </c>
      <c r="AC8" s="37">
        <f>IF(AC6&lt;=Inputs!$C$11,INDEX(Timing!$B$40:$B$55,MATCH(YEAR(AC7),Timing!$A$40:$A$55,0))/Timing!$C$30,INDEX(Timing!$F$76:$AE$76,AC6-Inputs!$C$11))</f>
        <v>1.13277932705808</v>
      </c>
      <c r="AD8" s="37">
        <f>IF(AD6&lt;=Inputs!$C$11,INDEX(Timing!$B$40:$B$55,MATCH(YEAR(AD7),Timing!$A$40:$A$55,0))/Timing!$C$30,INDEX(Timing!$F$76:$AE$76,AD6-Inputs!$C$11))</f>
        <v>1.1554349135992417</v>
      </c>
      <c r="AE8" s="37">
        <f>IF(AE6&lt;=Inputs!$C$11,INDEX(Timing!$B$40:$B$55,MATCH(YEAR(AE7),Timing!$A$40:$A$55,0))/Timing!$C$30,INDEX(Timing!$F$76:$AE$76,AE6-Inputs!$C$11))</f>
        <v>1.1785436118712265</v>
      </c>
      <c r="AF8" s="37">
        <f>IF(AF6&lt;=Inputs!$C$11,INDEX(Timing!$B$40:$B$55,MATCH(YEAR(AF7),Timing!$A$40:$A$55,0))/Timing!$C$30,INDEX(Timing!$F$76:$AE$76,AF6-Inputs!$C$11))</f>
        <v>1.2021144841086508</v>
      </c>
      <c r="AG8" s="37">
        <f>IF(AG6&lt;=Inputs!$C$11,INDEX(Timing!$B$40:$B$55,MATCH(YEAR(AG7),Timing!$A$40:$A$55,0))/Timing!$C$30,INDEX(Timing!$F$76:$AE$76,AG6-Inputs!$C$11))</f>
        <v>1.2261567737908239</v>
      </c>
      <c r="AH8" s="37">
        <f>IF(AH6&lt;=Inputs!$C$11,INDEX(Timing!$B$40:$B$55,MATCH(YEAR(AH7),Timing!$A$40:$A$55,0))/Timing!$C$30,INDEX(Timing!$F$76:$AE$76,AH6-Inputs!$C$11))</f>
        <v>1.2506799092666403</v>
      </c>
      <c r="AI8" s="37">
        <f>IF(AI6&lt;=Inputs!$C$11,INDEX(Timing!$B$40:$B$55,MATCH(YEAR(AI7),Timing!$A$40:$A$55,0))/Timing!$C$30,INDEX(Timing!$F$76:$AE$76,AI6-Inputs!$C$11))</f>
        <v>1.275693507451973</v>
      </c>
      <c r="AJ8" s="37">
        <f>IF(AJ6&lt;=Inputs!$C$11,INDEX(Timing!$B$40:$B$55,MATCH(YEAR(AJ7),Timing!$A$40:$A$55,0))/Timing!$C$30,INDEX(Timing!$F$76:$AE$76,AJ6-Inputs!$C$11))</f>
        <v>1.3012073776010125</v>
      </c>
      <c r="AK8" s="37">
        <f>IF(AK6&lt;=Inputs!$C$11,INDEX(Timing!$B$40:$B$55,MATCH(YEAR(AK7),Timing!$A$40:$A$55,0))/Timing!$C$30,INDEX(Timing!$F$76:$AE$76,AK6-Inputs!$C$11))</f>
        <v>1.3272315251530329</v>
      </c>
      <c r="AL8" s="37">
        <f>IF(AL6&lt;=Inputs!$C$11,INDEX(Timing!$B$40:$B$55,MATCH(YEAR(AL7),Timing!$A$40:$A$55,0))/Timing!$C$30,INDEX(Timing!$F$76:$AE$76,AL6-Inputs!$C$11))</f>
        <v>1.3537761556560934</v>
      </c>
      <c r="AM8" s="37">
        <f>IF(AM6&lt;=Inputs!$C$11,INDEX(Timing!$B$40:$B$55,MATCH(YEAR(AM7),Timing!$A$40:$A$55,0))/Timing!$C$30,INDEX(Timing!$F$76:$AE$76,AM6-Inputs!$C$11))</f>
        <v>1.3808516787692153</v>
      </c>
      <c r="AN8" s="37">
        <f>IF(AN6&lt;=Inputs!$C$11,INDEX(Timing!$B$40:$B$55,MATCH(YEAR(AN7),Timing!$A$40:$A$55,0))/Timing!$C$30,INDEX(Timing!$F$76:$AE$76,AN6-Inputs!$C$11))</f>
        <v>1.4084687123445996</v>
      </c>
      <c r="AO8" s="37">
        <f>IF(AO6&lt;=Inputs!$C$11,INDEX(Timing!$B$40:$B$55,MATCH(YEAR(AO7),Timing!$A$40:$A$55,0))/Timing!$C$30,INDEX(Timing!$F$76:$AE$76,AO6-Inputs!$C$11))</f>
        <v>1.4366380865914916</v>
      </c>
      <c r="AP8" s="37">
        <f>IF(AP6&lt;=Inputs!$C$11,INDEX(Timing!$B$40:$B$55,MATCH(YEAR(AP7),Timing!$A$40:$A$55,0))/Timing!$C$30,INDEX(Timing!$F$76:$AE$76,AP6-Inputs!$C$11))</f>
        <v>1.4653708483233214</v>
      </c>
      <c r="AQ8" s="37">
        <f>IF(AQ6&lt;=Inputs!$C$11,INDEX(Timing!$B$40:$B$55,MATCH(YEAR(AQ7),Timing!$A$40:$A$55,0))/Timing!$C$30,INDEX(Timing!$F$76:$AE$76,AQ6-Inputs!$C$11))</f>
        <v>1.4946782652897879</v>
      </c>
      <c r="AR8" s="37">
        <f>IF(AR6&lt;=Inputs!$C$11,INDEX(Timing!$B$40:$B$55,MATCH(YEAR(AR7),Timing!$A$40:$A$55,0))/Timing!$C$30,INDEX(Timing!$F$76:$AE$76,AR6-Inputs!$C$11))</f>
        <v>1.5245718305955838</v>
      </c>
      <c r="AS8" s="37">
        <f>IF(AS6&lt;=Inputs!$C$11,INDEX(Timing!$B$40:$B$55,MATCH(YEAR(AS7),Timing!$A$40:$A$55,0))/Timing!$C$30,INDEX(Timing!$F$76:$AE$76,AS6-Inputs!$C$11))</f>
        <v>1.5550632672074953</v>
      </c>
      <c r="AT8" s="37">
        <f>IF(AT6&lt;=Inputs!$C$11,INDEX(Timing!$B$40:$B$55,MATCH(YEAR(AT7),Timing!$A$40:$A$55,0))/Timing!$C$30,INDEX(Timing!$F$76:$AE$76,AT6-Inputs!$C$11))</f>
        <v>1.5861645325516454</v>
      </c>
      <c r="AU8" s="37">
        <f>IF(AU6&lt;=Inputs!$C$11,INDEX(Timing!$B$40:$B$55,MATCH(YEAR(AU7),Timing!$A$40:$A$55,0))/Timing!$C$30,INDEX(Timing!$F$76:$AE$76,AU6-Inputs!$C$11))</f>
        <v>1.6178878232026783</v>
      </c>
      <c r="AV8" s="37">
        <f>IF(AV6&lt;=Inputs!$C$11,INDEX(Timing!$B$40:$B$55,MATCH(YEAR(AV7),Timing!$A$40:$A$55,0))/Timing!$C$30,INDEX(Timing!$F$76:$AE$76,AV6-Inputs!$C$11))</f>
        <v>1.650245579666732</v>
      </c>
      <c r="AW8" s="37">
        <f>IF(AW6&lt;=Inputs!$C$11,INDEX(Timing!$B$40:$B$55,MATCH(YEAR(AW7),Timing!$A$40:$A$55,0))/Timing!$C$30,INDEX(Timing!$F$76:$AE$76,AW6-Inputs!$C$11))</f>
        <v>1.6832504912600665</v>
      </c>
      <c r="AX8" s="37">
        <f>IF(AX6&lt;=Inputs!$C$11,INDEX(Timing!$B$40:$B$55,MATCH(YEAR(AX7),Timing!$A$40:$A$55,0))/Timing!$C$30,INDEX(Timing!$F$76:$AE$76,AX6-Inputs!$C$11))</f>
        <v>1.7169155010852681</v>
      </c>
    </row>
    <row r="9">
      <c r="A9" s="6" t="inlineStr">
        <is>
          <t xml:space="preserve">Discount factor, real WACC</t>
        </is>
      </c>
      <c r="F9" s="37">
        <f>(1+Inputs!$C$104)^((F7-Timing!$C$6)/Inputs!$C$147)</f>
        <v>1</v>
      </c>
      <c r="G9" s="37">
        <f>(1+Inputs!$C$104)^((G7-Timing!$C$6)/Inputs!$C$147)</f>
        <v>1.003149500969899</v>
      </c>
      <c r="H9" s="37">
        <f>(1+Inputs!$C$104)^((H7-Timing!$C$6)/Inputs!$C$147)</f>
        <v>1.0060979840463709</v>
      </c>
      <c r="I9" s="37">
        <f>(1+Inputs!$C$104)^((I7-Timing!$C$6)/Inputs!$C$147)</f>
        <v>1.009372485876433</v>
      </c>
      <c r="J9" s="37">
        <f>(1+Inputs!$C$104)^((J7-Timing!$C$6)/Inputs!$C$147)</f>
        <v>1.01255150549969</v>
      </c>
      <c r="K9" s="37">
        <f>(1+Inputs!$C$104)^((K7-Timing!$C$6)/Inputs!$C$147)</f>
        <v>1.015847011315591</v>
      </c>
      <c r="L9" s="37">
        <f>(1+Inputs!$C$104)^((L7-Timing!$C$6)/Inputs!$C$147)</f>
        <v>1.0190464224629983</v>
      </c>
      <c r="M9" s="37">
        <f>(1+Inputs!$C$104)^((M7-Timing!$C$6)/Inputs!$C$147)</f>
        <v>1.0223630669928414</v>
      </c>
      <c r="N9" s="37">
        <f>(1+Inputs!$C$104)^((N7-Timing!$C$6)/Inputs!$C$147)</f>
        <v>1.0256905060563728</v>
      </c>
      <c r="O9" s="37">
        <f>(1+Inputs!$C$104)^((O7-Timing!$C$6)/Inputs!$C$147)</f>
        <v>1.0289209193000133</v>
      </c>
      <c r="P9" s="37">
        <f>(1+Inputs!$C$104)^((P7-Timing!$C$6)/Inputs!$C$147)</f>
        <v>1.0322697019103182</v>
      </c>
      <c r="Q9" s="37">
        <f>(1+Inputs!$C$104)^((Q7-Timing!$C$6)/Inputs!$C$147)</f>
        <v>1.035520836337682</v>
      </c>
      <c r="R9" s="37">
        <f>(1+Inputs!$C$104)^((R7-Timing!$C$6)/Inputs!$C$147)</f>
        <v>1.0388910994009453</v>
      </c>
      <c r="S9" s="37">
        <f>(1+Inputs!$C$104)^((S7-Timing!$C$6)/Inputs!$C$147)</f>
        <v>1.042272331507725</v>
      </c>
      <c r="T9" s="37">
        <f>(1+Inputs!$C$104)^((T7-Timing!$C$6)/Inputs!$C$147)</f>
        <v>1.0454453815823441</v>
      </c>
      <c r="U9" s="37">
        <f>(1+Inputs!$C$104)^((U7-Timing!$C$6)/Inputs!$C$147)</f>
        <v>1.0488479456163693</v>
      </c>
      <c r="V9" s="37">
        <f>(1+Inputs!$C$104)^((V7-Timing!$C$6)/Inputs!$C$147)</f>
        <v>1.0521512932383645</v>
      </c>
      <c r="W9" s="37">
        <f>(1+Inputs!$C$104)^((W7-Timing!$C$6)/Inputs!$C$147)</f>
        <v>1.0555756827012626</v>
      </c>
      <c r="X9" s="37">
        <f>(1+Inputs!$C$104)^((X7-Timing!$C$6)/Inputs!$C$147)</f>
        <v>1.0589002193377317</v>
      </c>
      <c r="Y9" s="37">
        <f>(1+Inputs!$C$104)^((Y7-Timing!$C$6)/Inputs!$C$147)</f>
        <v>1.0795209999999997</v>
      </c>
      <c r="Z9" s="37">
        <f>(1+Inputs!$C$104)^((Z7-Timing!$C$6)/Inputs!$C$147)</f>
        <v>1.1216223189999996</v>
      </c>
      <c r="AA9" s="37">
        <f>(1+Inputs!$C$104)^((AA7-Timing!$C$6)/Inputs!$C$147)</f>
        <v>1.1653655894409995</v>
      </c>
      <c r="AB9" s="37">
        <f>(1+Inputs!$C$104)^((AB7-Timing!$C$6)/Inputs!$C$147)</f>
        <v>1.2108148474291984</v>
      </c>
      <c r="AC9" s="37">
        <f>(1+Inputs!$C$104)^((AC7-Timing!$C$6)/Inputs!$C$147)</f>
        <v>1.2581684987630823</v>
      </c>
      <c r="AD9" s="37">
        <f>(1+Inputs!$C$104)^((AD7-Timing!$C$6)/Inputs!$C$147)</f>
        <v>1.3072370702148426</v>
      </c>
      <c r="AE9" s="37">
        <f>(1+Inputs!$C$104)^((AE7-Timing!$C$6)/Inputs!$C$147)</f>
        <v>1.3582193159532212</v>
      </c>
      <c r="AF9" s="37">
        <f>(1+Inputs!$C$104)^((AF7-Timing!$C$6)/Inputs!$C$147)</f>
        <v>1.4111898692753968</v>
      </c>
      <c r="AG9" s="37">
        <f>(1+Inputs!$C$104)^((AG7-Timing!$C$6)/Inputs!$C$147)</f>
        <v>1.4663799697085549</v>
      </c>
      <c r="AH9" s="37">
        <f>(1+Inputs!$C$104)^((AH7-Timing!$C$6)/Inputs!$C$147)</f>
        <v>1.5235687885271885</v>
      </c>
      <c r="AI9" s="37">
        <f>(1+Inputs!$C$104)^((AI7-Timing!$C$6)/Inputs!$C$147)</f>
        <v>1.5829879712797488</v>
      </c>
      <c r="AJ9" s="37">
        <f>(1+Inputs!$C$104)^((AJ7-Timing!$C$6)/Inputs!$C$147)</f>
        <v>1.6447245021596588</v>
      </c>
      <c r="AK9" s="37">
        <f>(1+Inputs!$C$104)^((AK7-Timing!$C$6)/Inputs!$C$147)</f>
        <v>1.7090478880026114</v>
      </c>
      <c r="AL9" s="37">
        <f>(1+Inputs!$C$104)^((AL7-Timing!$C$6)/Inputs!$C$147)</f>
        <v>1.775700755634713</v>
      </c>
      <c r="AM9" s="37">
        <f>(1+Inputs!$C$104)^((AM7-Timing!$C$6)/Inputs!$C$147)</f>
        <v>1.8449530851044669</v>
      </c>
      <c r="AN9" s="37">
        <f>(1+Inputs!$C$104)^((AN7-Timing!$C$6)/Inputs!$C$147)</f>
        <v>1.916906255423541</v>
      </c>
      <c r="AO9" s="37">
        <f>(1+Inputs!$C$104)^((AO7-Timing!$C$6)/Inputs!$C$147)</f>
        <v>1.9918743735068263</v>
      </c>
      <c r="AP9" s="37">
        <f>(1+Inputs!$C$104)^((AP7-Timing!$C$6)/Inputs!$C$147)</f>
        <v>2.0695574740735925</v>
      </c>
      <c r="AQ9" s="37">
        <f>(1+Inputs!$C$104)^((AQ7-Timing!$C$6)/Inputs!$C$147)</f>
        <v>2.1502702155624625</v>
      </c>
      <c r="AR9" s="37">
        <f>(1+Inputs!$C$104)^((AR7-Timing!$C$6)/Inputs!$C$147)</f>
        <v>2.2341307539693984</v>
      </c>
      <c r="AS9" s="37">
        <f>(1+Inputs!$C$104)^((AS7-Timing!$C$6)/Inputs!$C$147)</f>
        <v>2.321505177055138</v>
      </c>
      <c r="AT9" s="37">
        <f>(1+Inputs!$C$104)^((AT7-Timing!$C$6)/Inputs!$C$147)</f>
        <v>2.4120438789602883</v>
      </c>
      <c r="AU9" s="37">
        <f>(1+Inputs!$C$104)^((AU7-Timing!$C$6)/Inputs!$C$147)</f>
        <v>2.506113590239739</v>
      </c>
      <c r="AV9" s="37">
        <f>(1+Inputs!$C$104)^((AV7-Timing!$C$6)/Inputs!$C$147)</f>
        <v>2.6038520202590885</v>
      </c>
      <c r="AW9" s="37">
        <f>(1+Inputs!$C$104)^((AW7-Timing!$C$6)/Inputs!$C$147)</f>
        <v>2.7056858398180186</v>
      </c>
      <c r="AX9" s="37">
        <f>(1+Inputs!$C$104)^((AX7-Timing!$C$6)/Inputs!$C$147)</f>
        <v>2.75750849782704</v>
      </c>
    </row>
    <row r="10">
      <c r="A10" s="6" t="inlineStr">
        <is>
          <t xml:space="preserve">Discount factor, nominal WACC</t>
        </is>
      </c>
      <c r="F10" s="37">
        <f>(1+Inputs!$C$103)^((F7-Timing!$C$6)/Inputs!$C$147)</f>
        <v>1</v>
      </c>
      <c r="G10" s="37">
        <f>(1+Inputs!$C$103)^((G7-Timing!$C$6)/Inputs!$C$147)</f>
        <v>1.00464475359077</v>
      </c>
      <c r="H10" s="37">
        <f>(1+Inputs!$C$103)^((H7-Timing!$C$6)/Inputs!$C$147)</f>
        <v>1.0089993192395594</v>
      </c>
      <c r="I10" s="37">
        <f>(1+Inputs!$C$103)^((I7-Timing!$C$6)/Inputs!$C$147)</f>
        <v>1.0138424652226024</v>
      </c>
      <c r="J10" s="37">
        <f>(1+Inputs!$C$103)^((J7-Timing!$C$6)/Inputs!$C$147)</f>
        <v>1.0185515136534202</v>
      </c>
      <c r="K10" s="37">
        <f>(1+Inputs!$C$103)^((K7-Timing!$C$6)/Inputs!$C$147)</f>
        <v>1.023440509689206</v>
      </c>
      <c r="L10" s="37">
        <f>(1+Inputs!$C$103)^((L7-Timing!$C$6)/Inputs!$C$147)</f>
        <v>1.0281941386715245</v>
      </c>
      <c r="M10" s="37">
        <f>(1+Inputs!$C$103)^((M7-Timing!$C$6)/Inputs!$C$147)</f>
        <v>1.0331294188224052</v>
      </c>
      <c r="N10" s="37">
        <f>(1+Inputs!$C$103)^((N7-Timing!$C$6)/Inputs!$C$147)</f>
        <v>1.0380883880697822</v>
      </c>
      <c r="O10" s="37">
        <f>(1+Inputs!$C$103)^((O7-Timing!$C$6)/Inputs!$C$147)</f>
        <v>1.042910052837806</v>
      </c>
      <c r="P10" s="37">
        <f>(1+Inputs!$C$103)^((P7-Timing!$C$6)/Inputs!$C$147)</f>
        <v>1.0479159686365234</v>
      </c>
      <c r="Q10" s="37">
        <f>(1+Inputs!$C$103)^((Q7-Timing!$C$6)/Inputs!$C$147)</f>
        <v>1.0527832800946733</v>
      </c>
      <c r="R10" s="37">
        <f>(1+Inputs!$C$103)^((R7-Timing!$C$6)/Inputs!$C$147)</f>
        <v>1.0578365868876332</v>
      </c>
      <c r="S10" s="37">
        <f>(1+Inputs!$C$103)^((S7-Timing!$C$6)/Inputs!$C$147)</f>
        <v>1.0629141492990348</v>
      </c>
      <c r="T10" s="37">
        <f>(1+Inputs!$C$103)^((T7-Timing!$C$6)/Inputs!$C$147)</f>
        <v>1.0676861889455926</v>
      </c>
      <c r="U10" s="37">
        <f>(1+Inputs!$C$103)^((U7-Timing!$C$6)/Inputs!$C$147)</f>
        <v>1.0728110289514703</v>
      </c>
      <c r="V10" s="37">
        <f>(1+Inputs!$C$103)^((V7-Timing!$C$6)/Inputs!$C$147)</f>
        <v>1.0777939718304104</v>
      </c>
      <c r="W10" s="37">
        <f>(1+Inputs!$C$103)^((W7-Timing!$C$6)/Inputs!$C$147)</f>
        <v>1.0829673286857473</v>
      </c>
      <c r="X10" s="37">
        <f>(1+Inputs!$C$103)^((X7-Timing!$C$6)/Inputs!$C$147)</f>
        <v>1.087997445074347</v>
      </c>
      <c r="Y10" s="37">
        <f>(1+Inputs!$C$103)^((Y7-Timing!$C$6)/Inputs!$C$147)</f>
        <v>1.119364</v>
      </c>
      <c r="Z10" s="37">
        <f>(1+Inputs!$C$103)^((Z7-Timing!$C$6)/Inputs!$C$147)</f>
        <v>1.1842871120000003</v>
      </c>
      <c r="AA10" s="37">
        <f>(1+Inputs!$C$103)^((AA7-Timing!$C$6)/Inputs!$C$147)</f>
        <v>1.2529757644960002</v>
      </c>
      <c r="AB10" s="37">
        <f>(1+Inputs!$C$103)^((AB7-Timing!$C$6)/Inputs!$C$147)</f>
        <v>1.3256483588367685</v>
      </c>
      <c r="AC10" s="37">
        <f>(1+Inputs!$C$103)^((AC7-Timing!$C$6)/Inputs!$C$147)</f>
        <v>1.4027526254379623</v>
      </c>
      <c r="AD10" s="37">
        <f>(1+Inputs!$C$103)^((AD7-Timing!$C$6)/Inputs!$C$147)</f>
        <v>1.4841122777133642</v>
      </c>
      <c r="AE10" s="37">
        <f>(1+Inputs!$C$103)^((AE7-Timing!$C$6)/Inputs!$C$147)</f>
        <v>1.5701907898207392</v>
      </c>
      <c r="AF10" s="37">
        <f>(1+Inputs!$C$103)^((AF7-Timing!$C$6)/Inputs!$C$147)</f>
        <v>1.6612618556303422</v>
      </c>
      <c r="AG10" s="37">
        <f>(1+Inputs!$C$103)^((AG7-Timing!$C$6)/Inputs!$C$147)</f>
        <v>1.7578865571637965</v>
      </c>
      <c r="AH10" s="37">
        <f>(1+Inputs!$C$103)^((AH7-Timing!$C$6)/Inputs!$C$147)</f>
        <v>1.8598439774792968</v>
      </c>
      <c r="AI10" s="37">
        <f>(1+Inputs!$C$103)^((AI7-Timing!$C$6)/Inputs!$C$147)</f>
        <v>1.9677149281730961</v>
      </c>
      <c r="AJ10" s="37">
        <f>(1+Inputs!$C$103)^((AJ7-Timing!$C$6)/Inputs!$C$147)</f>
        <v>2.0818423940071358</v>
      </c>
      <c r="AK10" s="37">
        <f>(1+Inputs!$C$103)^((AK7-Timing!$C$6)/Inputs!$C$147)</f>
        <v>2.202929505758284</v>
      </c>
      <c r="AL10" s="37">
        <f>(1+Inputs!$C$103)^((AL7-Timing!$C$6)/Inputs!$C$147)</f>
        <v>2.330699417092265</v>
      </c>
      <c r="AM10" s="37">
        <f>(1+Inputs!$C$103)^((AM7-Timing!$C$6)/Inputs!$C$147)</f>
        <v>2.4658799832836165</v>
      </c>
      <c r="AN10" s="37">
        <f>(1+Inputs!$C$103)^((AN7-Timing!$C$6)/Inputs!$C$147)</f>
        <v>2.608901022314066</v>
      </c>
      <c r="AO10" s="37">
        <f>(1+Inputs!$C$103)^((AO7-Timing!$C$6)/Inputs!$C$147)</f>
        <v>2.7606436761028452</v>
      </c>
      <c r="AP10" s="37">
        <f>(1+Inputs!$C$103)^((AP7-Timing!$C$6)/Inputs!$C$147)</f>
        <v>2.9207610093168106</v>
      </c>
      <c r="AQ10" s="37">
        <f>(1+Inputs!$C$103)^((AQ7-Timing!$C$6)/Inputs!$C$147)</f>
        <v>3.090165147857186</v>
      </c>
      <c r="AR10" s="37">
        <f>(1+Inputs!$C$103)^((AR7-Timing!$C$6)/Inputs!$C$147)</f>
        <v>3.2693947264329024</v>
      </c>
      <c r="AS10" s="37">
        <f>(1+Inputs!$C$103)^((AS7-Timing!$C$6)/Inputs!$C$147)</f>
        <v>3.4595539650658527</v>
      </c>
      <c r="AT10" s="37">
        <f>(1+Inputs!$C$103)^((AT7-Timing!$C$6)/Inputs!$C$147)</f>
        <v>3.6602080950396725</v>
      </c>
      <c r="AU10" s="37">
        <f>(1+Inputs!$C$103)^((AU7-Timing!$C$6)/Inputs!$C$147)</f>
        <v>3.8725001645519734</v>
      </c>
      <c r="AV10" s="37">
        <f>(1+Inputs!$C$103)^((AV7-Timing!$C$6)/Inputs!$C$147)</f>
        <v>4.097105174095988</v>
      </c>
      <c r="AW10" s="37">
        <f>(1+Inputs!$C$103)^((AW7-Timing!$C$6)/Inputs!$C$147)</f>
        <v>4.335406898328369</v>
      </c>
      <c r="AX10" s="37">
        <f>(1+Inputs!$C$103)^((AX7-Timing!$C$6)/Inputs!$C$147)</f>
        <v>4.458328571586923</v>
      </c>
    </row>
    <row r="12">
      <c r="A12" s="5" t="inlineStr">
        <is>
          <t xml:space="preserve">Base</t>
        </is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>
      <c r="A13" s="6" t="inlineStr">
        <is>
          <t xml:space="preserve">Owners' cash flow</t>
        </is>
      </c>
      <c r="B13" s="10" t="inlineStr">
        <is>
          <t xml:space="preserve">€</t>
        </is>
      </c>
      <c r="F13" s="23">
        <f>IF(F6=0,0,IF(F6&lt;=Inputs!$C$11,-INDEX(Construction!$F$40:$W$40,F6),INDEX(Waterfall!$F$42:$AE$42,F6-Inputs!$C$11)))</f>
        <v>0</v>
      </c>
      <c r="G13" s="23">
        <f>IF(G6=0,0,IF(G6&lt;=Inputs!$C$11,-INDEX(Construction!$F$40:$W$40,G6),INDEX(Waterfall!$F$42:$AE$42,G6-Inputs!$C$11)))</f>
        <v>-7184870.502484033</v>
      </c>
      <c r="H13" s="23">
        <f>IF(H6=0,0,IF(H6&lt;=Inputs!$C$11,-INDEX(Construction!$F$40:$W$40,H6),INDEX(Waterfall!$F$42:$AE$42,H6-Inputs!$C$11)))</f>
        <v>-612414.2234653239</v>
      </c>
      <c r="I13" s="23">
        <f>IF(I6=0,0,IF(I6&lt;=Inputs!$C$11,-INDEX(Construction!$F$40:$W$40,I6),INDEX(Waterfall!$F$42:$AE$42,I6-Inputs!$C$11)))</f>
        <v>-613947.5918020632</v>
      </c>
      <c r="J13" s="23">
        <f>IF(J6=0,0,IF(J6&lt;=Inputs!$C$11,-INDEX(Construction!$F$40:$W$40,J6),INDEX(Waterfall!$F$42:$AE$42,J6-Inputs!$C$11)))</f>
        <v>-608562.2654329941</v>
      </c>
      <c r="K13" s="23">
        <f>IF(K6=0,0,IF(K6&lt;=Inputs!$C$11,-INDEX(Construction!$F$40:$W$40,K6),INDEX(Waterfall!$F$42:$AE$42,K6-Inputs!$C$11)))</f>
        <v>-609506.2066944502</v>
      </c>
      <c r="L13" s="23">
        <f>IF(L6=0,0,IF(L6&lt;=Inputs!$C$11,-INDEX(Construction!$F$40:$W$40,L6),INDEX(Waterfall!$F$42:$AE$42,L6-Inputs!$C$11)))</f>
        <v>-610451.6121037113</v>
      </c>
      <c r="M13" s="23">
        <f>IF(M6=0,0,IF(M6&lt;=Inputs!$C$11,-INDEX(Construction!$F$40:$W$40,M6),INDEX(Waterfall!$F$42:$AE$42,M6-Inputs!$C$11)))</f>
        <v>-626235.9124343647</v>
      </c>
      <c r="N13" s="23">
        <f>IF(N6=0,0,IF(N6&lt;=Inputs!$C$11,-INDEX(Construction!$F$40:$W$40,N6),INDEX(Waterfall!$F$42:$AE$42,N6-Inputs!$C$11)))</f>
        <v>-626880.4563167137</v>
      </c>
      <c r="O13" s="23">
        <f>IF(O6=0,0,IF(O6&lt;=Inputs!$C$11,-INDEX(Construction!$F$40:$W$40,O6),INDEX(Waterfall!$F$42:$AE$42,O6-Inputs!$C$11)))</f>
        <v>-627525.6635861474</v>
      </c>
      <c r="P13" s="23">
        <f>IF(P6=0,0,IF(P6&lt;=Inputs!$C$11,-INDEX(Construction!$F$40:$W$40,P6),INDEX(Waterfall!$F$42:$AE$42,P6-Inputs!$C$11)))</f>
        <v>-628171.534925447</v>
      </c>
      <c r="Q13" s="23">
        <f>IF(Q6=0,0,IF(Q6&lt;=Inputs!$C$11,-INDEX(Construction!$F$40:$W$40,Q6),INDEX(Waterfall!$F$42:$AE$42,Q6-Inputs!$C$11)))</f>
        <v>-628818.0710180962</v>
      </c>
      <c r="R13" s="23">
        <f>IF(R6=0,0,IF(R6&lt;=Inputs!$C$11,-INDEX(Construction!$F$40:$W$40,R6),INDEX(Waterfall!$F$42:$AE$42,R6-Inputs!$C$11)))</f>
        <v>-629465.2725482826</v>
      </c>
      <c r="S13" s="23">
        <f>IF(S6=0,0,IF(S6&lt;=Inputs!$C$11,-INDEX(Construction!$F$40:$W$40,S6),INDEX(Waterfall!$F$42:$AE$42,S6-Inputs!$C$11)))</f>
        <v>-397317.1539188634</v>
      </c>
      <c r="T13" s="23">
        <f>IF(T6=0,0,IF(T6&lt;=Inputs!$C$11,-INDEX(Construction!$F$40:$W$40,T6),INDEX(Waterfall!$F$42:$AE$42,T6-Inputs!$C$11)))</f>
        <v>-397497.55855644477</v>
      </c>
      <c r="U13" s="23">
        <f>IF(U6=0,0,IF(U6&lt;=Inputs!$C$11,-INDEX(Construction!$F$40:$W$40,U6),INDEX(Waterfall!$F$42:$AE$42,U6-Inputs!$C$11)))</f>
        <v>-5971772.632172906</v>
      </c>
      <c r="V13" s="23">
        <f>IF(V6=0,0,IF(V6&lt;=Inputs!$C$11,-INDEX(Construction!$F$40:$W$40,V6),INDEX(Waterfall!$F$42:$AE$42,V6-Inputs!$C$11)))</f>
        <v>-5983390.891976394</v>
      </c>
      <c r="W13" s="23">
        <f>IF(W6=0,0,IF(W6&lt;=Inputs!$C$11,-INDEX(Construction!$F$40:$W$40,W6),INDEX(Waterfall!$F$42:$AE$42,W6-Inputs!$C$11)))</f>
        <v>-5995021.1096988255</v>
      </c>
      <c r="X13" s="23">
        <f>IF(X6=0,0,IF(X6&lt;=Inputs!$C$11,-INDEX(Construction!$F$40:$W$40,X6),INDEX(Waterfall!$F$42:$AE$42,X6-Inputs!$C$11)))</f>
        <v>-5919416.363887578</v>
      </c>
      <c r="Y13" s="23">
        <f>IF(Y6=0,0,IF(Y6&lt;=Inputs!$C$11,-INDEX(Construction!$F$40:$W$40,Y6),INDEX(Waterfall!$F$42:$AE$42,Y6-Inputs!$C$11)))</f>
        <v>1611971.9507365031</v>
      </c>
      <c r="Z13" s="23">
        <f>IF(Z6=0,0,IF(Z6&lt;=Inputs!$C$11,-INDEX(Construction!$F$40:$W$40,Z6),INDEX(Waterfall!$F$42:$AE$42,Z6-Inputs!$C$11)))</f>
        <v>2360238.8006830523</v>
      </c>
      <c r="AA13" s="23">
        <f>IF(AA6=0,0,IF(AA6&lt;=Inputs!$C$11,-INDEX(Construction!$F$40:$W$40,AA6),INDEX(Waterfall!$F$42:$AE$42,AA6-Inputs!$C$11)))</f>
        <v>1023991.5096110229</v>
      </c>
      <c r="AB13" s="23">
        <f>IF(AB6=0,0,IF(AB6&lt;=Inputs!$C$11,-INDEX(Construction!$F$40:$W$40,AB6),INDEX(Waterfall!$F$42:$AE$42,AB6-Inputs!$C$11)))</f>
        <v>1135879.273571806</v>
      </c>
      <c r="AC13" s="23">
        <f>IF(AC6=0,0,IF(AC6&lt;=Inputs!$C$11,-INDEX(Construction!$F$40:$W$40,AC6),INDEX(Waterfall!$F$42:$AE$42,AC6-Inputs!$C$11)))</f>
        <v>1263491.7633020065</v>
      </c>
      <c r="AD13" s="23">
        <f>IF(AD6=0,0,IF(AD6&lt;=Inputs!$C$11,-INDEX(Construction!$F$40:$W$40,AD6),INDEX(Waterfall!$F$42:$AE$42,AD6-Inputs!$C$11)))</f>
        <v>1388677.1484332953</v>
      </c>
      <c r="AE13" s="23">
        <f>IF(AE6=0,0,IF(AE6&lt;=Inputs!$C$11,-INDEX(Construction!$F$40:$W$40,AE6),INDEX(Waterfall!$F$42:$AE$42,AE6-Inputs!$C$11)))</f>
        <v>1518432.099118188</v>
      </c>
      <c r="AF13" s="23">
        <f>IF(AF6=0,0,IF(AF6&lt;=Inputs!$C$11,-INDEX(Construction!$F$40:$W$40,AF6),INDEX(Waterfall!$F$42:$AE$42,AF6-Inputs!$C$11)))</f>
        <v>1648123.070719254</v>
      </c>
      <c r="AG13" s="23">
        <f>IF(AG6=0,0,IF(AG6&lt;=Inputs!$C$11,-INDEX(Construction!$F$40:$W$40,AG6),INDEX(Waterfall!$F$42:$AE$42,AG6-Inputs!$C$11)))</f>
        <v>1780180.9884044924</v>
      </c>
      <c r="AH13" s="23">
        <f>IF(AH6=0,0,IF(AH6&lt;=Inputs!$C$11,-INDEX(Construction!$F$40:$W$40,AH6),INDEX(Waterfall!$F$42:$AE$42,AH6-Inputs!$C$11)))</f>
        <v>1909629.62656644</v>
      </c>
      <c r="AI13" s="23">
        <f>IF(AI6=0,0,IF(AI6&lt;=Inputs!$C$11,-INDEX(Construction!$F$40:$W$40,AI6),INDEX(Waterfall!$F$42:$AE$42,AI6-Inputs!$C$11)))</f>
        <v>1919932.8633765944</v>
      </c>
      <c r="AJ13" s="23">
        <f>IF(AJ6=0,0,IF(AJ6&lt;=Inputs!$C$11,-INDEX(Construction!$F$40:$W$40,AJ6),INDEX(Waterfall!$F$42:$AE$42,AJ6-Inputs!$C$11)))</f>
        <v>2051732.3089078222</v>
      </c>
      <c r="AK13" s="23">
        <f>IF(AK6=0,0,IF(AK6&lt;=Inputs!$C$11,-INDEX(Construction!$F$40:$W$40,AK6),INDEX(Waterfall!$F$42:$AE$42,AK6-Inputs!$C$11)))</f>
        <v>2186020.5098967995</v>
      </c>
      <c r="AL13" s="23">
        <f>IF(AL6=0,0,IF(AL6&lt;=Inputs!$C$11,-INDEX(Construction!$F$40:$W$40,AL6),INDEX(Waterfall!$F$42:$AE$42,AL6-Inputs!$C$11)))</f>
        <v>2317452.9435685067</v>
      </c>
      <c r="AM13" s="23">
        <f>IF(AM6=0,0,IF(AM6&lt;=Inputs!$C$11,-INDEX(Construction!$F$40:$W$40,AM6),INDEX(Waterfall!$F$42:$AE$42,AM6-Inputs!$C$11)))</f>
        <v>2454095.928724756</v>
      </c>
      <c r="AN13" s="23">
        <f>IF(AN6=0,0,IF(AN6&lt;=Inputs!$C$11,-INDEX(Construction!$F$40:$W$40,AN6),INDEX(Waterfall!$F$42:$AE$42,AN6-Inputs!$C$11)))</f>
        <v>2590605.6172896177</v>
      </c>
      <c r="AO13" s="23">
        <f>IF(AO6=0,0,IF(AO6&lt;=Inputs!$C$11,-INDEX(Construction!$F$40:$W$40,AO6),INDEX(Waterfall!$F$42:$AE$42,AO6-Inputs!$C$11)))</f>
        <v>2673447.779028157</v>
      </c>
      <c r="AP13" s="23">
        <f>IF(AP6=0,0,IF(AP6&lt;=Inputs!$C$11,-INDEX(Construction!$F$40:$W$40,AP6),INDEX(Waterfall!$F$42:$AE$42,AP6-Inputs!$C$11)))</f>
        <v>2701419.3925535497</v>
      </c>
      <c r="AQ13" s="23">
        <f>IF(AQ6=0,0,IF(AQ6&lt;=Inputs!$C$11,-INDEX(Construction!$F$40:$W$40,AQ6),INDEX(Waterfall!$F$42:$AE$42,AQ6-Inputs!$C$11)))</f>
        <v>3134245.468531051</v>
      </c>
      <c r="AR13" s="23">
        <f>IF(AR6=0,0,IF(AR6&lt;=Inputs!$C$11,-INDEX(Construction!$F$40:$W$40,AR6),INDEX(Waterfall!$F$42:$AE$42,AR6-Inputs!$C$11)))</f>
        <v>3875948.398716625</v>
      </c>
      <c r="AS13" s="23">
        <f>IF(AS6=0,0,IF(AS6&lt;=Inputs!$C$11,-INDEX(Construction!$F$40:$W$40,AS6),INDEX(Waterfall!$F$42:$AE$42,AS6-Inputs!$C$11)))</f>
        <v>3288319.199497585</v>
      </c>
      <c r="AT13" s="23">
        <f>IF(AT6=0,0,IF(AT6&lt;=Inputs!$C$11,-INDEX(Construction!$F$40:$W$40,AT6),INDEX(Waterfall!$F$42:$AE$42,AT6-Inputs!$C$11)))</f>
        <v>3354485.910846567</v>
      </c>
      <c r="AU13" s="23">
        <f>IF(AU6=0,0,IF(AU6&lt;=Inputs!$C$11,-INDEX(Construction!$F$40:$W$40,AU6),INDEX(Waterfall!$F$42:$AE$42,AU6-Inputs!$C$11)))</f>
        <v>3426773.487398305</v>
      </c>
      <c r="AV13" s="23">
        <f>IF(AV6=0,0,IF(AV6&lt;=Inputs!$C$11,-INDEX(Construction!$F$40:$W$40,AV6),INDEX(Waterfall!$F$42:$AE$42,AV6-Inputs!$C$11)))</f>
        <v>3498949.4149072366</v>
      </c>
      <c r="AW13" s="23">
        <f>IF(AW6=0,0,IF(AW6&lt;=Inputs!$C$11,-INDEX(Construction!$F$40:$W$40,AW6),INDEX(Waterfall!$F$42:$AE$42,AW6-Inputs!$C$11)))</f>
        <v>3583917.414611852</v>
      </c>
      <c r="AX13" s="23">
        <f>IF(AX6=0,0,IF(AX6&lt;=Inputs!$C$11,-INDEX(Construction!$F$40:$W$40,AX6),INDEX(Waterfall!$F$42:$AE$42,AX6-Inputs!$C$11)))</f>
        <v>2191715.8096956136</v>
      </c>
    </row>
    <row r="14">
      <c r="A14" s="6" t="inlineStr">
        <is>
          <t xml:space="preserve">Project cash flow before tax</t>
        </is>
      </c>
      <c r="B14" s="10" t="inlineStr">
        <is>
          <t xml:space="preserve">€</t>
        </is>
      </c>
      <c r="F14" s="23">
        <f>IF(F6=0,0,IF(F6&lt;=Inputs!$C$11,-INDEX(Construction!$F$26:$W$26,F6)-INDEX(Construction!$F$37:$W$37,F6),INDEX(Waterfall!$F$43:$AE$43,F6-Inputs!$C$11)))</f>
        <v>0</v>
      </c>
      <c r="G14" s="23">
        <f>IF(G6=0,0,IF(G6&lt;=Inputs!$C$11,-INDEX(Construction!$F$26:$W$26,G6)-INDEX(Construction!$F$37:$W$37,G6),INDEX(Waterfall!$F$43:$AE$43,G6-Inputs!$C$11)))</f>
        <v>-10811902.5</v>
      </c>
      <c r="H14" s="23">
        <f>IF(H6=0,0,IF(H6&lt;=Inputs!$C$11,-INDEX(Construction!$F$26:$W$26,H6)-INDEX(Construction!$F$37:$W$37,H6),INDEX(Waterfall!$F$43:$AE$43,H6-Inputs!$C$11)))</f>
        <v>-911452.5</v>
      </c>
      <c r="I14" s="23">
        <f>IF(I6=0,0,IF(I6&lt;=Inputs!$C$11,-INDEX(Construction!$F$26:$W$26,I6)-INDEX(Construction!$F$37:$W$37,I6),INDEX(Waterfall!$F$43:$AE$43,I6-Inputs!$C$11)))</f>
        <v>-911452.5</v>
      </c>
      <c r="J14" s="23">
        <f>IF(J6=0,0,IF(J6&lt;=Inputs!$C$11,-INDEX(Construction!$F$26:$W$26,J6)-INDEX(Construction!$F$37:$W$37,J6),INDEX(Waterfall!$F$43:$AE$43,J6-Inputs!$C$11)))</f>
        <v>-911452.5</v>
      </c>
      <c r="K14" s="23">
        <f>IF(K6=0,0,IF(K6&lt;=Inputs!$C$11,-INDEX(Construction!$F$26:$W$26,K6)-INDEX(Construction!$F$37:$W$37,K6),INDEX(Waterfall!$F$43:$AE$43,K6-Inputs!$C$11)))</f>
        <v>-911452.5</v>
      </c>
      <c r="L14" s="23">
        <f>IF(L6=0,0,IF(L6&lt;=Inputs!$C$11,-INDEX(Construction!$F$26:$W$26,L6)-INDEX(Construction!$F$37:$W$37,L6),INDEX(Waterfall!$F$43:$AE$43,L6-Inputs!$C$11)))</f>
        <v>-911452.5</v>
      </c>
      <c r="M14" s="23">
        <f>IF(M6=0,0,IF(M6&lt;=Inputs!$C$11,-INDEX(Construction!$F$26:$W$26,M6)-INDEX(Construction!$F$37:$W$37,M6),INDEX(Waterfall!$F$43:$AE$43,M6-Inputs!$C$11)))</f>
        <v>-911452.5</v>
      </c>
      <c r="N14" s="23">
        <f>IF(N6=0,0,IF(N6&lt;=Inputs!$C$11,-INDEX(Construction!$F$26:$W$26,N6)-INDEX(Construction!$F$37:$W$37,N6),INDEX(Waterfall!$F$43:$AE$43,N6-Inputs!$C$11)))</f>
        <v>-911452.5</v>
      </c>
      <c r="O14" s="23">
        <f>IF(O6=0,0,IF(O6&lt;=Inputs!$C$11,-INDEX(Construction!$F$26:$W$26,O6)-INDEX(Construction!$F$37:$W$37,O6),INDEX(Waterfall!$F$43:$AE$43,O6-Inputs!$C$11)))</f>
        <v>-911452.5</v>
      </c>
      <c r="P14" s="23">
        <f>IF(P6=0,0,IF(P6&lt;=Inputs!$C$11,-INDEX(Construction!$F$26:$W$26,P6)-INDEX(Construction!$F$37:$W$37,P6),INDEX(Waterfall!$F$43:$AE$43,P6-Inputs!$C$11)))</f>
        <v>-911452.5</v>
      </c>
      <c r="Q14" s="23">
        <f>IF(Q6=0,0,IF(Q6&lt;=Inputs!$C$11,-INDEX(Construction!$F$26:$W$26,Q6)-INDEX(Construction!$F$37:$W$37,Q6),INDEX(Waterfall!$F$43:$AE$43,Q6-Inputs!$C$11)))</f>
        <v>-911452.5</v>
      </c>
      <c r="R14" s="23">
        <f>IF(R6=0,0,IF(R6&lt;=Inputs!$C$11,-INDEX(Construction!$F$26:$W$26,R6)-INDEX(Construction!$F$37:$W$37,R6),INDEX(Waterfall!$F$43:$AE$43,R6-Inputs!$C$11)))</f>
        <v>-911452.5</v>
      </c>
      <c r="S14" s="23">
        <f>IF(S6=0,0,IF(S6&lt;=Inputs!$C$11,-INDEX(Construction!$F$26:$W$26,S6)-INDEX(Construction!$F$37:$W$37,S6),INDEX(Waterfall!$F$43:$AE$43,S6-Inputs!$C$11)))</f>
        <v>-554452.5</v>
      </c>
      <c r="T14" s="23">
        <f>IF(T6=0,0,IF(T6&lt;=Inputs!$C$11,-INDEX(Construction!$F$26:$W$26,T6)-INDEX(Construction!$F$37:$W$37,T6),INDEX(Waterfall!$F$43:$AE$43,T6-Inputs!$C$11)))</f>
        <v>-554452.5</v>
      </c>
      <c r="U14" s="23">
        <f>IF(U6=0,0,IF(U6&lt;=Inputs!$C$11,-INDEX(Construction!$F$26:$W$26,U6)-INDEX(Construction!$F$37:$W$37,U6),INDEX(Waterfall!$F$43:$AE$43,U6-Inputs!$C$11)))</f>
        <v>-9102502.499999998</v>
      </c>
      <c r="V14" s="23">
        <f>IF(V6=0,0,IF(V6&lt;=Inputs!$C$11,-INDEX(Construction!$F$26:$W$26,V6)-INDEX(Construction!$F$37:$W$37,V6),INDEX(Waterfall!$F$43:$AE$43,V6-Inputs!$C$11)))</f>
        <v>-9102502.499999998</v>
      </c>
      <c r="W14" s="23">
        <f>IF(W6=0,0,IF(W6&lt;=Inputs!$C$11,-INDEX(Construction!$F$26:$W$26,W6)-INDEX(Construction!$F$37:$W$37,W6),INDEX(Waterfall!$F$43:$AE$43,W6-Inputs!$C$11)))</f>
        <v>-9102502.499999998</v>
      </c>
      <c r="X14" s="23">
        <f>IF(X6=0,0,IF(X6&lt;=Inputs!$C$11,-INDEX(Construction!$F$26:$W$26,X6)-INDEX(Construction!$F$37:$W$37,X6),INDEX(Waterfall!$F$43:$AE$43,X6-Inputs!$C$11)))</f>
        <v>-8379401.500828104</v>
      </c>
      <c r="Y14" s="23">
        <f>IF(Y6=0,0,IF(Y6&lt;=Inputs!$C$11,-INDEX(Construction!$F$26:$W$26,Y6)-INDEX(Construction!$F$37:$W$37,Y6),INDEX(Waterfall!$F$43:$AE$43,Y6-Inputs!$C$11)))</f>
        <v>2163887.0907577514</v>
      </c>
      <c r="Z14" s="23">
        <f>IF(Z6=0,0,IF(Z6&lt;=Inputs!$C$11,-INDEX(Construction!$F$26:$W$26,Z6)-INDEX(Construction!$F$37:$W$37,Z6),INDEX(Waterfall!$F$43:$AE$43,Z6-Inputs!$C$11)))</f>
        <v>3464069.080725549</v>
      </c>
      <c r="AA14" s="23">
        <f>IF(AA6=0,0,IF(AA6&lt;=Inputs!$C$11,-INDEX(Construction!$F$26:$W$26,AA6)-INDEX(Construction!$F$37:$W$37,AA6),INDEX(Waterfall!$F$43:$AE$43,AA6-Inputs!$C$11)))</f>
        <v>3300906.9518894465</v>
      </c>
      <c r="AB14" s="23">
        <f>IF(AB6=0,0,IF(AB6&lt;=Inputs!$C$11,-INDEX(Construction!$F$26:$W$26,AB6)-INDEX(Construction!$F$37:$W$37,AB6),INDEX(Waterfall!$F$43:$AE$43,AB6-Inputs!$C$11)))</f>
        <v>3347863.5229065535</v>
      </c>
      <c r="AC14" s="23">
        <f>IF(AC6=0,0,IF(AC6&lt;=Inputs!$C$11,-INDEX(Construction!$F$26:$W$26,AC6)-INDEX(Construction!$F$37:$W$37,AC6),INDEX(Waterfall!$F$43:$AE$43,AC6-Inputs!$C$11)))</f>
        <v>3410544.819693078</v>
      </c>
      <c r="AD14" s="23">
        <f>IF(AD6=0,0,IF(AD6&lt;=Inputs!$C$11,-INDEX(Construction!$F$26:$W$26,AD6)-INDEX(Construction!$F$37:$W$37,AD6),INDEX(Waterfall!$F$43:$AE$43,AD6-Inputs!$C$11)))</f>
        <v>3470799.01188069</v>
      </c>
      <c r="AE14" s="23">
        <f>IF(AE6=0,0,IF(AE6&lt;=Inputs!$C$11,-INDEX(Construction!$F$26:$W$26,AE6)-INDEX(Construction!$F$37:$W$37,AE6),INDEX(Waterfall!$F$43:$AE$43,AE6-Inputs!$C$11)))</f>
        <v>3535622.769621907</v>
      </c>
      <c r="AF14" s="23">
        <f>IF(AF6=0,0,IF(AF6&lt;=Inputs!$C$11,-INDEX(Construction!$F$26:$W$26,AF6)-INDEX(Construction!$F$37:$W$37,AF6),INDEX(Waterfall!$F$43:$AE$43,AF6-Inputs!$C$11)))</f>
        <v>3600382.5482792966</v>
      </c>
      <c r="AG14" s="23">
        <f>IF(AG6=0,0,IF(AG6&lt;=Inputs!$C$11,-INDEX(Construction!$F$26:$W$26,AG6)-INDEX(Construction!$F$37:$W$37,AG6),INDEX(Waterfall!$F$43:$AE$43,AG6-Inputs!$C$11)))</f>
        <v>3667509.273020859</v>
      </c>
      <c r="AH14" s="23">
        <f>IF(AH6=0,0,IF(AH6&lt;=Inputs!$C$11,-INDEX(Construction!$F$26:$W$26,AH6)-INDEX(Construction!$F$37:$W$37,AH6),INDEX(Waterfall!$F$43:$AE$43,AH6-Inputs!$C$11)))</f>
        <v>3732026.7182391305</v>
      </c>
      <c r="AI14" s="23">
        <f>IF(AI6=0,0,IF(AI6&lt;=Inputs!$C$11,-INDEX(Construction!$F$26:$W$26,AI6)-INDEX(Construction!$F$37:$W$37,AI6),INDEX(Waterfall!$F$43:$AE$43,AI6-Inputs!$C$11)))</f>
        <v>3677398.7621056084</v>
      </c>
      <c r="AJ14" s="23">
        <f>IF(AJ6=0,0,IF(AJ6&lt;=Inputs!$C$11,-INDEX(Construction!$F$26:$W$26,AJ6)-INDEX(Construction!$F$37:$W$37,AJ6),INDEX(Waterfall!$F$43:$AE$43,AJ6-Inputs!$C$11)))</f>
        <v>3744267.01469316</v>
      </c>
      <c r="AK14" s="23">
        <f>IF(AK6=0,0,IF(AK6&lt;=Inputs!$C$11,-INDEX(Construction!$F$26:$W$26,AK6)-INDEX(Construction!$F$37:$W$37,AK6),INDEX(Waterfall!$F$43:$AE$43,AK6-Inputs!$C$11)))</f>
        <v>3813624.0227384614</v>
      </c>
      <c r="AL14" s="23">
        <f>IF(AL6=0,0,IF(AL6&lt;=Inputs!$C$11,-INDEX(Construction!$F$26:$W$26,AL6)-INDEX(Construction!$F$37:$W$37,AL6),INDEX(Waterfall!$F$43:$AE$43,AL6-Inputs!$C$11)))</f>
        <v>3880125.2634664923</v>
      </c>
      <c r="AM14" s="23">
        <f>IF(AM6=0,0,IF(AM6&lt;=Inputs!$C$11,-INDEX(Construction!$F$26:$W$26,AM6)-INDEX(Construction!$F$37:$W$37,AM6),INDEX(Waterfall!$F$43:$AE$43,AM6-Inputs!$C$11)))</f>
        <v>3951837.0556790656</v>
      </c>
      <c r="AN14" s="23">
        <f>IF(AN6=0,0,IF(AN6&lt;=Inputs!$C$11,-INDEX(Construction!$F$26:$W$26,AN6)-INDEX(Construction!$F$37:$W$37,AN6),INDEX(Waterfall!$F$43:$AE$43,AN6-Inputs!$C$11)))</f>
        <v>4023415.5513002505</v>
      </c>
      <c r="AO14" s="23">
        <f>IF(AO6=0,0,IF(AO6&lt;=Inputs!$C$11,-INDEX(Construction!$F$26:$W$26,AO6)-INDEX(Construction!$F$37:$W$37,AO6),INDEX(Waterfall!$F$43:$AE$43,AO6-Inputs!$C$11)))</f>
        <v>4097662.5200951137</v>
      </c>
      <c r="AP14" s="23">
        <f>IF(AP6=0,0,IF(AP6&lt;=Inputs!$C$11,-INDEX(Construction!$F$26:$W$26,AP6)-INDEX(Construction!$F$37:$W$37,AP6),INDEX(Waterfall!$F$43:$AE$43,AP6-Inputs!$C$11)))</f>
        <v>4168838.940676834</v>
      </c>
      <c r="AQ14" s="23">
        <f>IF(AQ6=0,0,IF(AQ6&lt;=Inputs!$C$11,-INDEX(Construction!$F$26:$W$26,AQ6)-INDEX(Construction!$F$37:$W$37,AQ6),INDEX(Waterfall!$F$43:$AE$43,AQ6-Inputs!$C$11)))</f>
        <v>4245606.333592705</v>
      </c>
      <c r="AR14" s="23">
        <f>IF(AR6=0,0,IF(AR6&lt;=Inputs!$C$11,-INDEX(Construction!$F$26:$W$26,AR6)-INDEX(Construction!$F$37:$W$37,AR6),INDEX(Waterfall!$F$43:$AE$43,AR6-Inputs!$C$11)))</f>
        <v>4322226.398716625</v>
      </c>
      <c r="AS14" s="23">
        <f>IF(AS6=0,0,IF(AS6&lt;=Inputs!$C$11,-INDEX(Construction!$F$26:$W$26,AS6)-INDEX(Construction!$F$37:$W$37,AS6),INDEX(Waterfall!$F$43:$AE$43,AS6-Inputs!$C$11)))</f>
        <v>4321059.518532468</v>
      </c>
      <c r="AT14" s="23">
        <f>IF(AT6=0,0,IF(AT6&lt;=Inputs!$C$11,-INDEX(Construction!$F$26:$W$26,AT6)-INDEX(Construction!$F$37:$W$37,AT6),INDEX(Waterfall!$F$43:$AE$43,AT6-Inputs!$C$11)))</f>
        <v>4395626.22988145</v>
      </c>
      <c r="AU14" s="23">
        <f>IF(AU6=0,0,IF(AU6&lt;=Inputs!$C$11,-INDEX(Construction!$F$26:$W$26,AU6)-INDEX(Construction!$F$37:$W$37,AU6),INDEX(Waterfall!$F$43:$AE$43,AU6-Inputs!$C$11)))</f>
        <v>4476159.806433188</v>
      </c>
      <c r="AV14" s="23">
        <f>IF(AV6=0,0,IF(AV6&lt;=Inputs!$C$11,-INDEX(Construction!$F$26:$W$26,AV6)-INDEX(Construction!$F$37:$W$37,AV6),INDEX(Waterfall!$F$43:$AE$43,AV6-Inputs!$C$11)))</f>
        <v>4556497.733942119</v>
      </c>
      <c r="AW14" s="23">
        <f>IF(AW6=0,0,IF(AW6&lt;=Inputs!$C$11,-INDEX(Construction!$F$26:$W$26,AW6)-INDEX(Construction!$F$37:$W$37,AW6),INDEX(Waterfall!$F$43:$AE$43,AW6-Inputs!$C$11)))</f>
        <v>4639869.733646735</v>
      </c>
      <c r="AX14" s="23">
        <f>IF(AX6=0,0,IF(AX6&lt;=Inputs!$C$11,-INDEX(Construction!$F$26:$W$26,AX6)-INDEX(Construction!$F$37:$W$37,AX6),INDEX(Waterfall!$F$43:$AE$43,AX6-Inputs!$C$11)))</f>
        <v>248574.214521199</v>
      </c>
    </row>
    <row r="15">
      <c r="A15" s="6" t="inlineStr">
        <is>
          <t xml:space="preserve">Project cash flow after tax</t>
        </is>
      </c>
      <c r="B15" s="10" t="inlineStr">
        <is>
          <t xml:space="preserve">€</t>
        </is>
      </c>
      <c r="F15" s="23">
        <f>IF(F6=0,0,IF(F6&lt;=Inputs!$C$11,-INDEX(Construction!$F$26:$W$26,F6)-INDEX(Construction!$F$37:$W$37,F6),INDEX(Waterfall!$F$44:$AE$44,F6-Inputs!$C$11)))</f>
        <v>0</v>
      </c>
      <c r="G15" s="23">
        <f>IF(G6=0,0,IF(G6&lt;=Inputs!$C$11,-INDEX(Construction!$F$26:$W$26,G6)-INDEX(Construction!$F$37:$W$37,G6),INDEX(Waterfall!$F$44:$AE$44,G6-Inputs!$C$11)))</f>
        <v>-10811902.5</v>
      </c>
      <c r="H15" s="23">
        <f>IF(H6=0,0,IF(H6&lt;=Inputs!$C$11,-INDEX(Construction!$F$26:$W$26,H6)-INDEX(Construction!$F$37:$W$37,H6),INDEX(Waterfall!$F$44:$AE$44,H6-Inputs!$C$11)))</f>
        <v>-911452.5</v>
      </c>
      <c r="I15" s="23">
        <f>IF(I6=0,0,IF(I6&lt;=Inputs!$C$11,-INDEX(Construction!$F$26:$W$26,I6)-INDEX(Construction!$F$37:$W$37,I6),INDEX(Waterfall!$F$44:$AE$44,I6-Inputs!$C$11)))</f>
        <v>-911452.5</v>
      </c>
      <c r="J15" s="23">
        <f>IF(J6=0,0,IF(J6&lt;=Inputs!$C$11,-INDEX(Construction!$F$26:$W$26,J6)-INDEX(Construction!$F$37:$W$37,J6),INDEX(Waterfall!$F$44:$AE$44,J6-Inputs!$C$11)))</f>
        <v>-911452.5</v>
      </c>
      <c r="K15" s="23">
        <f>IF(K6=0,0,IF(K6&lt;=Inputs!$C$11,-INDEX(Construction!$F$26:$W$26,K6)-INDEX(Construction!$F$37:$W$37,K6),INDEX(Waterfall!$F$44:$AE$44,K6-Inputs!$C$11)))</f>
        <v>-911452.5</v>
      </c>
      <c r="L15" s="23">
        <f>IF(L6=0,0,IF(L6&lt;=Inputs!$C$11,-INDEX(Construction!$F$26:$W$26,L6)-INDEX(Construction!$F$37:$W$37,L6),INDEX(Waterfall!$F$44:$AE$44,L6-Inputs!$C$11)))</f>
        <v>-911452.5</v>
      </c>
      <c r="M15" s="23">
        <f>IF(M6=0,0,IF(M6&lt;=Inputs!$C$11,-INDEX(Construction!$F$26:$W$26,M6)-INDEX(Construction!$F$37:$W$37,M6),INDEX(Waterfall!$F$44:$AE$44,M6-Inputs!$C$11)))</f>
        <v>-911452.5</v>
      </c>
      <c r="N15" s="23">
        <f>IF(N6=0,0,IF(N6&lt;=Inputs!$C$11,-INDEX(Construction!$F$26:$W$26,N6)-INDEX(Construction!$F$37:$W$37,N6),INDEX(Waterfall!$F$44:$AE$44,N6-Inputs!$C$11)))</f>
        <v>-911452.5</v>
      </c>
      <c r="O15" s="23">
        <f>IF(O6=0,0,IF(O6&lt;=Inputs!$C$11,-INDEX(Construction!$F$26:$W$26,O6)-INDEX(Construction!$F$37:$W$37,O6),INDEX(Waterfall!$F$44:$AE$44,O6-Inputs!$C$11)))</f>
        <v>-911452.5</v>
      </c>
      <c r="P15" s="23">
        <f>IF(P6=0,0,IF(P6&lt;=Inputs!$C$11,-INDEX(Construction!$F$26:$W$26,P6)-INDEX(Construction!$F$37:$W$37,P6),INDEX(Waterfall!$F$44:$AE$44,P6-Inputs!$C$11)))</f>
        <v>-911452.5</v>
      </c>
      <c r="Q15" s="23">
        <f>IF(Q6=0,0,IF(Q6&lt;=Inputs!$C$11,-INDEX(Construction!$F$26:$W$26,Q6)-INDEX(Construction!$F$37:$W$37,Q6),INDEX(Waterfall!$F$44:$AE$44,Q6-Inputs!$C$11)))</f>
        <v>-911452.5</v>
      </c>
      <c r="R15" s="23">
        <f>IF(R6=0,0,IF(R6&lt;=Inputs!$C$11,-INDEX(Construction!$F$26:$W$26,R6)-INDEX(Construction!$F$37:$W$37,R6),INDEX(Waterfall!$F$44:$AE$44,R6-Inputs!$C$11)))</f>
        <v>-911452.5</v>
      </c>
      <c r="S15" s="23">
        <f>IF(S6=0,0,IF(S6&lt;=Inputs!$C$11,-INDEX(Construction!$F$26:$W$26,S6)-INDEX(Construction!$F$37:$W$37,S6),INDEX(Waterfall!$F$44:$AE$44,S6-Inputs!$C$11)))</f>
        <v>-554452.5</v>
      </c>
      <c r="T15" s="23">
        <f>IF(T6=0,0,IF(T6&lt;=Inputs!$C$11,-INDEX(Construction!$F$26:$W$26,T6)-INDEX(Construction!$F$37:$W$37,T6),INDEX(Waterfall!$F$44:$AE$44,T6-Inputs!$C$11)))</f>
        <v>-554452.5</v>
      </c>
      <c r="U15" s="23">
        <f>IF(U6=0,0,IF(U6&lt;=Inputs!$C$11,-INDEX(Construction!$F$26:$W$26,U6)-INDEX(Construction!$F$37:$W$37,U6),INDEX(Waterfall!$F$44:$AE$44,U6-Inputs!$C$11)))</f>
        <v>-9102502.499999998</v>
      </c>
      <c r="V15" s="23">
        <f>IF(V6=0,0,IF(V6&lt;=Inputs!$C$11,-INDEX(Construction!$F$26:$W$26,V6)-INDEX(Construction!$F$37:$W$37,V6),INDEX(Waterfall!$F$44:$AE$44,V6-Inputs!$C$11)))</f>
        <v>-9102502.499999998</v>
      </c>
      <c r="W15" s="23">
        <f>IF(W6=0,0,IF(W6&lt;=Inputs!$C$11,-INDEX(Construction!$F$26:$W$26,W6)-INDEX(Construction!$F$37:$W$37,W6),INDEX(Waterfall!$F$44:$AE$44,W6-Inputs!$C$11)))</f>
        <v>-9102502.499999998</v>
      </c>
      <c r="X15" s="23">
        <f>IF(X6=0,0,IF(X6&lt;=Inputs!$C$11,-INDEX(Construction!$F$26:$W$26,X6)-INDEX(Construction!$F$37:$W$37,X6),INDEX(Waterfall!$F$44:$AE$44,X6-Inputs!$C$11)))</f>
        <v>-8379401.500828104</v>
      </c>
      <c r="Y15" s="23">
        <f>IF(Y6=0,0,IF(Y6&lt;=Inputs!$C$11,-INDEX(Construction!$F$26:$W$26,Y6)-INDEX(Construction!$F$37:$W$37,Y6),INDEX(Waterfall!$F$44:$AE$44,Y6-Inputs!$C$11)))</f>
        <v>2115601.0907577514</v>
      </c>
      <c r="Z15" s="23">
        <f>IF(Z6=0,0,IF(Z6&lt;=Inputs!$C$11,-INDEX(Construction!$F$26:$W$26,Z6)-INDEX(Construction!$F$37:$W$37,Z6),INDEX(Waterfall!$F$44:$AE$44,Z6-Inputs!$C$11)))</f>
        <v>3464069.080725549</v>
      </c>
      <c r="AA15" s="23">
        <f>IF(AA6=0,0,IF(AA6&lt;=Inputs!$C$11,-INDEX(Construction!$F$26:$W$26,AA6)-INDEX(Construction!$F$37:$W$37,AA6),INDEX(Waterfall!$F$44:$AE$44,AA6-Inputs!$C$11)))</f>
        <v>3300906.9518894465</v>
      </c>
      <c r="AB15" s="23">
        <f>IF(AB6=0,0,IF(AB6&lt;=Inputs!$C$11,-INDEX(Construction!$F$26:$W$26,AB6)-INDEX(Construction!$F$37:$W$37,AB6),INDEX(Waterfall!$F$44:$AE$44,AB6-Inputs!$C$11)))</f>
        <v>3347863.5229065535</v>
      </c>
      <c r="AC15" s="23">
        <f>IF(AC6=0,0,IF(AC6&lt;=Inputs!$C$11,-INDEX(Construction!$F$26:$W$26,AC6)-INDEX(Construction!$F$37:$W$37,AC6),INDEX(Waterfall!$F$44:$AE$44,AC6-Inputs!$C$11)))</f>
        <v>3410544.819693078</v>
      </c>
      <c r="AD15" s="23">
        <f>IF(AD6=0,0,IF(AD6&lt;=Inputs!$C$11,-INDEX(Construction!$F$26:$W$26,AD6)-INDEX(Construction!$F$37:$W$37,AD6),INDEX(Waterfall!$F$44:$AE$44,AD6-Inputs!$C$11)))</f>
        <v>3470799.01188069</v>
      </c>
      <c r="AE15" s="23">
        <f>IF(AE6=0,0,IF(AE6&lt;=Inputs!$C$11,-INDEX(Construction!$F$26:$W$26,AE6)-INDEX(Construction!$F$37:$W$37,AE6),INDEX(Waterfall!$F$44:$AE$44,AE6-Inputs!$C$11)))</f>
        <v>3535622.769621907</v>
      </c>
      <c r="AF15" s="23">
        <f>IF(AF6=0,0,IF(AF6&lt;=Inputs!$C$11,-INDEX(Construction!$F$26:$W$26,AF6)-INDEX(Construction!$F$37:$W$37,AF6),INDEX(Waterfall!$F$44:$AE$44,AF6-Inputs!$C$11)))</f>
        <v>3600382.5482792966</v>
      </c>
      <c r="AG15" s="23">
        <f>IF(AG6=0,0,IF(AG6&lt;=Inputs!$C$11,-INDEX(Construction!$F$26:$W$26,AG6)-INDEX(Construction!$F$37:$W$37,AG6),INDEX(Waterfall!$F$44:$AE$44,AG6-Inputs!$C$11)))</f>
        <v>3667509.273020859</v>
      </c>
      <c r="AH15" s="23">
        <f>IF(AH6=0,0,IF(AH6&lt;=Inputs!$C$11,-INDEX(Construction!$F$26:$W$26,AH6)-INDEX(Construction!$F$37:$W$37,AH6),INDEX(Waterfall!$F$44:$AE$44,AH6-Inputs!$C$11)))</f>
        <v>3732026.7182391305</v>
      </c>
      <c r="AI15" s="23">
        <f>IF(AI6=0,0,IF(AI6&lt;=Inputs!$C$11,-INDEX(Construction!$F$26:$W$26,AI6)-INDEX(Construction!$F$37:$W$37,AI6),INDEX(Waterfall!$F$44:$AE$44,AI6-Inputs!$C$11)))</f>
        <v>3677398.7621056084</v>
      </c>
      <c r="AJ15" s="23">
        <f>IF(AJ6=0,0,IF(AJ6&lt;=Inputs!$C$11,-INDEX(Construction!$F$26:$W$26,AJ6)-INDEX(Construction!$F$37:$W$37,AJ6),INDEX(Waterfall!$F$44:$AE$44,AJ6-Inputs!$C$11)))</f>
        <v>3744267.01469316</v>
      </c>
      <c r="AK15" s="23">
        <f>IF(AK6=0,0,IF(AK6&lt;=Inputs!$C$11,-INDEX(Construction!$F$26:$W$26,AK6)-INDEX(Construction!$F$37:$W$37,AK6),INDEX(Waterfall!$F$44:$AE$44,AK6-Inputs!$C$11)))</f>
        <v>3813624.0227384614</v>
      </c>
      <c r="AL15" s="23">
        <f>IF(AL6=0,0,IF(AL6&lt;=Inputs!$C$11,-INDEX(Construction!$F$26:$W$26,AL6)-INDEX(Construction!$F$37:$W$37,AL6),INDEX(Waterfall!$F$44:$AE$44,AL6-Inputs!$C$11)))</f>
        <v>3880125.2634664923</v>
      </c>
      <c r="AM15" s="23">
        <f>IF(AM6=0,0,IF(AM6&lt;=Inputs!$C$11,-INDEX(Construction!$F$26:$W$26,AM6)-INDEX(Construction!$F$37:$W$37,AM6),INDEX(Waterfall!$F$44:$AE$44,AM6-Inputs!$C$11)))</f>
        <v>3931061.0556790656</v>
      </c>
      <c r="AN15" s="23">
        <f>IF(AN6=0,0,IF(AN6&lt;=Inputs!$C$11,-INDEX(Construction!$F$26:$W$26,AN6)-INDEX(Construction!$F$37:$W$37,AN6),INDEX(Waterfall!$F$44:$AE$44,AN6-Inputs!$C$11)))</f>
        <v>3973337.5513002505</v>
      </c>
      <c r="AO15" s="23">
        <f>IF(AO6=0,0,IF(AO6&lt;=Inputs!$C$11,-INDEX(Construction!$F$26:$W$26,AO6)-INDEX(Construction!$F$37:$W$37,AO6),INDEX(Waterfall!$F$44:$AE$44,AO6-Inputs!$C$11)))</f>
        <v>3788962.5200951137</v>
      </c>
      <c r="AP15" s="23">
        <f>IF(AP6=0,0,IF(AP6&lt;=Inputs!$C$11,-INDEX(Construction!$F$26:$W$26,AP6)-INDEX(Construction!$F$37:$W$37,AP6),INDEX(Waterfall!$F$44:$AE$44,AP6-Inputs!$C$11)))</f>
        <v>3601432.940676834</v>
      </c>
      <c r="AQ15" s="23">
        <f>IF(AQ6=0,0,IF(AQ6&lt;=Inputs!$C$11,-INDEX(Construction!$F$26:$W$26,AQ6)-INDEX(Construction!$F$37:$W$37,AQ6),INDEX(Waterfall!$F$44:$AE$44,AQ6-Inputs!$C$11)))</f>
        <v>3669506.3335927054</v>
      </c>
      <c r="AR15" s="23">
        <f>IF(AR6=0,0,IF(AR6&lt;=Inputs!$C$11,-INDEX(Construction!$F$26:$W$26,AR6)-INDEX(Construction!$F$37:$W$37,AR6),INDEX(Waterfall!$F$44:$AE$44,AR6-Inputs!$C$11)))</f>
        <v>3737460.398716625</v>
      </c>
      <c r="AS15" s="23">
        <f>IF(AS6=0,0,IF(AS6&lt;=Inputs!$C$11,-INDEX(Construction!$F$26:$W$26,AS6)-INDEX(Construction!$F$37:$W$37,AS6),INDEX(Waterfall!$F$44:$AE$44,AS6-Inputs!$C$11)))</f>
        <v>3739009.518532468</v>
      </c>
      <c r="AT15" s="23">
        <f>IF(AT6=0,0,IF(AT6&lt;=Inputs!$C$11,-INDEX(Construction!$F$26:$W$26,AT6)-INDEX(Construction!$F$37:$W$37,AT6),INDEX(Waterfall!$F$44:$AE$44,AT6-Inputs!$C$11)))</f>
        <v>3805176.2298814496</v>
      </c>
      <c r="AU15" s="23">
        <f>IF(AU6=0,0,IF(AU6&lt;=Inputs!$C$11,-INDEX(Construction!$F$26:$W$26,AU6)-INDEX(Construction!$F$37:$W$37,AU6),INDEX(Waterfall!$F$44:$AE$44,AU6-Inputs!$C$11)))</f>
        <v>3877463.806433188</v>
      </c>
      <c r="AV15" s="23">
        <f>IF(AV6=0,0,IF(AV6&lt;=Inputs!$C$11,-INDEX(Construction!$F$26:$W$26,AV6)-INDEX(Construction!$F$37:$W$37,AV6),INDEX(Waterfall!$F$44:$AE$44,AV6-Inputs!$C$11)))</f>
        <v>3949639.7339421194</v>
      </c>
      <c r="AW15" s="23">
        <f>IF(AW6=0,0,IF(AW6&lt;=Inputs!$C$11,-INDEX(Construction!$F$26:$W$26,AW6)-INDEX(Construction!$F$37:$W$37,AW6),INDEX(Waterfall!$F$44:$AE$44,AW6-Inputs!$C$11)))</f>
        <v>4034607.7336467346</v>
      </c>
      <c r="AX15" s="23">
        <f>IF(AX6=0,0,IF(AX6&lt;=Inputs!$C$11,-INDEX(Construction!$F$26:$W$26,AX6)-INDEX(Construction!$F$37:$W$37,AX6),INDEX(Waterfall!$F$44:$AE$44,AX6-Inputs!$C$11)))</f>
        <v>-61735.78547880106</v>
      </c>
    </row>
    <row r="16">
      <c r="A16" s="6" t="inlineStr">
        <is>
          <t xml:space="preserve">LCOE costs: capex, opex net of the § 6 refund, decommissioning</t>
        </is>
      </c>
      <c r="B16" s="10" t="inlineStr">
        <is>
          <t xml:space="preserve">€</t>
        </is>
      </c>
      <c r="F16" s="23">
        <f>IF(F6=0,0,IF(F6&lt;=Inputs!$C$11,INDEX(Construction!$F$26:$W$26,F6),INDEX(Operations!$F$49:$AE$49,F6-Inputs!$C$11)-INDEX(Operations!$F$50:$AE$50,F6-Inputs!$C$11)+INDEX(Waterfall!$F$26:$AE$26,F6-Inputs!$C$11)))</f>
        <v>0</v>
      </c>
      <c r="G16" s="23">
        <f>IF(G6=0,0,IF(G6&lt;=Inputs!$C$11,INDEX(Construction!$F$26:$W$26,G6),INDEX(Operations!$F$49:$AE$49,G6-Inputs!$C$11)-INDEX(Operations!$F$50:$AE$50,G6-Inputs!$C$11)+INDEX(Waterfall!$F$26:$AE$26,G6-Inputs!$C$11)))</f>
        <v>10811902.5</v>
      </c>
      <c r="H16" s="23">
        <f>IF(H6=0,0,IF(H6&lt;=Inputs!$C$11,INDEX(Construction!$F$26:$W$26,H6),INDEX(Operations!$F$49:$AE$49,H6-Inputs!$C$11)-INDEX(Operations!$F$50:$AE$50,H6-Inputs!$C$11)+INDEX(Waterfall!$F$26:$AE$26,H6-Inputs!$C$11)))</f>
        <v>911452.5</v>
      </c>
      <c r="I16" s="23">
        <f>IF(I6=0,0,IF(I6&lt;=Inputs!$C$11,INDEX(Construction!$F$26:$W$26,I6),INDEX(Operations!$F$49:$AE$49,I6-Inputs!$C$11)-INDEX(Operations!$F$50:$AE$50,I6-Inputs!$C$11)+INDEX(Waterfall!$F$26:$AE$26,I6-Inputs!$C$11)))</f>
        <v>911452.5</v>
      </c>
      <c r="J16" s="23">
        <f>IF(J6=0,0,IF(J6&lt;=Inputs!$C$11,INDEX(Construction!$F$26:$W$26,J6),INDEX(Operations!$F$49:$AE$49,J6-Inputs!$C$11)-INDEX(Operations!$F$50:$AE$50,J6-Inputs!$C$11)+INDEX(Waterfall!$F$26:$AE$26,J6-Inputs!$C$11)))</f>
        <v>911452.5</v>
      </c>
      <c r="K16" s="23">
        <f>IF(K6=0,0,IF(K6&lt;=Inputs!$C$11,INDEX(Construction!$F$26:$W$26,K6),INDEX(Operations!$F$49:$AE$49,K6-Inputs!$C$11)-INDEX(Operations!$F$50:$AE$50,K6-Inputs!$C$11)+INDEX(Waterfall!$F$26:$AE$26,K6-Inputs!$C$11)))</f>
        <v>911452.5</v>
      </c>
      <c r="L16" s="23">
        <f>IF(L6=0,0,IF(L6&lt;=Inputs!$C$11,INDEX(Construction!$F$26:$W$26,L6),INDEX(Operations!$F$49:$AE$49,L6-Inputs!$C$11)-INDEX(Operations!$F$50:$AE$50,L6-Inputs!$C$11)+INDEX(Waterfall!$F$26:$AE$26,L6-Inputs!$C$11)))</f>
        <v>911452.5</v>
      </c>
      <c r="M16" s="23">
        <f>IF(M6=0,0,IF(M6&lt;=Inputs!$C$11,INDEX(Construction!$F$26:$W$26,M6),INDEX(Operations!$F$49:$AE$49,M6-Inputs!$C$11)-INDEX(Operations!$F$50:$AE$50,M6-Inputs!$C$11)+INDEX(Waterfall!$F$26:$AE$26,M6-Inputs!$C$11)))</f>
        <v>911452.5</v>
      </c>
      <c r="N16" s="23">
        <f>IF(N6=0,0,IF(N6&lt;=Inputs!$C$11,INDEX(Construction!$F$26:$W$26,N6),INDEX(Operations!$F$49:$AE$49,N6-Inputs!$C$11)-INDEX(Operations!$F$50:$AE$50,N6-Inputs!$C$11)+INDEX(Waterfall!$F$26:$AE$26,N6-Inputs!$C$11)))</f>
        <v>911452.5</v>
      </c>
      <c r="O16" s="23">
        <f>IF(O6=0,0,IF(O6&lt;=Inputs!$C$11,INDEX(Construction!$F$26:$W$26,O6),INDEX(Operations!$F$49:$AE$49,O6-Inputs!$C$11)-INDEX(Operations!$F$50:$AE$50,O6-Inputs!$C$11)+INDEX(Waterfall!$F$26:$AE$26,O6-Inputs!$C$11)))</f>
        <v>911452.5</v>
      </c>
      <c r="P16" s="23">
        <f>IF(P6=0,0,IF(P6&lt;=Inputs!$C$11,INDEX(Construction!$F$26:$W$26,P6),INDEX(Operations!$F$49:$AE$49,P6-Inputs!$C$11)-INDEX(Operations!$F$50:$AE$50,P6-Inputs!$C$11)+INDEX(Waterfall!$F$26:$AE$26,P6-Inputs!$C$11)))</f>
        <v>911452.5</v>
      </c>
      <c r="Q16" s="23">
        <f>IF(Q6=0,0,IF(Q6&lt;=Inputs!$C$11,INDEX(Construction!$F$26:$W$26,Q6),INDEX(Operations!$F$49:$AE$49,Q6-Inputs!$C$11)-INDEX(Operations!$F$50:$AE$50,Q6-Inputs!$C$11)+INDEX(Waterfall!$F$26:$AE$26,Q6-Inputs!$C$11)))</f>
        <v>911452.5</v>
      </c>
      <c r="R16" s="23">
        <f>IF(R6=0,0,IF(R6&lt;=Inputs!$C$11,INDEX(Construction!$F$26:$W$26,R6),INDEX(Operations!$F$49:$AE$49,R6-Inputs!$C$11)-INDEX(Operations!$F$50:$AE$50,R6-Inputs!$C$11)+INDEX(Waterfall!$F$26:$AE$26,R6-Inputs!$C$11)))</f>
        <v>911452.5</v>
      </c>
      <c r="S16" s="23">
        <f>IF(S6=0,0,IF(S6&lt;=Inputs!$C$11,INDEX(Construction!$F$26:$W$26,S6),INDEX(Operations!$F$49:$AE$49,S6-Inputs!$C$11)-INDEX(Operations!$F$50:$AE$50,S6-Inputs!$C$11)+INDEX(Waterfall!$F$26:$AE$26,S6-Inputs!$C$11)))</f>
        <v>554452.5</v>
      </c>
      <c r="T16" s="23">
        <f>IF(T6=0,0,IF(T6&lt;=Inputs!$C$11,INDEX(Construction!$F$26:$W$26,T6),INDEX(Operations!$F$49:$AE$49,T6-Inputs!$C$11)-INDEX(Operations!$F$50:$AE$50,T6-Inputs!$C$11)+INDEX(Waterfall!$F$26:$AE$26,T6-Inputs!$C$11)))</f>
        <v>554452.5</v>
      </c>
      <c r="U16" s="23">
        <f>IF(U6=0,0,IF(U6&lt;=Inputs!$C$11,INDEX(Construction!$F$26:$W$26,U6),INDEX(Operations!$F$49:$AE$49,U6-Inputs!$C$11)-INDEX(Operations!$F$50:$AE$50,U6-Inputs!$C$11)+INDEX(Waterfall!$F$26:$AE$26,U6-Inputs!$C$11)))</f>
        <v>9102502.499999998</v>
      </c>
      <c r="V16" s="23">
        <f>IF(V6=0,0,IF(V6&lt;=Inputs!$C$11,INDEX(Construction!$F$26:$W$26,V6),INDEX(Operations!$F$49:$AE$49,V6-Inputs!$C$11)-INDEX(Operations!$F$50:$AE$50,V6-Inputs!$C$11)+INDEX(Waterfall!$F$26:$AE$26,V6-Inputs!$C$11)))</f>
        <v>9102502.499999998</v>
      </c>
      <c r="W16" s="23">
        <f>IF(W6=0,0,IF(W6&lt;=Inputs!$C$11,INDEX(Construction!$F$26:$W$26,W6),INDEX(Operations!$F$49:$AE$49,W6-Inputs!$C$11)-INDEX(Operations!$F$50:$AE$50,W6-Inputs!$C$11)+INDEX(Waterfall!$F$26:$AE$26,W6-Inputs!$C$11)))</f>
        <v>9102502.499999998</v>
      </c>
      <c r="X16" s="23">
        <f>IF(X6=0,0,IF(X6&lt;=Inputs!$C$11,INDEX(Construction!$F$26:$W$26,X6),INDEX(Operations!$F$49:$AE$49,X6-Inputs!$C$11)-INDEX(Operations!$F$50:$AE$50,X6-Inputs!$C$11)+INDEX(Waterfall!$F$26:$AE$26,X6-Inputs!$C$11)))</f>
        <v>7881352.500000001</v>
      </c>
      <c r="Y16" s="23">
        <f>IF(Y6=0,0,IF(Y6&lt;=Inputs!$C$11,INDEX(Construction!$F$26:$W$26,Y6),INDEX(Operations!$F$49:$AE$49,Y6-Inputs!$C$11)-INDEX(Operations!$F$50:$AE$50,Y6-Inputs!$C$11)+INDEX(Waterfall!$F$26:$AE$26,Y6-Inputs!$C$11)))</f>
        <v>890813.4476546141</v>
      </c>
      <c r="Z16" s="23">
        <f>IF(Z6=0,0,IF(Z6&lt;=Inputs!$C$11,INDEX(Construction!$F$26:$W$26,Z6),INDEX(Operations!$F$49:$AE$49,Z6-Inputs!$C$11)-INDEX(Operations!$F$50:$AE$50,Z6-Inputs!$C$11)+INDEX(Waterfall!$F$26:$AE$26,Z6-Inputs!$C$11)))</f>
        <v>1691143.0067854207</v>
      </c>
      <c r="AA16" s="23">
        <f>IF(AA6=0,0,IF(AA6&lt;=Inputs!$C$11,INDEX(Construction!$F$26:$W$26,AA6),INDEX(Operations!$F$49:$AE$49,AA6-Inputs!$C$11)-INDEX(Operations!$F$50:$AE$50,AA6-Inputs!$C$11)+INDEX(Waterfall!$F$26:$AE$26,AA6-Inputs!$C$11)))</f>
        <v>1703299.935863334</v>
      </c>
      <c r="AB16" s="23">
        <f>IF(AB6=0,0,IF(AB6&lt;=Inputs!$C$11,INDEX(Construction!$F$26:$W$26,AB6),INDEX(Operations!$F$49:$AE$49,AB6-Inputs!$C$11)-INDEX(Operations!$F$50:$AE$50,AB6-Inputs!$C$11)+INDEX(Waterfall!$F$26:$AE$26,AB6-Inputs!$C$11)))</f>
        <v>1732458.4821445455</v>
      </c>
      <c r="AC16" s="23">
        <f>IF(AC6=0,0,IF(AC6&lt;=Inputs!$C$11,INDEX(Construction!$F$26:$W$26,AC6),INDEX(Operations!$F$49:$AE$49,AC6-Inputs!$C$11)-INDEX(Operations!$F$50:$AE$50,AC6-Inputs!$C$11)+INDEX(Waterfall!$F$26:$AE$26,AC6-Inputs!$C$11)))</f>
        <v>1762182.821537405</v>
      </c>
      <c r="AD16" s="23">
        <f>IF(AD6=0,0,IF(AD6&lt;=Inputs!$C$11,INDEX(Construction!$F$26:$W$26,AD6),INDEX(Operations!$F$49:$AE$49,AD6-Inputs!$C$11)-INDEX(Operations!$F$50:$AE$50,AD6-Inputs!$C$11)+INDEX(Waterfall!$F$26:$AE$26,AD6-Inputs!$C$11)))</f>
        <v>1792483.823417643</v>
      </c>
      <c r="AE16" s="23">
        <f>IF(AE6=0,0,IF(AE6&lt;=Inputs!$C$11,INDEX(Construction!$F$26:$W$26,AE6),INDEX(Operations!$F$49:$AE$49,AE6-Inputs!$C$11)-INDEX(Operations!$F$50:$AE$50,AE6-Inputs!$C$11)+INDEX(Waterfall!$F$26:$AE$26,AE6-Inputs!$C$11)))</f>
        <v>1823372.566798368</v>
      </c>
      <c r="AF16" s="23">
        <f>IF(AF6=0,0,IF(AF6&lt;=Inputs!$C$11,INDEX(Construction!$F$26:$W$26,AF6),INDEX(Operations!$F$49:$AE$49,AF6-Inputs!$C$11)-INDEX(Operations!$F$50:$AE$50,AF6-Inputs!$C$11)+INDEX(Waterfall!$F$26:$AE$26,AF6-Inputs!$C$11)))</f>
        <v>1854860.3443830856</v>
      </c>
      <c r="AG16" s="23">
        <f>IF(AG6=0,0,IF(AG6&lt;=Inputs!$C$11,INDEX(Construction!$F$26:$W$26,AG6),INDEX(Operations!$F$49:$AE$49,AG6-Inputs!$C$11)-INDEX(Operations!$F$50:$AE$50,AG6-Inputs!$C$11)+INDEX(Waterfall!$F$26:$AE$26,AG6-Inputs!$C$11)))</f>
        <v>1886958.6666972688</v>
      </c>
      <c r="AH16" s="23">
        <f>IF(AH6=0,0,IF(AH6&lt;=Inputs!$C$11,INDEX(Construction!$F$26:$W$26,AH6),INDEX(Operations!$F$49:$AE$49,AH6-Inputs!$C$11)-INDEX(Operations!$F$50:$AE$50,AH6-Inputs!$C$11)+INDEX(Waterfall!$F$26:$AE$26,AH6-Inputs!$C$11)))</f>
        <v>1919679.2663000035</v>
      </c>
      <c r="AI16" s="23">
        <f>IF(AI6=0,0,IF(AI6&lt;=Inputs!$C$11,INDEX(Construction!$F$26:$W$26,AI6),INDEX(Operations!$F$49:$AE$49,AI6-Inputs!$C$11)-INDEX(Operations!$F$50:$AE$50,AI6-Inputs!$C$11)+INDEX(Waterfall!$F$26:$AE$26,AI6-Inputs!$C$11)))</f>
        <v>2077083.1765886513</v>
      </c>
      <c r="AJ16" s="23">
        <f>IF(AJ6=0,0,IF(AJ6&lt;=Inputs!$C$11,INDEX(Construction!$F$26:$W$26,AJ6),INDEX(Operations!$F$49:$AE$49,AJ6-Inputs!$C$11)-INDEX(Operations!$F$50:$AE$50,AJ6-Inputs!$C$11)+INDEX(Waterfall!$F$26:$AE$26,AJ6-Inputs!$C$11)))</f>
        <v>2113565.419620048</v>
      </c>
      <c r="AK16" s="23">
        <f>IF(AK6=0,0,IF(AK6&lt;=Inputs!$C$11,INDEX(Construction!$F$26:$W$26,AK6),INDEX(Operations!$F$49:$AE$49,AK6-Inputs!$C$11)-INDEX(Operations!$F$50:$AE$50,AK6-Inputs!$C$11)+INDEX(Waterfall!$F$26:$AE$26,AK6-Inputs!$C$11)))</f>
        <v>2150756.1327992603</v>
      </c>
      <c r="AL16" s="23">
        <f>IF(AL6=0,0,IF(AL6&lt;=Inputs!$C$11,INDEX(Construction!$F$26:$W$26,AL6),INDEX(Operations!$F$49:$AE$49,AL6-Inputs!$C$11)-INDEX(Operations!$F$50:$AE$50,AL6-Inputs!$C$11)+INDEX(Waterfall!$F$26:$AE$26,AL6-Inputs!$C$11)))</f>
        <v>2188668.9729855433</v>
      </c>
      <c r="AM16" s="23">
        <f>IF(AM6=0,0,IF(AM6&lt;=Inputs!$C$11,INDEX(Construction!$F$26:$W$26,AM6),INDEX(Operations!$F$49:$AE$49,AM6-Inputs!$C$11)-INDEX(Operations!$F$50:$AE$50,AM6-Inputs!$C$11)+INDEX(Waterfall!$F$26:$AE$26,AM6-Inputs!$C$11)))</f>
        <v>2227317.861234545</v>
      </c>
      <c r="AN16" s="23">
        <f>IF(AN6=0,0,IF(AN6&lt;=Inputs!$C$11,INDEX(Construction!$F$26:$W$26,AN6),INDEX(Operations!$F$49:$AE$49,AN6-Inputs!$C$11)-INDEX(Operations!$F$50:$AE$50,AN6-Inputs!$C$11)+INDEX(Waterfall!$F$26:$AE$26,AN6-Inputs!$C$11)))</f>
        <v>2266716.987921127</v>
      </c>
      <c r="AO16" s="23">
        <f>IF(AO6=0,0,IF(AO6&lt;=Inputs!$C$11,INDEX(Construction!$F$26:$W$26,AO6),INDEX(Operations!$F$49:$AE$49,AO6-Inputs!$C$11)-INDEX(Operations!$F$50:$AE$50,AO6-Inputs!$C$11)+INDEX(Waterfall!$F$26:$AE$26,AO6-Inputs!$C$11)))</f>
        <v>2306880.81796175</v>
      </c>
      <c r="AP16" s="23">
        <f>IF(AP6=0,0,IF(AP6&lt;=Inputs!$C$11,INDEX(Construction!$F$26:$W$26,AP6),INDEX(Operations!$F$49:$AE$49,AP6-Inputs!$C$11)-INDEX(Operations!$F$50:$AE$50,AP6-Inputs!$C$11)+INDEX(Waterfall!$F$26:$AE$26,AP6-Inputs!$C$11)))</f>
        <v>2347824.096138367</v>
      </c>
      <c r="AQ16" s="23">
        <f>IF(AQ6=0,0,IF(AQ6&lt;=Inputs!$C$11,INDEX(Construction!$F$26:$W$26,AQ6),INDEX(Operations!$F$49:$AE$49,AQ6-Inputs!$C$11)-INDEX(Operations!$F$50:$AE$50,AQ6-Inputs!$C$11)+INDEX(Waterfall!$F$26:$AE$26,AQ6-Inputs!$C$11)))</f>
        <v>2389561.8525257907</v>
      </c>
      <c r="AR16" s="23">
        <f>IF(AR6=0,0,IF(AR6&lt;=Inputs!$C$11,INDEX(Construction!$F$26:$W$26,AR6),INDEX(Operations!$F$49:$AE$49,AR6-Inputs!$C$11)-INDEX(Operations!$F$50:$AE$50,AR6-Inputs!$C$11)+INDEX(Waterfall!$F$26:$AE$26,AR6-Inputs!$C$11)))</f>
        <v>2432109.40802456</v>
      </c>
      <c r="AS16" s="23">
        <f>IF(AS6=0,0,IF(AS6&lt;=Inputs!$C$11,INDEX(Construction!$F$26:$W$26,AS6),INDEX(Operations!$F$49:$AE$49,AS6-Inputs!$C$11)-INDEX(Operations!$F$50:$AE$50,AS6-Inputs!$C$11)+INDEX(Waterfall!$F$26:$AE$26,AS6-Inputs!$C$11)))</f>
        <v>2556130.4491399666</v>
      </c>
      <c r="AT16" s="23">
        <f>IF(AT6=0,0,IF(AT6&lt;=Inputs!$C$11,INDEX(Construction!$F$26:$W$26,AT6),INDEX(Operations!$F$49:$AE$49,AT6-Inputs!$C$11)-INDEX(Operations!$F$50:$AE$50,AT6-Inputs!$C$11)+INDEX(Waterfall!$F$26:$AE$26,AT6-Inputs!$C$11)))</f>
        <v>2601957.71856046</v>
      </c>
      <c r="AU16" s="23">
        <f>IF(AU6=0,0,IF(AU6&lt;=Inputs!$C$11,INDEX(Construction!$F$26:$W$26,AU6),INDEX(Operations!$F$49:$AE$49,AU6-Inputs!$C$11)-INDEX(Operations!$F$50:$AE$50,AU6-Inputs!$C$11)+INDEX(Waterfall!$F$26:$AE$26,AU6-Inputs!$C$11)))</f>
        <v>2648674.810930481</v>
      </c>
      <c r="AV16" s="23">
        <f>IF(AV6=0,0,IF(AV6&lt;=Inputs!$C$11,INDEX(Construction!$F$26:$W$26,AV6),INDEX(Operations!$F$49:$AE$49,AV6-Inputs!$C$11)-INDEX(Operations!$F$50:$AE$50,AV6-Inputs!$C$11)+INDEX(Waterfall!$F$26:$AE$26,AV6-Inputs!$C$11)))</f>
        <v>2696298.913149402</v>
      </c>
      <c r="AW16" s="23">
        <f>IF(AW6=0,0,IF(AW6&lt;=Inputs!$C$11,INDEX(Construction!$F$26:$W$26,AW6),INDEX(Operations!$F$49:$AE$49,AW6-Inputs!$C$11)-INDEX(Operations!$F$50:$AE$50,AW6-Inputs!$C$11)+INDEX(Waterfall!$F$26:$AE$26,AW6-Inputs!$C$11)))</f>
        <v>2744847.545166134</v>
      </c>
      <c r="AX16" s="23">
        <f>IF(AX6=0,0,IF(AX6&lt;=Inputs!$C$11,INDEX(Construction!$F$26:$W$26,AX6),INDEX(Operations!$F$49:$AE$49,AX6-Inputs!$C$11)-INDEX(Operations!$F$50:$AE$50,AX6-Inputs!$C$11)+INDEX(Waterfall!$F$26:$AE$26,AX6-Inputs!$C$11)))</f>
        <v>4089827.6142833354</v>
      </c>
    </row>
    <row r="17">
      <c r="A17" s="6" t="inlineStr">
        <is>
          <t xml:space="preserve">LCOE output: output sold</t>
        </is>
      </c>
      <c r="B17" s="10" t="inlineStr">
        <is>
          <t xml:space="preserve">kWh</t>
        </is>
      </c>
      <c r="F17" s="23">
        <f>IF(F6=0,0,IF(F6&lt;=Inputs!$C$11,0,INDEX(Operations!$F$19:$AE$19,F6-Inputs!$C$11)))</f>
        <v>0</v>
      </c>
      <c r="G17" s="23">
        <f>IF(G6=0,0,IF(G6&lt;=Inputs!$C$11,0,INDEX(Operations!$F$19:$AE$19,G6-Inputs!$C$11)))</f>
        <v>0</v>
      </c>
      <c r="H17" s="23">
        <f>IF(H6=0,0,IF(H6&lt;=Inputs!$C$11,0,INDEX(Operations!$F$19:$AE$19,H6-Inputs!$C$11)))</f>
        <v>0</v>
      </c>
      <c r="I17" s="23">
        <f>IF(I6=0,0,IF(I6&lt;=Inputs!$C$11,0,INDEX(Operations!$F$19:$AE$19,I6-Inputs!$C$11)))</f>
        <v>0</v>
      </c>
      <c r="J17" s="23">
        <f>IF(J6=0,0,IF(J6&lt;=Inputs!$C$11,0,INDEX(Operations!$F$19:$AE$19,J6-Inputs!$C$11)))</f>
        <v>0</v>
      </c>
      <c r="K17" s="23">
        <f>IF(K6=0,0,IF(K6&lt;=Inputs!$C$11,0,INDEX(Operations!$F$19:$AE$19,K6-Inputs!$C$11)))</f>
        <v>0</v>
      </c>
      <c r="L17" s="23">
        <f>IF(L6=0,0,IF(L6&lt;=Inputs!$C$11,0,INDEX(Operations!$F$19:$AE$19,L6-Inputs!$C$11)))</f>
        <v>0</v>
      </c>
      <c r="M17" s="23">
        <f>IF(M6=0,0,IF(M6&lt;=Inputs!$C$11,0,INDEX(Operations!$F$19:$AE$19,M6-Inputs!$C$11)))</f>
        <v>0</v>
      </c>
      <c r="N17" s="23">
        <f>IF(N6=0,0,IF(N6&lt;=Inputs!$C$11,0,INDEX(Operations!$F$19:$AE$19,N6-Inputs!$C$11)))</f>
        <v>0</v>
      </c>
      <c r="O17" s="23">
        <f>IF(O6=0,0,IF(O6&lt;=Inputs!$C$11,0,INDEX(Operations!$F$19:$AE$19,O6-Inputs!$C$11)))</f>
        <v>0</v>
      </c>
      <c r="P17" s="23">
        <f>IF(P6=0,0,IF(P6&lt;=Inputs!$C$11,0,INDEX(Operations!$F$19:$AE$19,P6-Inputs!$C$11)))</f>
        <v>0</v>
      </c>
      <c r="Q17" s="23">
        <f>IF(Q6=0,0,IF(Q6&lt;=Inputs!$C$11,0,INDEX(Operations!$F$19:$AE$19,Q6-Inputs!$C$11)))</f>
        <v>0</v>
      </c>
      <c r="R17" s="23">
        <f>IF(R6=0,0,IF(R6&lt;=Inputs!$C$11,0,INDEX(Operations!$F$19:$AE$19,R6-Inputs!$C$11)))</f>
        <v>0</v>
      </c>
      <c r="S17" s="23">
        <f>IF(S6=0,0,IF(S6&lt;=Inputs!$C$11,0,INDEX(Operations!$F$19:$AE$19,S6-Inputs!$C$11)))</f>
        <v>0</v>
      </c>
      <c r="T17" s="23">
        <f>IF(T6=0,0,IF(T6&lt;=Inputs!$C$11,0,INDEX(Operations!$F$19:$AE$19,T6-Inputs!$C$11)))</f>
        <v>0</v>
      </c>
      <c r="U17" s="23">
        <f>IF(U6=0,0,IF(U6&lt;=Inputs!$C$11,0,INDEX(Operations!$F$19:$AE$19,U6-Inputs!$C$11)))</f>
        <v>0</v>
      </c>
      <c r="V17" s="23">
        <f>IF(V6=0,0,IF(V6&lt;=Inputs!$C$11,0,INDEX(Operations!$F$19:$AE$19,V6-Inputs!$C$11)))</f>
        <v>0</v>
      </c>
      <c r="W17" s="23">
        <f>IF(W6=0,0,IF(W6&lt;=Inputs!$C$11,0,INDEX(Operations!$F$19:$AE$19,W6-Inputs!$C$11)))</f>
        <v>0</v>
      </c>
      <c r="X17" s="23">
        <f>IF(X6=0,0,IF(X6&lt;=Inputs!$C$11,0,INDEX(Operations!$F$19:$AE$19,X6-Inputs!$C$11)))</f>
        <v>0</v>
      </c>
      <c r="Y17" s="23">
        <f>IF(Y6=0,0,IF(Y6&lt;=Inputs!$C$11,0,INDEX(Operations!$F$19:$AE$19,Y6-Inputs!$C$11)))</f>
        <v>36685445.88758783</v>
      </c>
      <c r="Z17" s="23">
        <f>IF(Z6=0,0,IF(Z6&lt;=Inputs!$C$11,0,INDEX(Operations!$F$19:$AE$19,Z6-Inputs!$C$11)))</f>
        <v>72826192.6547143</v>
      </c>
      <c r="AA17" s="23">
        <f>IF(AA6=0,0,IF(AA6&lt;=Inputs!$C$11,0,INDEX(Operations!$F$19:$AE$19,AA6-Inputs!$C$11)))</f>
        <v>72680540.26940486</v>
      </c>
      <c r="AB17" s="23">
        <f>IF(AB6=0,0,IF(AB6&lt;=Inputs!$C$11,0,INDEX(Operations!$F$19:$AE$19,AB6-Inputs!$C$11)))</f>
        <v>72535179.18886606</v>
      </c>
      <c r="AC17" s="23">
        <f>IF(AC6=0,0,IF(AC6&lt;=Inputs!$C$11,0,INDEX(Operations!$F$19:$AE$19,AC6-Inputs!$C$11)))</f>
        <v>72390108.83048832</v>
      </c>
      <c r="AD17" s="23">
        <f>IF(AD6=0,0,IF(AD6&lt;=Inputs!$C$11,0,INDEX(Operations!$F$19:$AE$19,AD6-Inputs!$C$11)))</f>
        <v>72245328.61282736</v>
      </c>
      <c r="AE17" s="23">
        <f>IF(AE6=0,0,IF(AE6&lt;=Inputs!$C$11,0,INDEX(Operations!$F$19:$AE$19,AE6-Inputs!$C$11)))</f>
        <v>72100837.95560169</v>
      </c>
      <c r="AF17" s="23">
        <f>IF(AF6=0,0,IF(AF6&lt;=Inputs!$C$11,0,INDEX(Operations!$F$19:$AE$19,AF6-Inputs!$C$11)))</f>
        <v>71956636.27969049</v>
      </c>
      <c r="AG17" s="23">
        <f>IF(AG6=0,0,IF(AG6&lt;=Inputs!$C$11,0,INDEX(Operations!$F$19:$AE$19,AG6-Inputs!$C$11)))</f>
        <v>71812723.0071311</v>
      </c>
      <c r="AH17" s="23">
        <f>IF(AH6=0,0,IF(AH6&lt;=Inputs!$C$11,0,INDEX(Operations!$F$19:$AE$19,AH6-Inputs!$C$11)))</f>
        <v>71669097.56111686</v>
      </c>
      <c r="AI17" s="23">
        <f>IF(AI6=0,0,IF(AI6&lt;=Inputs!$C$11,0,INDEX(Operations!$F$19:$AE$19,AI6-Inputs!$C$11)))</f>
        <v>71525759.3659946</v>
      </c>
      <c r="AJ17" s="23">
        <f>IF(AJ6=0,0,IF(AJ6&lt;=Inputs!$C$11,0,INDEX(Operations!$F$19:$AE$19,AJ6-Inputs!$C$11)))</f>
        <v>71382707.84726262</v>
      </c>
      <c r="AK17" s="23">
        <f>IF(AK6=0,0,IF(AK6&lt;=Inputs!$C$11,0,INDEX(Operations!$F$19:$AE$19,AK6-Inputs!$C$11)))</f>
        <v>71239942.4315681</v>
      </c>
      <c r="AL17" s="23">
        <f>IF(AL6=0,0,IF(AL6&lt;=Inputs!$C$11,0,INDEX(Operations!$F$19:$AE$19,AL6-Inputs!$C$11)))</f>
        <v>71097462.54670498</v>
      </c>
      <c r="AM17" s="23">
        <f>IF(AM6=0,0,IF(AM6&lt;=Inputs!$C$11,0,INDEX(Operations!$F$19:$AE$19,AM6-Inputs!$C$11)))</f>
        <v>70955267.62161155</v>
      </c>
      <c r="AN17" s="23">
        <f>IF(AN6=0,0,IF(AN6&lt;=Inputs!$C$11,0,INDEX(Operations!$F$19:$AE$19,AN6-Inputs!$C$11)))</f>
        <v>70813357.08636834</v>
      </c>
      <c r="AO17" s="23">
        <f>IF(AO6=0,0,IF(AO6&lt;=Inputs!$C$11,0,INDEX(Operations!$F$19:$AE$19,AO6-Inputs!$C$11)))</f>
        <v>70671730.37219559</v>
      </c>
      <c r="AP17" s="23">
        <f>IF(AP6=0,0,IF(AP6&lt;=Inputs!$C$11,0,INDEX(Operations!$F$19:$AE$19,AP6-Inputs!$C$11)))</f>
        <v>70530386.91145119</v>
      </c>
      <c r="AQ17" s="23">
        <f>IF(AQ6=0,0,IF(AQ6&lt;=Inputs!$C$11,0,INDEX(Operations!$F$19:$AE$19,AQ6-Inputs!$C$11)))</f>
        <v>70389326.1376283</v>
      </c>
      <c r="AR17" s="23">
        <f>IF(AR6=0,0,IF(AR6&lt;=Inputs!$C$11,0,INDEX(Operations!$F$19:$AE$19,AR6-Inputs!$C$11)))</f>
        <v>70248547.48535304</v>
      </c>
      <c r="AS17" s="23">
        <f>IF(AS6=0,0,IF(AS6&lt;=Inputs!$C$11,0,INDEX(Operations!$F$19:$AE$19,AS6-Inputs!$C$11)))</f>
        <v>70108050.39038233</v>
      </c>
      <c r="AT17" s="23">
        <f>IF(AT6=0,0,IF(AT6&lt;=Inputs!$C$11,0,INDEX(Operations!$F$19:$AE$19,AT6-Inputs!$C$11)))</f>
        <v>69967834.28960158</v>
      </c>
      <c r="AU17" s="23">
        <f>IF(AU6=0,0,IF(AU6&lt;=Inputs!$C$11,0,INDEX(Operations!$F$19:$AE$19,AU6-Inputs!$C$11)))</f>
        <v>69827898.62102237</v>
      </c>
      <c r="AV17" s="23">
        <f>IF(AV6=0,0,IF(AV6&lt;=Inputs!$C$11,0,INDEX(Operations!$F$19:$AE$19,AV6-Inputs!$C$11)))</f>
        <v>69688242.82378033</v>
      </c>
      <c r="AW17" s="23">
        <f>IF(AW6=0,0,IF(AW6&lt;=Inputs!$C$11,0,INDEX(Operations!$F$19:$AE$19,AW6-Inputs!$C$11)))</f>
        <v>69548866.33813277</v>
      </c>
      <c r="AX17" s="23">
        <f>IF(AX6=0,0,IF(AX6&lt;=Inputs!$C$11,0,INDEX(Operations!$F$19:$AE$19,AX6-Inputs!$C$11)))</f>
        <v>34419638.67832226</v>
      </c>
    </row>
    <row r="18">
      <c r="A18" s="6" t="inlineStr">
        <is>
          <t xml:space="preserve">Owners' cash flow to date</t>
        </is>
      </c>
      <c r="B18" s="10" t="inlineStr">
        <is>
          <t xml:space="preserve">€</t>
        </is>
      </c>
      <c r="E18" s="9">
        <v>0</v>
      </c>
      <c r="F18" s="23">
        <f>E18+F13</f>
        <v>0</v>
      </c>
      <c r="G18" s="23">
        <f>F18+G13</f>
        <v>-7184870.502484033</v>
      </c>
      <c r="H18" s="23">
        <f>G18+H13</f>
        <v>-7797284.725949356</v>
      </c>
      <c r="I18" s="23">
        <f>H18+I13</f>
        <v>-8411232.317751419</v>
      </c>
      <c r="J18" s="23">
        <f>I18+J13</f>
        <v>-9019794.583184414</v>
      </c>
      <c r="K18" s="23">
        <f>J18+K13</f>
        <v>-9629300.789878864</v>
      </c>
      <c r="L18" s="23">
        <f>K18+L13</f>
        <v>-10239752.401982576</v>
      </c>
      <c r="M18" s="23">
        <f>L18+M13</f>
        <v>-10865988.314416941</v>
      </c>
      <c r="N18" s="23">
        <f>M18+N13</f>
        <v>-11492868.770733654</v>
      </c>
      <c r="O18" s="23">
        <f>N18+O13</f>
        <v>-12120394.434319802</v>
      </c>
      <c r="P18" s="23">
        <f>O18+P13</f>
        <v>-12748565.96924525</v>
      </c>
      <c r="Q18" s="23">
        <f>P18+Q13</f>
        <v>-13377384.040263345</v>
      </c>
      <c r="R18" s="23">
        <f>Q18+R13</f>
        <v>-14006849.312811628</v>
      </c>
      <c r="S18" s="23">
        <f>R18+S13</f>
        <v>-14404166.466730492</v>
      </c>
      <c r="T18" s="23">
        <f>S18+T13</f>
        <v>-14801664.025286937</v>
      </c>
      <c r="U18" s="23">
        <f>T18+U13</f>
        <v>-20773436.657459844</v>
      </c>
      <c r="V18" s="23">
        <f>U18+V13</f>
        <v>-26756827.549436238</v>
      </c>
      <c r="W18" s="23">
        <f>V18+W13</f>
        <v>-32751848.659135062</v>
      </c>
      <c r="X18" s="23">
        <f>W18+X13</f>
        <v>-38671265.02302264</v>
      </c>
      <c r="Y18" s="23">
        <f>X18+Y13</f>
        <v>-37059293.07228614</v>
      </c>
      <c r="Z18" s="23">
        <f>Y18+Z13</f>
        <v>-34699054.271603085</v>
      </c>
      <c r="AA18" s="23">
        <f>Z18+AA13</f>
        <v>-33675062.76199206</v>
      </c>
      <c r="AB18" s="23">
        <f>AA18+AB13</f>
        <v>-32539183.488420255</v>
      </c>
      <c r="AC18" s="23">
        <f>AB18+AC13</f>
        <v>-31275691.72511825</v>
      </c>
      <c r="AD18" s="23">
        <f>AC18+AD13</f>
        <v>-29887014.576684956</v>
      </c>
      <c r="AE18" s="23">
        <f>AD18+AE13</f>
        <v>-28368582.477566767</v>
      </c>
      <c r="AF18" s="23">
        <f>AE18+AF13</f>
        <v>-26720459.406847514</v>
      </c>
      <c r="AG18" s="23">
        <f>AF18+AG13</f>
        <v>-24940278.41844302</v>
      </c>
      <c r="AH18" s="23">
        <f>AG18+AH13</f>
        <v>-23030648.79187658</v>
      </c>
      <c r="AI18" s="23">
        <f>AH18+AI13</f>
        <v>-21110715.928499985</v>
      </c>
      <c r="AJ18" s="23">
        <f>AI18+AJ13</f>
        <v>-19058983.619592164</v>
      </c>
      <c r="AK18" s="23">
        <f>AJ18+AK13</f>
        <v>-16872963.109695364</v>
      </c>
      <c r="AL18" s="23">
        <f>AK18+AL13</f>
        <v>-14555510.166126857</v>
      </c>
      <c r="AM18" s="23">
        <f>AL18+AM13</f>
        <v>-12101414.2374021</v>
      </c>
      <c r="AN18" s="23">
        <f>AM18+AN13</f>
        <v>-9510808.620112482</v>
      </c>
      <c r="AO18" s="23">
        <f>AN18+AO13</f>
        <v>-6837360.841084326</v>
      </c>
      <c r="AP18" s="23">
        <f>AO18+AP13</f>
        <v>-4135941.448530776</v>
      </c>
      <c r="AQ18" s="23">
        <f>AP18+AQ13</f>
        <v>-1001695.9799997248</v>
      </c>
      <c r="AR18" s="23">
        <f>AQ18+AR13</f>
        <v>2874252.4187169</v>
      </c>
      <c r="AS18" s="23">
        <f>AR18+AS13</f>
        <v>6162571.618214485</v>
      </c>
      <c r="AT18" s="23">
        <f>AS18+AT13</f>
        <v>9517057.529061053</v>
      </c>
      <c r="AU18" s="23">
        <f>AT18+AU13</f>
        <v>12943831.016459357</v>
      </c>
      <c r="AV18" s="23">
        <f>AU18+AV13</f>
        <v>16442780.431366593</v>
      </c>
      <c r="AW18" s="23">
        <f>AV18+AW13</f>
        <v>20026697.845978446</v>
      </c>
      <c r="AX18" s="23">
        <f>AW18+AX13</f>
        <v>22218413.65567406</v>
      </c>
    </row>
    <row r="19">
      <c r="A19" s="6" t="inlineStr">
        <is>
          <t xml:space="preserve">Turns non-negative here (1 = yes)</t>
        </is>
      </c>
      <c r="F19" s="23">
        <f>IF(AND(E18&lt;0,F18&gt;=0,F13&gt;0),1,0)</f>
        <v>0</v>
      </c>
      <c r="G19" s="23">
        <f>IF(AND(F18&lt;0,G18&gt;=0,G13&gt;0),1,0)</f>
        <v>0</v>
      </c>
      <c r="H19" s="23">
        <f>IF(AND(G18&lt;0,H18&gt;=0,H13&gt;0),1,0)</f>
        <v>0</v>
      </c>
      <c r="I19" s="23">
        <f>IF(AND(H18&lt;0,I18&gt;=0,I13&gt;0),1,0)</f>
        <v>0</v>
      </c>
      <c r="J19" s="23">
        <f>IF(AND(I18&lt;0,J18&gt;=0,J13&gt;0),1,0)</f>
        <v>0</v>
      </c>
      <c r="K19" s="23">
        <f>IF(AND(J18&lt;0,K18&gt;=0,K13&gt;0),1,0)</f>
        <v>0</v>
      </c>
      <c r="L19" s="23">
        <f>IF(AND(K18&lt;0,L18&gt;=0,L13&gt;0),1,0)</f>
        <v>0</v>
      </c>
      <c r="M19" s="23">
        <f>IF(AND(L18&lt;0,M18&gt;=0,M13&gt;0),1,0)</f>
        <v>0</v>
      </c>
      <c r="N19" s="23">
        <f>IF(AND(M18&lt;0,N18&gt;=0,N13&gt;0),1,0)</f>
        <v>0</v>
      </c>
      <c r="O19" s="23">
        <f>IF(AND(N18&lt;0,O18&gt;=0,O13&gt;0),1,0)</f>
        <v>0</v>
      </c>
      <c r="P19" s="23">
        <f>IF(AND(O18&lt;0,P18&gt;=0,P13&gt;0),1,0)</f>
        <v>0</v>
      </c>
      <c r="Q19" s="23">
        <f>IF(AND(P18&lt;0,Q18&gt;=0,Q13&gt;0),1,0)</f>
        <v>0</v>
      </c>
      <c r="R19" s="23">
        <f>IF(AND(Q18&lt;0,R18&gt;=0,R13&gt;0),1,0)</f>
        <v>0</v>
      </c>
      <c r="S19" s="23">
        <f>IF(AND(R18&lt;0,S18&gt;=0,S13&gt;0),1,0)</f>
        <v>0</v>
      </c>
      <c r="T19" s="23">
        <f>IF(AND(S18&lt;0,T18&gt;=0,T13&gt;0),1,0)</f>
        <v>0</v>
      </c>
      <c r="U19" s="23">
        <f>IF(AND(T18&lt;0,U18&gt;=0,U13&gt;0),1,0)</f>
        <v>0</v>
      </c>
      <c r="V19" s="23">
        <f>IF(AND(U18&lt;0,V18&gt;=0,V13&gt;0),1,0)</f>
        <v>0</v>
      </c>
      <c r="W19" s="23">
        <f>IF(AND(V18&lt;0,W18&gt;=0,W13&gt;0),1,0)</f>
        <v>0</v>
      </c>
      <c r="X19" s="23">
        <f>IF(AND(W18&lt;0,X18&gt;=0,X13&gt;0),1,0)</f>
        <v>0</v>
      </c>
      <c r="Y19" s="23">
        <f>IF(AND(X18&lt;0,Y18&gt;=0,Y13&gt;0),1,0)</f>
        <v>0</v>
      </c>
      <c r="Z19" s="23">
        <f>IF(AND(Y18&lt;0,Z18&gt;=0,Z13&gt;0),1,0)</f>
        <v>0</v>
      </c>
      <c r="AA19" s="23">
        <f>IF(AND(Z18&lt;0,AA18&gt;=0,AA13&gt;0),1,0)</f>
        <v>0</v>
      </c>
      <c r="AB19" s="23">
        <f>IF(AND(AA18&lt;0,AB18&gt;=0,AB13&gt;0),1,0)</f>
        <v>0</v>
      </c>
      <c r="AC19" s="23">
        <f>IF(AND(AB18&lt;0,AC18&gt;=0,AC13&gt;0),1,0)</f>
        <v>0</v>
      </c>
      <c r="AD19" s="23">
        <f>IF(AND(AC18&lt;0,AD18&gt;=0,AD13&gt;0),1,0)</f>
        <v>0</v>
      </c>
      <c r="AE19" s="23">
        <f>IF(AND(AD18&lt;0,AE18&gt;=0,AE13&gt;0),1,0)</f>
        <v>0</v>
      </c>
      <c r="AF19" s="23">
        <f>IF(AND(AE18&lt;0,AF18&gt;=0,AF13&gt;0),1,0)</f>
        <v>0</v>
      </c>
      <c r="AG19" s="23">
        <f>IF(AND(AF18&lt;0,AG18&gt;=0,AG13&gt;0),1,0)</f>
        <v>0</v>
      </c>
      <c r="AH19" s="23">
        <f>IF(AND(AG18&lt;0,AH18&gt;=0,AH13&gt;0),1,0)</f>
        <v>0</v>
      </c>
      <c r="AI19" s="23">
        <f>IF(AND(AH18&lt;0,AI18&gt;=0,AI13&gt;0),1,0)</f>
        <v>0</v>
      </c>
      <c r="AJ19" s="23">
        <f>IF(AND(AI18&lt;0,AJ18&gt;=0,AJ13&gt;0),1,0)</f>
        <v>0</v>
      </c>
      <c r="AK19" s="23">
        <f>IF(AND(AJ18&lt;0,AK18&gt;=0,AK13&gt;0),1,0)</f>
        <v>0</v>
      </c>
      <c r="AL19" s="23">
        <f>IF(AND(AK18&lt;0,AL18&gt;=0,AL13&gt;0),1,0)</f>
        <v>0</v>
      </c>
      <c r="AM19" s="23">
        <f>IF(AND(AL18&lt;0,AM18&gt;=0,AM13&gt;0),1,0)</f>
        <v>0</v>
      </c>
      <c r="AN19" s="23">
        <f>IF(AND(AM18&lt;0,AN18&gt;=0,AN13&gt;0),1,0)</f>
        <v>0</v>
      </c>
      <c r="AO19" s="23">
        <f>IF(AND(AN18&lt;0,AO18&gt;=0,AO13&gt;0),1,0)</f>
        <v>0</v>
      </c>
      <c r="AP19" s="23">
        <f>IF(AND(AO18&lt;0,AP18&gt;=0,AP13&gt;0),1,0)</f>
        <v>0</v>
      </c>
      <c r="AQ19" s="23">
        <f>IF(AND(AP18&lt;0,AQ18&gt;=0,AQ13&gt;0),1,0)</f>
        <v>0</v>
      </c>
      <c r="AR19" s="23">
        <f>IF(AND(AQ18&lt;0,AR18&gt;=0,AR13&gt;0),1,0)</f>
        <v>1</v>
      </c>
      <c r="AS19" s="23">
        <f>IF(AND(AR18&lt;0,AS18&gt;=0,AS13&gt;0),1,0)</f>
        <v>0</v>
      </c>
      <c r="AT19" s="23">
        <f>IF(AND(AS18&lt;0,AT18&gt;=0,AT13&gt;0),1,0)</f>
        <v>0</v>
      </c>
      <c r="AU19" s="23">
        <f>IF(AND(AT18&lt;0,AU18&gt;=0,AU13&gt;0),1,0)</f>
        <v>0</v>
      </c>
      <c r="AV19" s="23">
        <f>IF(AND(AU18&lt;0,AV18&gt;=0,AV13&gt;0),1,0)</f>
        <v>0</v>
      </c>
      <c r="AW19" s="23">
        <f>IF(AND(AV18&lt;0,AW18&gt;=0,AW13&gt;0),1,0)</f>
        <v>0</v>
      </c>
      <c r="AX19" s="23">
        <f>IF(AND(AW18&lt;0,AX18&gt;=0,AX13&gt;0),1,0)</f>
        <v>0</v>
      </c>
    </row>
    <row r="20">
      <c r="A20" s="6" t="inlineStr">
        <is>
          <t xml:space="preserve">Crossings to date</t>
        </is>
      </c>
      <c r="E20" s="9">
        <v>0</v>
      </c>
      <c r="F20" s="23">
        <f>E20+F19</f>
        <v>0</v>
      </c>
      <c r="G20" s="23">
        <f>F20+G19</f>
        <v>0</v>
      </c>
      <c r="H20" s="23">
        <f>G20+H19</f>
        <v>0</v>
      </c>
      <c r="I20" s="23">
        <f>H20+I19</f>
        <v>0</v>
      </c>
      <c r="J20" s="23">
        <f>I20+J19</f>
        <v>0</v>
      </c>
      <c r="K20" s="23">
        <f>J20+K19</f>
        <v>0</v>
      </c>
      <c r="L20" s="23">
        <f>K20+L19</f>
        <v>0</v>
      </c>
      <c r="M20" s="23">
        <f>L20+M19</f>
        <v>0</v>
      </c>
      <c r="N20" s="23">
        <f>M20+N19</f>
        <v>0</v>
      </c>
      <c r="O20" s="23">
        <f>N20+O19</f>
        <v>0</v>
      </c>
      <c r="P20" s="23">
        <f>O20+P19</f>
        <v>0</v>
      </c>
      <c r="Q20" s="23">
        <f>P20+Q19</f>
        <v>0</v>
      </c>
      <c r="R20" s="23">
        <f>Q20+R19</f>
        <v>0</v>
      </c>
      <c r="S20" s="23">
        <f>R20+S19</f>
        <v>0</v>
      </c>
      <c r="T20" s="23">
        <f>S20+T19</f>
        <v>0</v>
      </c>
      <c r="U20" s="23">
        <f>T20+U19</f>
        <v>0</v>
      </c>
      <c r="V20" s="23">
        <f>U20+V19</f>
        <v>0</v>
      </c>
      <c r="W20" s="23">
        <f>V20+W19</f>
        <v>0</v>
      </c>
      <c r="X20" s="23">
        <f>W20+X19</f>
        <v>0</v>
      </c>
      <c r="Y20" s="23">
        <f>X20+Y19</f>
        <v>0</v>
      </c>
      <c r="Z20" s="23">
        <f>Y20+Z19</f>
        <v>0</v>
      </c>
      <c r="AA20" s="23">
        <f>Z20+AA19</f>
        <v>0</v>
      </c>
      <c r="AB20" s="23">
        <f>AA20+AB19</f>
        <v>0</v>
      </c>
      <c r="AC20" s="23">
        <f>AB20+AC19</f>
        <v>0</v>
      </c>
      <c r="AD20" s="23">
        <f>AC20+AD19</f>
        <v>0</v>
      </c>
      <c r="AE20" s="23">
        <f>AD20+AE19</f>
        <v>0</v>
      </c>
      <c r="AF20" s="23">
        <f>AE20+AF19</f>
        <v>0</v>
      </c>
      <c r="AG20" s="23">
        <f>AF20+AG19</f>
        <v>0</v>
      </c>
      <c r="AH20" s="23">
        <f>AG20+AH19</f>
        <v>0</v>
      </c>
      <c r="AI20" s="23">
        <f>AH20+AI19</f>
        <v>0</v>
      </c>
      <c r="AJ20" s="23">
        <f>AI20+AJ19</f>
        <v>0</v>
      </c>
      <c r="AK20" s="23">
        <f>AJ20+AK19</f>
        <v>0</v>
      </c>
      <c r="AL20" s="23">
        <f>AK20+AL19</f>
        <v>0</v>
      </c>
      <c r="AM20" s="23">
        <f>AL20+AM19</f>
        <v>0</v>
      </c>
      <c r="AN20" s="23">
        <f>AM20+AN19</f>
        <v>0</v>
      </c>
      <c r="AO20" s="23">
        <f>AN20+AO19</f>
        <v>0</v>
      </c>
      <c r="AP20" s="23">
        <f>AO20+AP19</f>
        <v>0</v>
      </c>
      <c r="AQ20" s="23">
        <f>AP20+AQ19</f>
        <v>0</v>
      </c>
      <c r="AR20" s="23">
        <f>AQ20+AR19</f>
        <v>1</v>
      </c>
      <c r="AS20" s="23">
        <f>AR20+AS19</f>
        <v>1</v>
      </c>
      <c r="AT20" s="23">
        <f>AS20+AT19</f>
        <v>1</v>
      </c>
      <c r="AU20" s="23">
        <f>AT20+AU19</f>
        <v>1</v>
      </c>
      <c r="AV20" s="23">
        <f>AU20+AV19</f>
        <v>1</v>
      </c>
      <c r="AW20" s="23">
        <f>AV20+AW19</f>
        <v>1</v>
      </c>
      <c r="AX20" s="23">
        <f>AW20+AX19</f>
        <v>1</v>
      </c>
    </row>
    <row r="21">
      <c r="A21" s="6" t="inlineStr">
        <is>
          <t xml:space="preserve">First crossing (1 = yes)</t>
        </is>
      </c>
      <c r="F21" s="23">
        <f>IF(AND(F19=1,E20=0),1,0)</f>
        <v>0</v>
      </c>
      <c r="G21" s="23">
        <f>IF(AND(G19=1,F20=0),1,0)</f>
        <v>0</v>
      </c>
      <c r="H21" s="23">
        <f>IF(AND(H19=1,G20=0),1,0)</f>
        <v>0</v>
      </c>
      <c r="I21" s="23">
        <f>IF(AND(I19=1,H20=0),1,0)</f>
        <v>0</v>
      </c>
      <c r="J21" s="23">
        <f>IF(AND(J19=1,I20=0),1,0)</f>
        <v>0</v>
      </c>
      <c r="K21" s="23">
        <f>IF(AND(K19=1,J20=0),1,0)</f>
        <v>0</v>
      </c>
      <c r="L21" s="23">
        <f>IF(AND(L19=1,K20=0),1,0)</f>
        <v>0</v>
      </c>
      <c r="M21" s="23">
        <f>IF(AND(M19=1,L20=0),1,0)</f>
        <v>0</v>
      </c>
      <c r="N21" s="23">
        <f>IF(AND(N19=1,M20=0),1,0)</f>
        <v>0</v>
      </c>
      <c r="O21" s="23">
        <f>IF(AND(O19=1,N20=0),1,0)</f>
        <v>0</v>
      </c>
      <c r="P21" s="23">
        <f>IF(AND(P19=1,O20=0),1,0)</f>
        <v>0</v>
      </c>
      <c r="Q21" s="23">
        <f>IF(AND(Q19=1,P20=0),1,0)</f>
        <v>0</v>
      </c>
      <c r="R21" s="23">
        <f>IF(AND(R19=1,Q20=0),1,0)</f>
        <v>0</v>
      </c>
      <c r="S21" s="23">
        <f>IF(AND(S19=1,R20=0),1,0)</f>
        <v>0</v>
      </c>
      <c r="T21" s="23">
        <f>IF(AND(T19=1,S20=0),1,0)</f>
        <v>0</v>
      </c>
      <c r="U21" s="23">
        <f>IF(AND(U19=1,T20=0),1,0)</f>
        <v>0</v>
      </c>
      <c r="V21" s="23">
        <f>IF(AND(V19=1,U20=0),1,0)</f>
        <v>0</v>
      </c>
      <c r="W21" s="23">
        <f>IF(AND(W19=1,V20=0),1,0)</f>
        <v>0</v>
      </c>
      <c r="X21" s="23">
        <f>IF(AND(X19=1,W20=0),1,0)</f>
        <v>0</v>
      </c>
      <c r="Y21" s="23">
        <f>IF(AND(Y19=1,X20=0),1,0)</f>
        <v>0</v>
      </c>
      <c r="Z21" s="23">
        <f>IF(AND(Z19=1,Y20=0),1,0)</f>
        <v>0</v>
      </c>
      <c r="AA21" s="23">
        <f>IF(AND(AA19=1,Z20=0),1,0)</f>
        <v>0</v>
      </c>
      <c r="AB21" s="23">
        <f>IF(AND(AB19=1,AA20=0),1,0)</f>
        <v>0</v>
      </c>
      <c r="AC21" s="23">
        <f>IF(AND(AC19=1,AB20=0),1,0)</f>
        <v>0</v>
      </c>
      <c r="AD21" s="23">
        <f>IF(AND(AD19=1,AC20=0),1,0)</f>
        <v>0</v>
      </c>
      <c r="AE21" s="23">
        <f>IF(AND(AE19=1,AD20=0),1,0)</f>
        <v>0</v>
      </c>
      <c r="AF21" s="23">
        <f>IF(AND(AF19=1,AE20=0),1,0)</f>
        <v>0</v>
      </c>
      <c r="AG21" s="23">
        <f>IF(AND(AG19=1,AF20=0),1,0)</f>
        <v>0</v>
      </c>
      <c r="AH21" s="23">
        <f>IF(AND(AH19=1,AG20=0),1,0)</f>
        <v>0</v>
      </c>
      <c r="AI21" s="23">
        <f>IF(AND(AI19=1,AH20=0),1,0)</f>
        <v>0</v>
      </c>
      <c r="AJ21" s="23">
        <f>IF(AND(AJ19=1,AI20=0),1,0)</f>
        <v>0</v>
      </c>
      <c r="AK21" s="23">
        <f>IF(AND(AK19=1,AJ20=0),1,0)</f>
        <v>0</v>
      </c>
      <c r="AL21" s="23">
        <f>IF(AND(AL19=1,AK20=0),1,0)</f>
        <v>0</v>
      </c>
      <c r="AM21" s="23">
        <f>IF(AND(AM19=1,AL20=0),1,0)</f>
        <v>0</v>
      </c>
      <c r="AN21" s="23">
        <f>IF(AND(AN19=1,AM20=0),1,0)</f>
        <v>0</v>
      </c>
      <c r="AO21" s="23">
        <f>IF(AND(AO19=1,AN20=0),1,0)</f>
        <v>0</v>
      </c>
      <c r="AP21" s="23">
        <f>IF(AND(AP19=1,AO20=0),1,0)</f>
        <v>0</v>
      </c>
      <c r="AQ21" s="23">
        <f>IF(AND(AQ19=1,AP20=0),1,0)</f>
        <v>0</v>
      </c>
      <c r="AR21" s="23">
        <f>IF(AND(AR19=1,AQ20=0),1,0)</f>
        <v>1</v>
      </c>
      <c r="AS21" s="23">
        <f>IF(AND(AS19=1,AR20=0),1,0)</f>
        <v>0</v>
      </c>
      <c r="AT21" s="23">
        <f>IF(AND(AT19=1,AS20=0),1,0)</f>
        <v>0</v>
      </c>
      <c r="AU21" s="23">
        <f>IF(AND(AU19=1,AT20=0),1,0)</f>
        <v>0</v>
      </c>
      <c r="AV21" s="23">
        <f>IF(AND(AV19=1,AU20=0),1,0)</f>
        <v>0</v>
      </c>
      <c r="AW21" s="23">
        <f>IF(AND(AW19=1,AV20=0),1,0)</f>
        <v>0</v>
      </c>
      <c r="AX21" s="23">
        <f>IF(AND(AX19=1,AW20=0),1,0)</f>
        <v>0</v>
      </c>
    </row>
    <row r="22">
      <c r="A22" s="6" t="inlineStr">
        <is>
          <t xml:space="preserve">Date the cumulative flow reaches zero</t>
        </is>
      </c>
      <c r="F22" s="27">
        <f>IF(F21=1,E7+(F7-E7)*(-E18)/F13,0)</f>
        <v>0</v>
      </c>
      <c r="G22" s="27">
        <f>IF(G21=1,F7+(G7-F7)*(-F18)/G13,0)</f>
        <v>0</v>
      </c>
      <c r="H22" s="27">
        <f>IF(H21=1,G7+(H7-G7)*(-G18)/H13,0)</f>
        <v>0</v>
      </c>
      <c r="I22" s="27">
        <f>IF(I21=1,H7+(I7-H7)*(-H18)/I13,0)</f>
        <v>0</v>
      </c>
      <c r="J22" s="27">
        <f>IF(J21=1,I7+(J7-I7)*(-I18)/J13,0)</f>
        <v>0</v>
      </c>
      <c r="K22" s="27">
        <f>IF(K21=1,J7+(K7-J7)*(-J18)/K13,0)</f>
        <v>0</v>
      </c>
      <c r="L22" s="27">
        <f>IF(L21=1,K7+(L7-K7)*(-K18)/L13,0)</f>
        <v>0</v>
      </c>
      <c r="M22" s="27">
        <f>IF(M21=1,L7+(M7-L7)*(-L18)/M13,0)</f>
        <v>0</v>
      </c>
      <c r="N22" s="27">
        <f>IF(N21=1,M7+(N7-M7)*(-M18)/N13,0)</f>
        <v>0</v>
      </c>
      <c r="O22" s="27">
        <f>IF(O21=1,N7+(O7-N7)*(-N18)/O13,0)</f>
        <v>0</v>
      </c>
      <c r="P22" s="27">
        <f>IF(P21=1,O7+(P7-O7)*(-O18)/P13,0)</f>
        <v>0</v>
      </c>
      <c r="Q22" s="27">
        <f>IF(Q21=1,P7+(Q7-P7)*(-P18)/Q13,0)</f>
        <v>0</v>
      </c>
      <c r="R22" s="27">
        <f>IF(R21=1,Q7+(R7-Q7)*(-Q18)/R13,0)</f>
        <v>0</v>
      </c>
      <c r="S22" s="27">
        <f>IF(S21=1,R7+(S7-R7)*(-R18)/S13,0)</f>
        <v>0</v>
      </c>
      <c r="T22" s="27">
        <f>IF(T21=1,S7+(T7-S7)*(-S18)/T13,0)</f>
        <v>0</v>
      </c>
      <c r="U22" s="27">
        <f>IF(U21=1,T7+(U7-T7)*(-T18)/U13,0)</f>
        <v>0</v>
      </c>
      <c r="V22" s="27">
        <f>IF(V21=1,U7+(V7-U7)*(-U18)/V13,0)</f>
        <v>0</v>
      </c>
      <c r="W22" s="27">
        <f>IF(W21=1,V7+(W7-V7)*(-V18)/W13,0)</f>
        <v>0</v>
      </c>
      <c r="X22" s="27">
        <f>IF(X21=1,W7+(X7-W7)*(-W18)/X13,0)</f>
        <v>0</v>
      </c>
      <c r="Y22" s="27">
        <f>IF(Y21=1,X7+(Y7-X7)*(-X18)/Y13,0)</f>
        <v>0</v>
      </c>
      <c r="Z22" s="27">
        <f>IF(Z21=1,Y7+(Z7-Y7)*(-Y18)/Z13,0)</f>
        <v>0</v>
      </c>
      <c r="AA22" s="27">
        <f>IF(AA21=1,Z7+(AA7-Z7)*(-Z18)/AA13,0)</f>
        <v>0</v>
      </c>
      <c r="AB22" s="27">
        <f>IF(AB21=1,AA7+(AB7-AA7)*(-AA18)/AB13,0)</f>
        <v>0</v>
      </c>
      <c r="AC22" s="27">
        <f>IF(AC21=1,AB7+(AC7-AB7)*(-AB18)/AC13,0)</f>
        <v>0</v>
      </c>
      <c r="AD22" s="27">
        <f>IF(AD21=1,AC7+(AD7-AC7)*(-AC18)/AD13,0)</f>
        <v>0</v>
      </c>
      <c r="AE22" s="27">
        <f>IF(AE21=1,AD7+(AE7-AD7)*(-AD18)/AE13,0)</f>
        <v>0</v>
      </c>
      <c r="AF22" s="27">
        <f>IF(AF21=1,AE7+(AF7-AE7)*(-AE18)/AF13,0)</f>
        <v>0</v>
      </c>
      <c r="AG22" s="27">
        <f>IF(AG21=1,AF7+(AG7-AF7)*(-AF18)/AG13,0)</f>
        <v>0</v>
      </c>
      <c r="AH22" s="27">
        <f>IF(AH21=1,AG7+(AH7-AG7)*(-AG18)/AH13,0)</f>
        <v>0</v>
      </c>
      <c r="AI22" s="27">
        <f>IF(AI21=1,AH7+(AI7-AH7)*(-AH18)/AI13,0)</f>
        <v>0</v>
      </c>
      <c r="AJ22" s="27">
        <f>IF(AJ21=1,AI7+(AJ7-AI7)*(-AI18)/AJ13,0)</f>
        <v>0</v>
      </c>
      <c r="AK22" s="27">
        <f>IF(AK21=1,AJ7+(AK7-AJ7)*(-AJ18)/AK13,0)</f>
        <v>0</v>
      </c>
      <c r="AL22" s="27">
        <f>IF(AL21=1,AK7+(AL7-AK7)*(-AK18)/AL13,0)</f>
        <v>0</v>
      </c>
      <c r="AM22" s="27">
        <f>IF(AM21=1,AL7+(AM7-AL7)*(-AL18)/AM13,0)</f>
        <v>0</v>
      </c>
      <c r="AN22" s="27">
        <f>IF(AN21=1,AM7+(AN7-AM7)*(-AM18)/AN13,0)</f>
        <v>0</v>
      </c>
      <c r="AO22" s="27">
        <f>IF(AO21=1,AN7+(AO7-AN7)*(-AN18)/AO13,0)</f>
        <v>0</v>
      </c>
      <c r="AP22" s="27">
        <f>IF(AP21=1,AO7+(AP7-AO7)*(-AO18)/AP13,0)</f>
        <v>0</v>
      </c>
      <c r="AQ22" s="27">
        <f>IF(AQ21=1,AP7+(AQ7-AP7)*(-AP18)/AQ13,0)</f>
        <v>0</v>
      </c>
      <c r="AR22" s="27">
        <f>IF(AR21=1,AQ7+(AR7-AQ7)*(-AQ18)/AR13,0)</f>
        <v>53786.330211625354</v>
      </c>
      <c r="AS22" s="27">
        <f>IF(AS21=1,AR7+(AS7-AR7)*(-AR18)/AS13,0)</f>
        <v>0</v>
      </c>
      <c r="AT22" s="27">
        <f>IF(AT21=1,AS7+(AT7-AS7)*(-AS18)/AT13,0)</f>
        <v>0</v>
      </c>
      <c r="AU22" s="27">
        <f>IF(AU21=1,AT7+(AU7-AT7)*(-AT18)/AU13,0)</f>
        <v>0</v>
      </c>
      <c r="AV22" s="27">
        <f>IF(AV21=1,AU7+(AV7-AU7)*(-AU18)/AV13,0)</f>
        <v>0</v>
      </c>
      <c r="AW22" s="27">
        <f>IF(AW21=1,AV7+(AW7-AV7)*(-AV18)/AW13,0)</f>
        <v>0</v>
      </c>
      <c r="AX22" s="27">
        <f>IF(AX21=1,AW7+(AX7-AW7)*(-AW18)/AX13,0)</f>
        <v>0</v>
      </c>
    </row>
    <row r="23">
      <c r="A23" s="6" t="inlineStr">
        <is>
          <t xml:space="preserve">Start value for XIRR (the website's result)</t>
        </is>
      </c>
      <c r="C23" s="48">
        <v>0.030943933544212945</v>
      </c>
    </row>
    <row r="24">
      <c r="A24" s="6" t="inlineStr">
        <is>
          <t xml:space="preserve">Start value for the project XIRR before tax (website)</t>
        </is>
      </c>
      <c r="C24" s="48">
        <v>0.04041087599095587</v>
      </c>
    </row>
    <row r="25">
      <c r="A25" s="6" t="inlineStr">
        <is>
          <t xml:space="preserve">Start value for the project XIRR after tax (website)</t>
        </is>
      </c>
      <c r="C25" s="48">
        <v>0.036673834391649465</v>
      </c>
    </row>
    <row r="26">
      <c r="A26" s="6" t="inlineStr">
        <is>
          <t xml:space="preserve">Funding: the company never runs out of cash (otherwise the owners' returns are n.m.)</t>
        </is>
      </c>
      <c r="C26" s="7" t="str">
        <f>IF(MIN(Waterfall!$F$41:$AE$41)&gt;-1,"funded","not funded")</f>
        <v>funded</v>
      </c>
    </row>
    <row r="27">
      <c r="A27" s="41" t="inlineStr">
        <is>
          <t xml:space="preserve">Equity IRR</t>
        </is>
      </c>
      <c r="C27" s="49">
        <f>IF($C$26="funded",$C$42,"n.m.")</f>
        <v>0.030943933544212945</v>
      </c>
    </row>
    <row r="28">
      <c r="A28" s="41" t="inlineStr">
        <is>
          <t xml:space="preserve">Equity NPV at the cost of equity, at financial close</t>
        </is>
      </c>
      <c r="B28" s="10" t="inlineStr">
        <is>
          <t xml:space="preserve">€</t>
        </is>
      </c>
      <c r="C28" s="42">
        <f>IF($C$26="funded",$C$43,"n.m.")</f>
        <v>-16063857.823084528</v>
      </c>
    </row>
    <row r="29">
      <c r="A29" s="41" t="inlineStr">
        <is>
          <t xml:space="preserve">Project IRR before tax</t>
        </is>
      </c>
      <c r="C29" s="49">
        <f>IFERROR(IF(SUMPRODUCT($G$14:$AX$14/(1+XIRR($G$14:$AX$14,$G$7:$AX$7,$C$24)-Inputs!$C$160)^(($G$7:$AX$7-MIN($G$7:$AX$7))/Inputs!$C$147))*SUMPRODUCT($G$14:$AX$14/(1+XIRR($G$14:$AX$14,$G$7:$AX$7,$C$24)+Inputs!$C$160)^(($G$7:$AX$7-MIN($G$7:$AX$7))/Inputs!$C$147))&lt;=0,XIRR($G$14:$AX$14,$G$7:$AX$7,$C$24),NA()),IFERROR(IF(SUMPRODUCT($G$14:$AX$14/(1+XIRR($G$14:$AX$14,$G$7:$AX$7,$C$24-Inputs!$C$161)-Inputs!$C$160)^(($G$7:$AX$7-MIN($G$7:$AX$7))/Inputs!$C$147))*SUMPRODUCT($G$14:$AX$14/(1+XIRR($G$14:$AX$14,$G$7:$AX$7,$C$24-Inputs!$C$161)+Inputs!$C$160)^(($G$7:$AX$7-MIN($G$7:$AX$7))/Inputs!$C$147))&lt;=0,XIRR($G$14:$AX$14,$G$7:$AX$7,$C$24-Inputs!$C$161),NA()),IFERROR(IF(SUMPRODUCT($G$14:$AX$14/(1+XIRR($G$14:$AX$14,$G$7:$AX$7,$C$24+Inputs!$C$161)-Inputs!$C$160)^(($G$7:$AX$7-MIN($G$7:$AX$7))/Inputs!$C$147))*SUMPRODUCT($G$14:$AX$14/(1+XIRR($G$14:$AX$14,$G$7:$AX$7,$C$24+Inputs!$C$161)+Inputs!$C$160)^(($G$7:$AX$7-MIN($G$7:$AX$7))/Inputs!$C$147))&lt;=0,XIRR($G$14:$AX$14,$G$7:$AX$7,$C$24+Inputs!$C$161),NA()),IFERROR(IF(SUMPRODUCT($G$14:$AX$14/(1+XIRR($G$14:$AX$14,$G$7:$AX$7,Inputs!$C$162)-Inputs!$C$160)^(($G$7:$AX$7-MIN($G$7:$AX$7))/Inputs!$C$147))*SUMPRODUCT($G$14:$AX$14/(1+XIRR($G$14:$AX$14,$G$7:$AX$7,Inputs!$C$162)+Inputs!$C$160)^(($G$7:$AX$7-MIN($G$7:$AX$7))/Inputs!$C$147))&lt;=0,XIRR($G$14:$AX$14,$G$7:$AX$7,Inputs!$C$162),NA()),IFERROR(IF(SUMPRODUCT($G$14:$AX$14/(1+XIRR($G$14:$AX$14,$G$7:$AX$7,Inputs!$C$163)-Inputs!$C$160)^(($G$7:$AX$7-MIN($G$7:$AX$7))/Inputs!$C$147))*SUMPRODUCT($G$14:$AX$14/(1+XIRR($G$14:$AX$14,$G$7:$AX$7,Inputs!$C$163)+Inputs!$C$160)^(($G$7:$AX$7-MIN($G$7:$AX$7))/Inputs!$C$147))&lt;=0,XIRR($G$14:$AX$14,$G$7:$AX$7,Inputs!$C$163),NA()),"n/a")))))</f>
        <v>0.04041087599095587</v>
      </c>
    </row>
    <row r="30">
      <c r="A30" s="41" t="inlineStr">
        <is>
          <t xml:space="preserve">Project IRR after tax</t>
        </is>
      </c>
      <c r="C30" s="49">
        <f>IFERROR(IF(SUMPRODUCT($G$15:$AX$15/(1+XIRR($G$15:$AX$15,$G$7:$AX$7,$C$25)-Inputs!$C$160)^(($G$7:$AX$7-MIN($G$7:$AX$7))/Inputs!$C$147))*SUMPRODUCT($G$15:$AX$15/(1+XIRR($G$15:$AX$15,$G$7:$AX$7,$C$25)+Inputs!$C$160)^(($G$7:$AX$7-MIN($G$7:$AX$7))/Inputs!$C$147))&lt;=0,XIRR($G$15:$AX$15,$G$7:$AX$7,$C$25),NA()),IFERROR(IF(SUMPRODUCT($G$15:$AX$15/(1+XIRR($G$15:$AX$15,$G$7:$AX$7,$C$25-Inputs!$C$161)-Inputs!$C$160)^(($G$7:$AX$7-MIN($G$7:$AX$7))/Inputs!$C$147))*SUMPRODUCT($G$15:$AX$15/(1+XIRR($G$15:$AX$15,$G$7:$AX$7,$C$25-Inputs!$C$161)+Inputs!$C$160)^(($G$7:$AX$7-MIN($G$7:$AX$7))/Inputs!$C$147))&lt;=0,XIRR($G$15:$AX$15,$G$7:$AX$7,$C$25-Inputs!$C$161),NA()),IFERROR(IF(SUMPRODUCT($G$15:$AX$15/(1+XIRR($G$15:$AX$15,$G$7:$AX$7,$C$25+Inputs!$C$161)-Inputs!$C$160)^(($G$7:$AX$7-MIN($G$7:$AX$7))/Inputs!$C$147))*SUMPRODUCT($G$15:$AX$15/(1+XIRR($G$15:$AX$15,$G$7:$AX$7,$C$25+Inputs!$C$161)+Inputs!$C$160)^(($G$7:$AX$7-MIN($G$7:$AX$7))/Inputs!$C$147))&lt;=0,XIRR($G$15:$AX$15,$G$7:$AX$7,$C$25+Inputs!$C$161),NA()),IFERROR(IF(SUMPRODUCT($G$15:$AX$15/(1+XIRR($G$15:$AX$15,$G$7:$AX$7,Inputs!$C$162)-Inputs!$C$160)^(($G$7:$AX$7-MIN($G$7:$AX$7))/Inputs!$C$147))*SUMPRODUCT($G$15:$AX$15/(1+XIRR($G$15:$AX$15,$G$7:$AX$7,Inputs!$C$162)+Inputs!$C$160)^(($G$7:$AX$7-MIN($G$7:$AX$7))/Inputs!$C$147))&lt;=0,XIRR($G$15:$AX$15,$G$7:$AX$7,Inputs!$C$162),NA()),IFERROR(IF(SUMPRODUCT($G$15:$AX$15/(1+XIRR($G$15:$AX$15,$G$7:$AX$7,Inputs!$C$163)-Inputs!$C$160)^(($G$7:$AX$7-MIN($G$7:$AX$7))/Inputs!$C$147))*SUMPRODUCT($G$15:$AX$15/(1+XIRR($G$15:$AX$15,$G$7:$AX$7,Inputs!$C$163)+Inputs!$C$160)^(($G$7:$AX$7-MIN($G$7:$AX$7))/Inputs!$C$147))&lt;=0,XIRR($G$15:$AX$15,$G$7:$AX$7,Inputs!$C$163),NA()),"n/a")))))</f>
        <v>0.036673834391649465</v>
      </c>
    </row>
    <row r="31">
      <c r="A31" s="41" t="inlineStr">
        <is>
          <t xml:space="preserve">Project NPV at the nominal WACC</t>
        </is>
      </c>
      <c r="B31" s="10" t="inlineStr">
        <is>
          <t xml:space="preserve">€</t>
        </is>
      </c>
      <c r="C31" s="42">
        <f>XNPV(Inputs!$C$103,$F$15:$AX$15,$F$7:$AX$7)</f>
        <v>-11169473.679168949</v>
      </c>
    </row>
    <row r="32">
      <c r="A32" s="41" t="inlineStr">
        <is>
          <t xml:space="preserve">LCOE, real 2026 money (in the style of Fraunhofer ISE)</t>
        </is>
      </c>
      <c r="B32" s="10" t="inlineStr">
        <is>
          <t xml:space="preserve">ct/kWh</t>
        </is>
      </c>
      <c r="C32" s="50">
        <f>SUMPRODUCT($F$16:$AX$16/$F$8:$AX$8/$F$9:$AX$9)/SUMPRODUCT($F$17:$AX$17/$F$9:$AX$9)*100</f>
        <v>7.25237035511626</v>
      </c>
    </row>
    <row r="33">
      <c r="A33" s="41" t="inlineStr">
        <is>
          <t xml:space="preserve">LCOE, nominal</t>
        </is>
      </c>
      <c r="B33" s="10" t="inlineStr">
        <is>
          <t xml:space="preserve">ct/kWh</t>
        </is>
      </c>
      <c r="C33" s="50">
        <f>SUMPRODUCT($F$16:$AX$16/$F$10:$AX$10)/SUMPRODUCT($F$17:$AX$17/$F$10:$AX$10)*100</f>
        <v>9.222530552576682</v>
      </c>
    </row>
    <row r="34">
      <c r="A34" s="41" t="inlineStr">
        <is>
          <t xml:space="preserve">Minimum DSCR</t>
        </is>
      </c>
      <c r="C34" s="47">
        <f>IF(COUNT(Waterfall!$F$27:$AE$27)=0,"n/a",MIN(Waterfall!$F$27:$AE$27))</f>
        <v>1.4394651394839908</v>
      </c>
    </row>
    <row r="35">
      <c r="A35" s="41" t="inlineStr">
        <is>
          <t xml:space="preserve">Year of the minimum DSCR</t>
        </is>
      </c>
      <c r="C35" s="51">
        <f>IFERROR(INDEX(Timing!$F$59:$AE$59,MATCH($C$34,Waterfall!$F$27:$AE$27,0)),"n/a")</f>
        <v>2030</v>
      </c>
    </row>
    <row r="36">
      <c r="A36" s="41" t="inlineStr">
        <is>
          <t xml:space="preserve">Average DSCR over the repayment years</t>
        </is>
      </c>
      <c r="C36" s="47">
        <f>IFERROR(AVERAGEIFS(Waterfall!$F$27:$AE$27,Debt!$F$11:$AE$11,"&gt;0"),"n/a")</f>
        <v>2.19586725591586</v>
      </c>
    </row>
    <row r="37">
      <c r="A37" s="41" t="inlineStr">
        <is>
          <t xml:space="preserve">LLCR at COD (reserves not counted)</t>
        </is>
      </c>
      <c r="C37" s="47">
        <f>IF(Debt!$C$6=0,"n/a",SUMPRODUCT(Timing!$F$83:$AE$83*Tax!$F$43:$AE$43/(1+Inputs!$C$74)^((Timing!$F$84:$AE$84-Timing!$C$7)/Inputs!$C$147))/Debt!$C$6)</f>
        <v>2.0592959304053196</v>
      </c>
    </row>
    <row r="38">
      <c r="A38" s="41" t="inlineStr">
        <is>
          <t xml:space="preserve">Payback: years from COD until the owners' cumulative cash flow turns positive</t>
        </is>
      </c>
      <c r="B38" s="10" t="inlineStr">
        <is>
          <t xml:space="preserve">years</t>
        </is>
      </c>
      <c r="C38" s="50">
        <f>IF(SUM($F$21:$AX$21)=0,"n/a",MAX(0,(SUM($F$22:$AX$22)-Timing!$C$7)/Inputs!$C$148))</f>
        <v>18.757919812800424</v>
      </c>
    </row>
    <row r="39">
      <c r="A39" s="41" t="inlineStr">
        <is>
          <t xml:space="preserve">Total uses</t>
        </is>
      </c>
      <c r="B39" s="10" t="inlineStr">
        <is>
          <t xml:space="preserve">€</t>
        </is>
      </c>
      <c r="C39" s="42">
        <f>Construction!$C$43</f>
        <v>59303606.70605988</v>
      </c>
    </row>
    <row r="40">
      <c r="A40" s="41" t="inlineStr">
        <is>
          <t xml:space="preserve">Equity paid in</t>
        </is>
      </c>
      <c r="B40" s="10" t="inlineStr">
        <is>
          <t xml:space="preserve">€</t>
        </is>
      </c>
      <c r="C40" s="42">
        <f>Construction!$C$45</f>
        <v>38671265.02302264</v>
      </c>
    </row>
    <row r="41">
      <c r="A41" s="41" t="inlineStr">
        <is>
          <t xml:space="preserve">Gearing (loan ÷ total uses)</t>
        </is>
      </c>
      <c r="C41" s="49">
        <f>Debt!$C$6/$C$39</f>
        <v>0.3479104025713334</v>
      </c>
    </row>
    <row r="42">
      <c r="A42" s="6" t="inlineStr">
        <is>
          <t xml:space="preserve">Equity IRR as calculated, whether funded or not (XIRR, checked to be a root)</t>
        </is>
      </c>
      <c r="C42" s="22">
        <f>IFERROR(IF(SUMPRODUCT($G$13:$AX$13/(1+XIRR($G$13:$AX$13,$G$7:$AX$7,$C$23)-Inputs!$C$160)^(($G$7:$AX$7-MIN($G$7:$AX$7))/Inputs!$C$147))*SUMPRODUCT($G$13:$AX$13/(1+XIRR($G$13:$AX$13,$G$7:$AX$7,$C$23)+Inputs!$C$160)^(($G$7:$AX$7-MIN($G$7:$AX$7))/Inputs!$C$147))&lt;=0,XIRR($G$13:$AX$13,$G$7:$AX$7,$C$23),NA()),IFERROR(IF(SUMPRODUCT($G$13:$AX$13/(1+XIRR($G$13:$AX$13,$G$7:$AX$7,$C$23-Inputs!$C$161)-Inputs!$C$160)^(($G$7:$AX$7-MIN($G$7:$AX$7))/Inputs!$C$147))*SUMPRODUCT($G$13:$AX$13/(1+XIRR($G$13:$AX$13,$G$7:$AX$7,$C$23-Inputs!$C$161)+Inputs!$C$160)^(($G$7:$AX$7-MIN($G$7:$AX$7))/Inputs!$C$147))&lt;=0,XIRR($G$13:$AX$13,$G$7:$AX$7,$C$23-Inputs!$C$161),NA()),IFERROR(IF(SUMPRODUCT($G$13:$AX$13/(1+XIRR($G$13:$AX$13,$G$7:$AX$7,$C$23+Inputs!$C$161)-Inputs!$C$160)^(($G$7:$AX$7-MIN($G$7:$AX$7))/Inputs!$C$147))*SUMPRODUCT($G$13:$AX$13/(1+XIRR($G$13:$AX$13,$G$7:$AX$7,$C$23+Inputs!$C$161)+Inputs!$C$160)^(($G$7:$AX$7-MIN($G$7:$AX$7))/Inputs!$C$147))&lt;=0,XIRR($G$13:$AX$13,$G$7:$AX$7,$C$23+Inputs!$C$161),NA()),IFERROR(IF(SUMPRODUCT($G$13:$AX$13/(1+XIRR($G$13:$AX$13,$G$7:$AX$7,Inputs!$C$162)-Inputs!$C$160)^(($G$7:$AX$7-MIN($G$7:$AX$7))/Inputs!$C$147))*SUMPRODUCT($G$13:$AX$13/(1+XIRR($G$13:$AX$13,$G$7:$AX$7,Inputs!$C$162)+Inputs!$C$160)^(($G$7:$AX$7-MIN($G$7:$AX$7))/Inputs!$C$147))&lt;=0,XIRR($G$13:$AX$13,$G$7:$AX$7,Inputs!$C$162),NA()),IFERROR(IF(SUMPRODUCT($G$13:$AX$13/(1+XIRR($G$13:$AX$13,$G$7:$AX$7,Inputs!$C$163)-Inputs!$C$160)^(($G$7:$AX$7-MIN($G$7:$AX$7))/Inputs!$C$147))*SUMPRODUCT($G$13:$AX$13/(1+XIRR($G$13:$AX$13,$G$7:$AX$7,Inputs!$C$163)+Inputs!$C$160)^(($G$7:$AX$7-MIN($G$7:$AX$7))/Inputs!$C$147))&lt;=0,XIRR($G$13:$AX$13,$G$7:$AX$7,Inputs!$C$163),NA()),"n/a")))))</f>
        <v>0.030943933544212945</v>
      </c>
    </row>
    <row r="43">
      <c r="A43" s="6" t="inlineStr">
        <is>
          <t xml:space="preserve">Equity NPV as calculated, whether funded or not</t>
        </is>
      </c>
      <c r="B43" s="10" t="inlineStr">
        <is>
          <t xml:space="preserve">€</t>
        </is>
      </c>
      <c r="C43" s="23">
        <f>XNPV(Inputs!$C$102,$F$13:$AX$13,$F$7:$AX$7)</f>
        <v>-16063857.823084528</v>
      </c>
    </row>
    <row r="45">
      <c r="A45" s="5" t="inlineStr">
        <is>
          <t xml:space="preserve">P90 1-yr</t>
        </is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>
      <c r="A46" s="6" t="inlineStr">
        <is>
          <t xml:space="preserve">Owners' cash flow</t>
        </is>
      </c>
      <c r="B46" s="10" t="inlineStr">
        <is>
          <t xml:space="preserve">€</t>
        </is>
      </c>
      <c r="F46" s="23">
        <f>IF(F6=0,0,IF(F6&lt;=Inputs!$C$11,-INDEX(Construction!$F$40:$W$40,F6),INDEX(Waterfall!$F$82:$AE$82,F6-Inputs!$C$11)))</f>
        <v>0</v>
      </c>
      <c r="G46" s="23">
        <f>IF(G6=0,0,IF(G6&lt;=Inputs!$C$11,-INDEX(Construction!$F$40:$W$40,G6),INDEX(Waterfall!$F$82:$AE$82,G6-Inputs!$C$11)))</f>
        <v>-7184870.502484033</v>
      </c>
      <c r="H46" s="23">
        <f>IF(H6=0,0,IF(H6&lt;=Inputs!$C$11,-INDEX(Construction!$F$40:$W$40,H6),INDEX(Waterfall!$F$82:$AE$82,H6-Inputs!$C$11)))</f>
        <v>-612414.2234653239</v>
      </c>
      <c r="I46" s="23">
        <f>IF(I6=0,0,IF(I6&lt;=Inputs!$C$11,-INDEX(Construction!$F$40:$W$40,I6),INDEX(Waterfall!$F$82:$AE$82,I6-Inputs!$C$11)))</f>
        <v>-613947.5918020632</v>
      </c>
      <c r="J46" s="23">
        <f>IF(J6=0,0,IF(J6&lt;=Inputs!$C$11,-INDEX(Construction!$F$40:$W$40,J6),INDEX(Waterfall!$F$82:$AE$82,J6-Inputs!$C$11)))</f>
        <v>-608562.2654329941</v>
      </c>
      <c r="K46" s="23">
        <f>IF(K6=0,0,IF(K6&lt;=Inputs!$C$11,-INDEX(Construction!$F$40:$W$40,K6),INDEX(Waterfall!$F$82:$AE$82,K6-Inputs!$C$11)))</f>
        <v>-609506.2066944502</v>
      </c>
      <c r="L46" s="23">
        <f>IF(L6=0,0,IF(L6&lt;=Inputs!$C$11,-INDEX(Construction!$F$40:$W$40,L6),INDEX(Waterfall!$F$82:$AE$82,L6-Inputs!$C$11)))</f>
        <v>-610451.6121037113</v>
      </c>
      <c r="M46" s="23">
        <f>IF(M6=0,0,IF(M6&lt;=Inputs!$C$11,-INDEX(Construction!$F$40:$W$40,M6),INDEX(Waterfall!$F$82:$AE$82,M6-Inputs!$C$11)))</f>
        <v>-626235.9124343647</v>
      </c>
      <c r="N46" s="23">
        <f>IF(N6=0,0,IF(N6&lt;=Inputs!$C$11,-INDEX(Construction!$F$40:$W$40,N6),INDEX(Waterfall!$F$82:$AE$82,N6-Inputs!$C$11)))</f>
        <v>-626880.4563167137</v>
      </c>
      <c r="O46" s="23">
        <f>IF(O6=0,0,IF(O6&lt;=Inputs!$C$11,-INDEX(Construction!$F$40:$W$40,O6),INDEX(Waterfall!$F$82:$AE$82,O6-Inputs!$C$11)))</f>
        <v>-627525.6635861474</v>
      </c>
      <c r="P46" s="23">
        <f>IF(P6=0,0,IF(P6&lt;=Inputs!$C$11,-INDEX(Construction!$F$40:$W$40,P6),INDEX(Waterfall!$F$82:$AE$82,P6-Inputs!$C$11)))</f>
        <v>-628171.534925447</v>
      </c>
      <c r="Q46" s="23">
        <f>IF(Q6=0,0,IF(Q6&lt;=Inputs!$C$11,-INDEX(Construction!$F$40:$W$40,Q6),INDEX(Waterfall!$F$82:$AE$82,Q6-Inputs!$C$11)))</f>
        <v>-628818.0710180962</v>
      </c>
      <c r="R46" s="23">
        <f>IF(R6=0,0,IF(R6&lt;=Inputs!$C$11,-INDEX(Construction!$F$40:$W$40,R6),INDEX(Waterfall!$F$82:$AE$82,R6-Inputs!$C$11)))</f>
        <v>-629465.2725482826</v>
      </c>
      <c r="S46" s="23">
        <f>IF(S6=0,0,IF(S6&lt;=Inputs!$C$11,-INDEX(Construction!$F$40:$W$40,S6),INDEX(Waterfall!$F$82:$AE$82,S6-Inputs!$C$11)))</f>
        <v>-397317.1539188634</v>
      </c>
      <c r="T46" s="23">
        <f>IF(T6=0,0,IF(T6&lt;=Inputs!$C$11,-INDEX(Construction!$F$40:$W$40,T6),INDEX(Waterfall!$F$82:$AE$82,T6-Inputs!$C$11)))</f>
        <v>-397497.55855644477</v>
      </c>
      <c r="U46" s="23">
        <f>IF(U6=0,0,IF(U6&lt;=Inputs!$C$11,-INDEX(Construction!$F$40:$W$40,U6),INDEX(Waterfall!$F$82:$AE$82,U6-Inputs!$C$11)))</f>
        <v>-5971772.632172906</v>
      </c>
      <c r="V46" s="23">
        <f>IF(V6=0,0,IF(V6&lt;=Inputs!$C$11,-INDEX(Construction!$F$40:$W$40,V6),INDEX(Waterfall!$F$82:$AE$82,V6-Inputs!$C$11)))</f>
        <v>-5983390.891976394</v>
      </c>
      <c r="W46" s="23">
        <f>IF(W6=0,0,IF(W6&lt;=Inputs!$C$11,-INDEX(Construction!$F$40:$W$40,W6),INDEX(Waterfall!$F$82:$AE$82,W6-Inputs!$C$11)))</f>
        <v>-5995021.1096988255</v>
      </c>
      <c r="X46" s="23">
        <f>IF(X6=0,0,IF(X6&lt;=Inputs!$C$11,-INDEX(Construction!$F$40:$W$40,X6),INDEX(Waterfall!$F$82:$AE$82,X6-Inputs!$C$11)))</f>
        <v>-5919416.363887578</v>
      </c>
      <c r="Y46" s="23">
        <f>IF(Y6=0,0,IF(Y6&lt;=Inputs!$C$11,-INDEX(Construction!$F$40:$W$40,Y6),INDEX(Waterfall!$F$82:$AE$82,Y6-Inputs!$C$11)))</f>
        <v>1267942.8763883635</v>
      </c>
      <c r="Z46" s="23">
        <f>IF(Z6=0,0,IF(Z6&lt;=Inputs!$C$11,-INDEX(Construction!$F$40:$W$40,Z6),INDEX(Waterfall!$F$82:$AE$82,Z6-Inputs!$C$11)))</f>
        <v>1648449.0887856437</v>
      </c>
      <c r="AA46" s="23">
        <f>IF(AA6=0,0,IF(AA6&lt;=Inputs!$C$11,-INDEX(Construction!$F$40:$W$40,AA6),INDEX(Waterfall!$F$82:$AE$82,AA6-Inputs!$C$11)))</f>
        <v>336129.7565628353</v>
      </c>
      <c r="AB46" s="23">
        <f>IF(AB6=0,0,IF(AB6&lt;=Inputs!$C$11,-INDEX(Construction!$F$40:$W$40,AB6),INDEX(Waterfall!$F$82:$AE$82,AB6-Inputs!$C$11)))</f>
        <v>437419.84048029326</v>
      </c>
      <c r="AC46" s="23">
        <f>IF(AC6=0,0,IF(AC6&lt;=Inputs!$C$11,-INDEX(Construction!$F$40:$W$40,AC6),INDEX(Waterfall!$F$82:$AE$82,AC6-Inputs!$C$11)))</f>
        <v>551797.1966984288</v>
      </c>
      <c r="AD46" s="23">
        <f>IF(AD6=0,0,IF(AD6&lt;=Inputs!$C$11,-INDEX(Construction!$F$40:$W$40,AD6),INDEX(Waterfall!$F$82:$AE$82,AD6-Inputs!$C$11)))</f>
        <v>664086.5503518183</v>
      </c>
      <c r="AE46" s="23">
        <f>IF(AE6=0,0,IF(AE6&lt;=Inputs!$C$11,-INDEX(Construction!$F$40:$W$40,AE6),INDEX(Waterfall!$F$82:$AE$82,AE6-Inputs!$C$11)))</f>
        <v>780135.623200059</v>
      </c>
      <c r="AF46" s="23">
        <f>IF(AF6=0,0,IF(AF6&lt;=Inputs!$C$11,-INDEX(Construction!$F$40:$W$40,AF6),INDEX(Waterfall!$F$82:$AE$82,AF6-Inputs!$C$11)))</f>
        <v>896069.774851227</v>
      </c>
      <c r="AG46" s="23">
        <f>IF(AG6=0,0,IF(AG6&lt;=Inputs!$C$11,-INDEX(Construction!$F$40:$W$40,AG6),INDEX(Waterfall!$F$82:$AE$82,AG6-Inputs!$C$11)))</f>
        <v>1013919.9210893401</v>
      </c>
      <c r="AH46" s="23">
        <f>IF(AH6=0,0,IF(AH6&lt;=Inputs!$C$11,-INDEX(Construction!$F$40:$W$40,AH6),INDEX(Waterfall!$F$82:$AE$82,AH6-Inputs!$C$11)))</f>
        <v>1129524.9069154595</v>
      </c>
      <c r="AI46" s="23">
        <f>IF(AI6=0,0,IF(AI6&lt;=Inputs!$C$11,-INDEX(Construction!$F$40:$W$40,AI6),INDEX(Waterfall!$F$82:$AE$82,AI6-Inputs!$C$11)))</f>
        <v>1125114.8712882844</v>
      </c>
      <c r="AJ46" s="23">
        <f>IF(AJ6=0,0,IF(AJ6&lt;=Inputs!$C$11,-INDEX(Construction!$F$40:$W$40,AJ6),INDEX(Waterfall!$F$82:$AE$82,AJ6-Inputs!$C$11)))</f>
        <v>1242146.3346486697</v>
      </c>
      <c r="AK46" s="23">
        <f>IF(AK6=0,0,IF(AK6&lt;=Inputs!$C$11,-INDEX(Construction!$F$40:$W$40,AK6),INDEX(Waterfall!$F$82:$AE$82,AK6-Inputs!$C$11)))</f>
        <v>1361182.3142145132</v>
      </c>
      <c r="AL46" s="23">
        <f>IF(AL6=0,0,IF(AL6&lt;=Inputs!$C$11,-INDEX(Construction!$F$40:$W$40,AL6),INDEX(Waterfall!$F$82:$AE$82,AL6-Inputs!$C$11)))</f>
        <v>1477753.5089433</v>
      </c>
      <c r="AM46" s="23">
        <f>IF(AM6=0,0,IF(AM6&lt;=Inputs!$C$11,-INDEX(Construction!$F$40:$W$40,AM6),INDEX(Waterfall!$F$82:$AE$82,AM6-Inputs!$C$11)))</f>
        <v>1598601.4501562985</v>
      </c>
      <c r="AN46" s="23">
        <f>IF(AN6=0,0,IF(AN6&lt;=Inputs!$C$11,-INDEX(Construction!$F$40:$W$40,AN6),INDEX(Waterfall!$F$82:$AE$82,AN6-Inputs!$C$11)))</f>
        <v>1719257.339443941</v>
      </c>
      <c r="AO46" s="23">
        <f>IF(AO6=0,0,IF(AO6&lt;=Inputs!$C$11,-INDEX(Construction!$F$40:$W$40,AO6),INDEX(Waterfall!$F$82:$AE$82,AO6-Inputs!$C$11)))</f>
        <v>1836237.7183716062</v>
      </c>
      <c r="AP46" s="23">
        <f>IF(AP6=0,0,IF(AP6&lt;=Inputs!$C$11,-INDEX(Construction!$F$40:$W$40,AP6),INDEX(Waterfall!$F$82:$AE$82,AP6-Inputs!$C$11)))</f>
        <v>1849193.3774803532</v>
      </c>
      <c r="AQ46" s="23">
        <f>IF(AQ6=0,0,IF(AQ6&lt;=Inputs!$C$11,-INDEX(Construction!$F$40:$W$40,AQ6),INDEX(Waterfall!$F$82:$AE$82,AQ6-Inputs!$C$11)))</f>
        <v>2266014.7724480955</v>
      </c>
      <c r="AR46" s="23">
        <f>IF(AR6=0,0,IF(AR6&lt;=Inputs!$C$11,-INDEX(Construction!$F$40:$W$40,AR6),INDEX(Waterfall!$F$82:$AE$82,AR6-Inputs!$C$11)))</f>
        <v>3262101.922194229</v>
      </c>
      <c r="AS46" s="23">
        <f>IF(AS6=0,0,IF(AS6&lt;=Inputs!$C$11,-INDEX(Construction!$F$40:$W$40,AS6),INDEX(Waterfall!$F$82:$AE$82,AS6-Inputs!$C$11)))</f>
        <v>2794738.5769055896</v>
      </c>
      <c r="AT46" s="23">
        <f>IF(AT6=0,0,IF(AT6&lt;=Inputs!$C$11,-INDEX(Construction!$F$40:$W$40,AT6),INDEX(Waterfall!$F$82:$AE$82,AT6-Inputs!$C$11)))</f>
        <v>2849825.945346946</v>
      </c>
      <c r="AU46" s="23">
        <f>IF(AU6=0,0,IF(AU6&lt;=Inputs!$C$11,-INDEX(Construction!$F$40:$W$40,AU6),INDEX(Waterfall!$F$82:$AE$82,AU6-Inputs!$C$11)))</f>
        <v>2909873.4445490907</v>
      </c>
      <c r="AV46" s="23">
        <f>IF(AV6=0,0,IF(AV6&lt;=Inputs!$C$11,-INDEX(Construction!$F$40:$W$40,AV6),INDEX(Waterfall!$F$82:$AE$82,AV6-Inputs!$C$11)))</f>
        <v>2969713.5306587094</v>
      </c>
      <c r="AW46" s="23">
        <f>IF(AW6=0,0,IF(AW6&lt;=Inputs!$C$11,-INDEX(Construction!$F$40:$W$40,AW6),INDEX(Waterfall!$F$82:$AE$82,AW6-Inputs!$C$11)))</f>
        <v>3035922.1087545096</v>
      </c>
      <c r="AX46" s="23">
        <f>IF(AX6=0,0,IF(AX6&lt;=Inputs!$C$11,-INDEX(Construction!$F$40:$W$40,AX6),INDEX(Waterfall!$F$82:$AE$82,AX6-Inputs!$C$11)))</f>
        <v>1733596.6172231422</v>
      </c>
    </row>
    <row r="47">
      <c r="A47" s="6" t="inlineStr">
        <is>
          <t xml:space="preserve">Project cash flow before tax</t>
        </is>
      </c>
      <c r="B47" s="10" t="inlineStr">
        <is>
          <t xml:space="preserve">€</t>
        </is>
      </c>
      <c r="F47" s="23">
        <f>IF(F6=0,0,IF(F6&lt;=Inputs!$C$11,-INDEX(Construction!$F$26:$W$26,F6)-INDEX(Construction!$F$37:$W$37,F6),INDEX(Waterfall!$F$83:$AE$83,F6-Inputs!$C$11)))</f>
        <v>0</v>
      </c>
      <c r="G47" s="23">
        <f>IF(G6=0,0,IF(G6&lt;=Inputs!$C$11,-INDEX(Construction!$F$26:$W$26,G6)-INDEX(Construction!$F$37:$W$37,G6),INDEX(Waterfall!$F$83:$AE$83,G6-Inputs!$C$11)))</f>
        <v>-10811902.5</v>
      </c>
      <c r="H47" s="23">
        <f>IF(H6=0,0,IF(H6&lt;=Inputs!$C$11,-INDEX(Construction!$F$26:$W$26,H6)-INDEX(Construction!$F$37:$W$37,H6),INDEX(Waterfall!$F$83:$AE$83,H6-Inputs!$C$11)))</f>
        <v>-911452.5</v>
      </c>
      <c r="I47" s="23">
        <f>IF(I6=0,0,IF(I6&lt;=Inputs!$C$11,-INDEX(Construction!$F$26:$W$26,I6)-INDEX(Construction!$F$37:$W$37,I6),INDEX(Waterfall!$F$83:$AE$83,I6-Inputs!$C$11)))</f>
        <v>-911452.5</v>
      </c>
      <c r="J47" s="23">
        <f>IF(J6=0,0,IF(J6&lt;=Inputs!$C$11,-INDEX(Construction!$F$26:$W$26,J6)-INDEX(Construction!$F$37:$W$37,J6),INDEX(Waterfall!$F$83:$AE$83,J6-Inputs!$C$11)))</f>
        <v>-911452.5</v>
      </c>
      <c r="K47" s="23">
        <f>IF(K6=0,0,IF(K6&lt;=Inputs!$C$11,-INDEX(Construction!$F$26:$W$26,K6)-INDEX(Construction!$F$37:$W$37,K6),INDEX(Waterfall!$F$83:$AE$83,K6-Inputs!$C$11)))</f>
        <v>-911452.5</v>
      </c>
      <c r="L47" s="23">
        <f>IF(L6=0,0,IF(L6&lt;=Inputs!$C$11,-INDEX(Construction!$F$26:$W$26,L6)-INDEX(Construction!$F$37:$W$37,L6),INDEX(Waterfall!$F$83:$AE$83,L6-Inputs!$C$11)))</f>
        <v>-911452.5</v>
      </c>
      <c r="M47" s="23">
        <f>IF(M6=0,0,IF(M6&lt;=Inputs!$C$11,-INDEX(Construction!$F$26:$W$26,M6)-INDEX(Construction!$F$37:$W$37,M6),INDEX(Waterfall!$F$83:$AE$83,M6-Inputs!$C$11)))</f>
        <v>-911452.5</v>
      </c>
      <c r="N47" s="23">
        <f>IF(N6=0,0,IF(N6&lt;=Inputs!$C$11,-INDEX(Construction!$F$26:$W$26,N6)-INDEX(Construction!$F$37:$W$37,N6),INDEX(Waterfall!$F$83:$AE$83,N6-Inputs!$C$11)))</f>
        <v>-911452.5</v>
      </c>
      <c r="O47" s="23">
        <f>IF(O6=0,0,IF(O6&lt;=Inputs!$C$11,-INDEX(Construction!$F$26:$W$26,O6)-INDEX(Construction!$F$37:$W$37,O6),INDEX(Waterfall!$F$83:$AE$83,O6-Inputs!$C$11)))</f>
        <v>-911452.5</v>
      </c>
      <c r="P47" s="23">
        <f>IF(P6=0,0,IF(P6&lt;=Inputs!$C$11,-INDEX(Construction!$F$26:$W$26,P6)-INDEX(Construction!$F$37:$W$37,P6),INDEX(Waterfall!$F$83:$AE$83,P6-Inputs!$C$11)))</f>
        <v>-911452.5</v>
      </c>
      <c r="Q47" s="23">
        <f>IF(Q6=0,0,IF(Q6&lt;=Inputs!$C$11,-INDEX(Construction!$F$26:$W$26,Q6)-INDEX(Construction!$F$37:$W$37,Q6),INDEX(Waterfall!$F$83:$AE$83,Q6-Inputs!$C$11)))</f>
        <v>-911452.5</v>
      </c>
      <c r="R47" s="23">
        <f>IF(R6=0,0,IF(R6&lt;=Inputs!$C$11,-INDEX(Construction!$F$26:$W$26,R6)-INDEX(Construction!$F$37:$W$37,R6),INDEX(Waterfall!$F$83:$AE$83,R6-Inputs!$C$11)))</f>
        <v>-911452.5</v>
      </c>
      <c r="S47" s="23">
        <f>IF(S6=0,0,IF(S6&lt;=Inputs!$C$11,-INDEX(Construction!$F$26:$W$26,S6)-INDEX(Construction!$F$37:$W$37,S6),INDEX(Waterfall!$F$83:$AE$83,S6-Inputs!$C$11)))</f>
        <v>-554452.5</v>
      </c>
      <c r="T47" s="23">
        <f>IF(T6=0,0,IF(T6&lt;=Inputs!$C$11,-INDEX(Construction!$F$26:$W$26,T6)-INDEX(Construction!$F$37:$W$37,T6),INDEX(Waterfall!$F$83:$AE$83,T6-Inputs!$C$11)))</f>
        <v>-554452.5</v>
      </c>
      <c r="U47" s="23">
        <f>IF(U6=0,0,IF(U6&lt;=Inputs!$C$11,-INDEX(Construction!$F$26:$W$26,U6)-INDEX(Construction!$F$37:$W$37,U6),INDEX(Waterfall!$F$83:$AE$83,U6-Inputs!$C$11)))</f>
        <v>-9102502.499999998</v>
      </c>
      <c r="V47" s="23">
        <f>IF(V6=0,0,IF(V6&lt;=Inputs!$C$11,-INDEX(Construction!$F$26:$W$26,V6)-INDEX(Construction!$F$37:$W$37,V6),INDEX(Waterfall!$F$83:$AE$83,V6-Inputs!$C$11)))</f>
        <v>-9102502.499999998</v>
      </c>
      <c r="W47" s="23">
        <f>IF(W6=0,0,IF(W6&lt;=Inputs!$C$11,-INDEX(Construction!$F$26:$W$26,W6)-INDEX(Construction!$F$37:$W$37,W6),INDEX(Waterfall!$F$83:$AE$83,W6-Inputs!$C$11)))</f>
        <v>-9102502.499999998</v>
      </c>
      <c r="X47" s="23">
        <f>IF(X6=0,0,IF(X6&lt;=Inputs!$C$11,-INDEX(Construction!$F$26:$W$26,X6)-INDEX(Construction!$F$37:$W$37,X6),INDEX(Waterfall!$F$83:$AE$83,X6-Inputs!$C$11)))</f>
        <v>-8379401.500828104</v>
      </c>
      <c r="Y47" s="23">
        <f>IF(Y6=0,0,IF(Y6&lt;=Inputs!$C$11,-INDEX(Construction!$F$26:$W$26,Y6)-INDEX(Construction!$F$37:$W$37,Y6),INDEX(Waterfall!$F$83:$AE$83,Y6-Inputs!$C$11)))</f>
        <v>1819858.0164096118</v>
      </c>
      <c r="Z47" s="23">
        <f>IF(Z6=0,0,IF(Z6&lt;=Inputs!$C$11,-INDEX(Construction!$F$26:$W$26,Z6)-INDEX(Construction!$F$37:$W$37,Z6),INDEX(Waterfall!$F$83:$AE$83,Z6-Inputs!$C$11)))</f>
        <v>2752279.36882814</v>
      </c>
      <c r="AA47" s="23">
        <f>IF(AA6=0,0,IF(AA6&lt;=Inputs!$C$11,-INDEX(Construction!$F$26:$W$26,AA6)-INDEX(Construction!$F$37:$W$37,AA6),INDEX(Waterfall!$F$83:$AE$83,AA6-Inputs!$C$11)))</f>
        <v>2613045.198841259</v>
      </c>
      <c r="AB47" s="23">
        <f>IF(AB6=0,0,IF(AB6&lt;=Inputs!$C$11,-INDEX(Construction!$F$26:$W$26,AB6)-INDEX(Construction!$F$37:$W$37,AB6),INDEX(Waterfall!$F$83:$AE$83,AB6-Inputs!$C$11)))</f>
        <v>2649404.0898150406</v>
      </c>
      <c r="AC47" s="23">
        <f>IF(AC6=0,0,IF(AC6&lt;=Inputs!$C$11,-INDEX(Construction!$F$26:$W$26,AC6)-INDEX(Construction!$F$37:$W$37,AC6),INDEX(Waterfall!$F$83:$AE$83,AC6-Inputs!$C$11)))</f>
        <v>2698850.2530895</v>
      </c>
      <c r="AD47" s="23">
        <f>IF(AD6=0,0,IF(AD6&lt;=Inputs!$C$11,-INDEX(Construction!$F$26:$W$26,AD6)-INDEX(Construction!$F$37:$W$37,AD6),INDEX(Waterfall!$F$83:$AE$83,AD6-Inputs!$C$11)))</f>
        <v>2746208.4137992132</v>
      </c>
      <c r="AE47" s="23">
        <f>IF(AE6=0,0,IF(AE6&lt;=Inputs!$C$11,-INDEX(Construction!$F$26:$W$26,AE6)-INDEX(Construction!$F$37:$W$37,AE6),INDEX(Waterfall!$F$83:$AE$83,AE6-Inputs!$C$11)))</f>
        <v>2797326.2937037777</v>
      </c>
      <c r="AF47" s="23">
        <f>IF(AF6=0,0,IF(AF6&lt;=Inputs!$C$11,-INDEX(Construction!$F$26:$W$26,AF6)-INDEX(Construction!$F$37:$W$37,AF6),INDEX(Waterfall!$F$83:$AE$83,AF6-Inputs!$C$11)))</f>
        <v>2848329.2524112696</v>
      </c>
      <c r="AG47" s="23">
        <f>IF(AG6=0,0,IF(AG6&lt;=Inputs!$C$11,-INDEX(Construction!$F$26:$W$26,AG6)-INDEX(Construction!$F$37:$W$37,AG6),INDEX(Waterfall!$F$83:$AE$83,AG6-Inputs!$C$11)))</f>
        <v>2901248.2057057065</v>
      </c>
      <c r="AH47" s="23">
        <f>IF(AH6=0,0,IF(AH6&lt;=Inputs!$C$11,-INDEX(Construction!$F$26:$W$26,AH6)-INDEX(Construction!$F$37:$W$37,AH6),INDEX(Waterfall!$F$83:$AE$83,AH6-Inputs!$C$11)))</f>
        <v>2951921.99858815</v>
      </c>
      <c r="AI47" s="23">
        <f>IF(AI6=0,0,IF(AI6&lt;=Inputs!$C$11,-INDEX(Construction!$F$26:$W$26,AI6)-INDEX(Construction!$F$37:$W$37,AI6),INDEX(Waterfall!$F$83:$AE$83,AI6-Inputs!$C$11)))</f>
        <v>2882580.7700172984</v>
      </c>
      <c r="AJ47" s="23">
        <f>IF(AJ6=0,0,IF(AJ6&lt;=Inputs!$C$11,-INDEX(Construction!$F$26:$W$26,AJ6)-INDEX(Construction!$F$37:$W$37,AJ6),INDEX(Waterfall!$F$83:$AE$83,AJ6-Inputs!$C$11)))</f>
        <v>2934681.0404340075</v>
      </c>
      <c r="AK47" s="23">
        <f>IF(AK6=0,0,IF(AK6&lt;=Inputs!$C$11,-INDEX(Construction!$F$26:$W$26,AK6)-INDEX(Construction!$F$37:$W$37,AK6),INDEX(Waterfall!$F$83:$AE$83,AK6-Inputs!$C$11)))</f>
        <v>2988785.8270561746</v>
      </c>
      <c r="AL47" s="23">
        <f>IF(AL6=0,0,IF(AL6&lt;=Inputs!$C$11,-INDEX(Construction!$F$26:$W$26,AL6)-INDEX(Construction!$F$37:$W$37,AL6),INDEX(Waterfall!$F$83:$AE$83,AL6-Inputs!$C$11)))</f>
        <v>3040425.8288412853</v>
      </c>
      <c r="AM47" s="23">
        <f>IF(AM6=0,0,IF(AM6&lt;=Inputs!$C$11,-INDEX(Construction!$F$26:$W$26,AM6)-INDEX(Construction!$F$37:$W$37,AM6),INDEX(Waterfall!$F$83:$AE$83,AM6-Inputs!$C$11)))</f>
        <v>3096342.5771106076</v>
      </c>
      <c r="AN47" s="23">
        <f>IF(AN6=0,0,IF(AN6&lt;=Inputs!$C$11,-INDEX(Construction!$F$26:$W$26,AN6)-INDEX(Construction!$F$37:$W$37,AN6),INDEX(Waterfall!$F$83:$AE$83,AN6-Inputs!$C$11)))</f>
        <v>3152067.273454574</v>
      </c>
      <c r="AO47" s="23">
        <f>IF(AO6=0,0,IF(AO6&lt;=Inputs!$C$11,-INDEX(Construction!$F$26:$W$26,AO6)-INDEX(Construction!$F$37:$W$37,AO6),INDEX(Waterfall!$F$83:$AE$83,AO6-Inputs!$C$11)))</f>
        <v>3209940.459438563</v>
      </c>
      <c r="AP47" s="23">
        <f>IF(AP6=0,0,IF(AP6&lt;=Inputs!$C$11,-INDEX(Construction!$F$26:$W$26,AP6)-INDEX(Construction!$F$37:$W$37,AP6),INDEX(Waterfall!$F$83:$AE$83,AP6-Inputs!$C$11)))</f>
        <v>3265162.925603638</v>
      </c>
      <c r="AQ47" s="23">
        <f>IF(AQ6=0,0,IF(AQ6&lt;=Inputs!$C$11,-INDEX(Construction!$F$26:$W$26,AQ6)-INDEX(Construction!$F$37:$W$37,AQ6),INDEX(Waterfall!$F$83:$AE$83,AQ6-Inputs!$C$11)))</f>
        <v>3324973.63750975</v>
      </c>
      <c r="AR47" s="23">
        <f>IF(AR6=0,0,IF(AR6&lt;=Inputs!$C$11,-INDEX(Construction!$F$26:$W$26,AR6)-INDEX(Construction!$F$37:$W$37,AR6),INDEX(Waterfall!$F$83:$AE$83,AR6-Inputs!$C$11)))</f>
        <v>3384573.922194229</v>
      </c>
      <c r="AS47" s="23">
        <f>IF(AS6=0,0,IF(AS6&lt;=Inputs!$C$11,-INDEX(Construction!$F$26:$W$26,AS6)-INDEX(Construction!$F$37:$W$37,AS6),INDEX(Waterfall!$F$83:$AE$83,AS6-Inputs!$C$11)))</f>
        <v>3365828.8959404724</v>
      </c>
      <c r="AT47" s="23">
        <f>IF(AT6=0,0,IF(AT6&lt;=Inputs!$C$11,-INDEX(Construction!$F$26:$W$26,AT6)-INDEX(Construction!$F$37:$W$37,AT6),INDEX(Waterfall!$F$83:$AE$83,AT6-Inputs!$C$11)))</f>
        <v>3423268.2643818287</v>
      </c>
      <c r="AU47" s="23">
        <f>IF(AU6=0,0,IF(AU6&lt;=Inputs!$C$11,-INDEX(Construction!$F$26:$W$26,AU6)-INDEX(Construction!$F$37:$W$37,AU6),INDEX(Waterfall!$F$83:$AE$83,AU6-Inputs!$C$11)))</f>
        <v>3485597.7635839735</v>
      </c>
      <c r="AV47" s="23">
        <f>IF(AV6=0,0,IF(AV6&lt;=Inputs!$C$11,-INDEX(Construction!$F$26:$W$26,AV6)-INDEX(Construction!$F$37:$W$37,AV6),INDEX(Waterfall!$F$83:$AE$83,AV6-Inputs!$C$11)))</f>
        <v>3547663.849693592</v>
      </c>
      <c r="AW47" s="23">
        <f>IF(AW6=0,0,IF(AW6&lt;=Inputs!$C$11,-INDEX(Construction!$F$26:$W$26,AW6)-INDEX(Construction!$F$37:$W$37,AW6),INDEX(Waterfall!$F$83:$AE$83,AW6-Inputs!$C$11)))</f>
        <v>3612164.4277893924</v>
      </c>
      <c r="AX47" s="23">
        <f>IF(AX6=0,0,IF(AX6&lt;=Inputs!$C$11,-INDEX(Construction!$F$26:$W$26,AX6)-INDEX(Construction!$F$37:$W$37,AX6),INDEX(Waterfall!$F$83:$AE$83,AX6-Inputs!$C$11)))</f>
        <v>-370614.9779512724</v>
      </c>
    </row>
    <row r="48">
      <c r="A48" s="6" t="inlineStr">
        <is>
          <t xml:space="preserve">Project cash flow after tax</t>
        </is>
      </c>
      <c r="B48" s="10" t="inlineStr">
        <is>
          <t xml:space="preserve">€</t>
        </is>
      </c>
      <c r="F48" s="23">
        <f>IF(F6=0,0,IF(F6&lt;=Inputs!$C$11,-INDEX(Construction!$F$26:$W$26,F6)-INDEX(Construction!$F$37:$W$37,F6),INDEX(Waterfall!$F$84:$AE$84,F6-Inputs!$C$11)))</f>
        <v>0</v>
      </c>
      <c r="G48" s="23">
        <f>IF(G6=0,0,IF(G6&lt;=Inputs!$C$11,-INDEX(Construction!$F$26:$W$26,G6)-INDEX(Construction!$F$37:$W$37,G6),INDEX(Waterfall!$F$84:$AE$84,G6-Inputs!$C$11)))</f>
        <v>-10811902.5</v>
      </c>
      <c r="H48" s="23">
        <f>IF(H6=0,0,IF(H6&lt;=Inputs!$C$11,-INDEX(Construction!$F$26:$W$26,H6)-INDEX(Construction!$F$37:$W$37,H6),INDEX(Waterfall!$F$84:$AE$84,H6-Inputs!$C$11)))</f>
        <v>-911452.5</v>
      </c>
      <c r="I48" s="23">
        <f>IF(I6=0,0,IF(I6&lt;=Inputs!$C$11,-INDEX(Construction!$F$26:$W$26,I6)-INDEX(Construction!$F$37:$W$37,I6),INDEX(Waterfall!$F$84:$AE$84,I6-Inputs!$C$11)))</f>
        <v>-911452.5</v>
      </c>
      <c r="J48" s="23">
        <f>IF(J6=0,0,IF(J6&lt;=Inputs!$C$11,-INDEX(Construction!$F$26:$W$26,J6)-INDEX(Construction!$F$37:$W$37,J6),INDEX(Waterfall!$F$84:$AE$84,J6-Inputs!$C$11)))</f>
        <v>-911452.5</v>
      </c>
      <c r="K48" s="23">
        <f>IF(K6=0,0,IF(K6&lt;=Inputs!$C$11,-INDEX(Construction!$F$26:$W$26,K6)-INDEX(Construction!$F$37:$W$37,K6),INDEX(Waterfall!$F$84:$AE$84,K6-Inputs!$C$11)))</f>
        <v>-911452.5</v>
      </c>
      <c r="L48" s="23">
        <f>IF(L6=0,0,IF(L6&lt;=Inputs!$C$11,-INDEX(Construction!$F$26:$W$26,L6)-INDEX(Construction!$F$37:$W$37,L6),INDEX(Waterfall!$F$84:$AE$84,L6-Inputs!$C$11)))</f>
        <v>-911452.5</v>
      </c>
      <c r="M48" s="23">
        <f>IF(M6=0,0,IF(M6&lt;=Inputs!$C$11,-INDEX(Construction!$F$26:$W$26,M6)-INDEX(Construction!$F$37:$W$37,M6),INDEX(Waterfall!$F$84:$AE$84,M6-Inputs!$C$11)))</f>
        <v>-911452.5</v>
      </c>
      <c r="N48" s="23">
        <f>IF(N6=0,0,IF(N6&lt;=Inputs!$C$11,-INDEX(Construction!$F$26:$W$26,N6)-INDEX(Construction!$F$37:$W$37,N6),INDEX(Waterfall!$F$84:$AE$84,N6-Inputs!$C$11)))</f>
        <v>-911452.5</v>
      </c>
      <c r="O48" s="23">
        <f>IF(O6=0,0,IF(O6&lt;=Inputs!$C$11,-INDEX(Construction!$F$26:$W$26,O6)-INDEX(Construction!$F$37:$W$37,O6),INDEX(Waterfall!$F$84:$AE$84,O6-Inputs!$C$11)))</f>
        <v>-911452.5</v>
      </c>
      <c r="P48" s="23">
        <f>IF(P6=0,0,IF(P6&lt;=Inputs!$C$11,-INDEX(Construction!$F$26:$W$26,P6)-INDEX(Construction!$F$37:$W$37,P6),INDEX(Waterfall!$F$84:$AE$84,P6-Inputs!$C$11)))</f>
        <v>-911452.5</v>
      </c>
      <c r="Q48" s="23">
        <f>IF(Q6=0,0,IF(Q6&lt;=Inputs!$C$11,-INDEX(Construction!$F$26:$W$26,Q6)-INDEX(Construction!$F$37:$W$37,Q6),INDEX(Waterfall!$F$84:$AE$84,Q6-Inputs!$C$11)))</f>
        <v>-911452.5</v>
      </c>
      <c r="R48" s="23">
        <f>IF(R6=0,0,IF(R6&lt;=Inputs!$C$11,-INDEX(Construction!$F$26:$W$26,R6)-INDEX(Construction!$F$37:$W$37,R6),INDEX(Waterfall!$F$84:$AE$84,R6-Inputs!$C$11)))</f>
        <v>-911452.5</v>
      </c>
      <c r="S48" s="23">
        <f>IF(S6=0,0,IF(S6&lt;=Inputs!$C$11,-INDEX(Construction!$F$26:$W$26,S6)-INDEX(Construction!$F$37:$W$37,S6),INDEX(Waterfall!$F$84:$AE$84,S6-Inputs!$C$11)))</f>
        <v>-554452.5</v>
      </c>
      <c r="T48" s="23">
        <f>IF(T6=0,0,IF(T6&lt;=Inputs!$C$11,-INDEX(Construction!$F$26:$W$26,T6)-INDEX(Construction!$F$37:$W$37,T6),INDEX(Waterfall!$F$84:$AE$84,T6-Inputs!$C$11)))</f>
        <v>-554452.5</v>
      </c>
      <c r="U48" s="23">
        <f>IF(U6=0,0,IF(U6&lt;=Inputs!$C$11,-INDEX(Construction!$F$26:$W$26,U6)-INDEX(Construction!$F$37:$W$37,U6),INDEX(Waterfall!$F$84:$AE$84,U6-Inputs!$C$11)))</f>
        <v>-9102502.499999998</v>
      </c>
      <c r="V48" s="23">
        <f>IF(V6=0,0,IF(V6&lt;=Inputs!$C$11,-INDEX(Construction!$F$26:$W$26,V6)-INDEX(Construction!$F$37:$W$37,V6),INDEX(Waterfall!$F$84:$AE$84,V6-Inputs!$C$11)))</f>
        <v>-9102502.499999998</v>
      </c>
      <c r="W48" s="23">
        <f>IF(W6=0,0,IF(W6&lt;=Inputs!$C$11,-INDEX(Construction!$F$26:$W$26,W6)-INDEX(Construction!$F$37:$W$37,W6),INDEX(Waterfall!$F$84:$AE$84,W6-Inputs!$C$11)))</f>
        <v>-9102502.499999998</v>
      </c>
      <c r="X48" s="23">
        <f>IF(X6=0,0,IF(X6&lt;=Inputs!$C$11,-INDEX(Construction!$F$26:$W$26,X6)-INDEX(Construction!$F$37:$W$37,X6),INDEX(Waterfall!$F$84:$AE$84,X6-Inputs!$C$11)))</f>
        <v>-8379401.500828104</v>
      </c>
      <c r="Y48" s="23">
        <f>IF(Y6=0,0,IF(Y6&lt;=Inputs!$C$11,-INDEX(Construction!$F$26:$W$26,Y6)-INDEX(Construction!$F$37:$W$37,Y6),INDEX(Waterfall!$F$84:$AE$84,Y6-Inputs!$C$11)))</f>
        <v>1819858.0164096118</v>
      </c>
      <c r="Z48" s="23">
        <f>IF(Z6=0,0,IF(Z6&lt;=Inputs!$C$11,-INDEX(Construction!$F$26:$W$26,Z6)-INDEX(Construction!$F$37:$W$37,Z6),INDEX(Waterfall!$F$84:$AE$84,Z6-Inputs!$C$11)))</f>
        <v>2752279.36882814</v>
      </c>
      <c r="AA48" s="23">
        <f>IF(AA6=0,0,IF(AA6&lt;=Inputs!$C$11,-INDEX(Construction!$F$26:$W$26,AA6)-INDEX(Construction!$F$37:$W$37,AA6),INDEX(Waterfall!$F$84:$AE$84,AA6-Inputs!$C$11)))</f>
        <v>2613045.198841259</v>
      </c>
      <c r="AB48" s="23">
        <f>IF(AB6=0,0,IF(AB6&lt;=Inputs!$C$11,-INDEX(Construction!$F$26:$W$26,AB6)-INDEX(Construction!$F$37:$W$37,AB6),INDEX(Waterfall!$F$84:$AE$84,AB6-Inputs!$C$11)))</f>
        <v>2649404.0898150406</v>
      </c>
      <c r="AC48" s="23">
        <f>IF(AC6=0,0,IF(AC6&lt;=Inputs!$C$11,-INDEX(Construction!$F$26:$W$26,AC6)-INDEX(Construction!$F$37:$W$37,AC6),INDEX(Waterfall!$F$84:$AE$84,AC6-Inputs!$C$11)))</f>
        <v>2698850.2530895</v>
      </c>
      <c r="AD48" s="23">
        <f>IF(AD6=0,0,IF(AD6&lt;=Inputs!$C$11,-INDEX(Construction!$F$26:$W$26,AD6)-INDEX(Construction!$F$37:$W$37,AD6),INDEX(Waterfall!$F$84:$AE$84,AD6-Inputs!$C$11)))</f>
        <v>2746208.4137992132</v>
      </c>
      <c r="AE48" s="23">
        <f>IF(AE6=0,0,IF(AE6&lt;=Inputs!$C$11,-INDEX(Construction!$F$26:$W$26,AE6)-INDEX(Construction!$F$37:$W$37,AE6),INDEX(Waterfall!$F$84:$AE$84,AE6-Inputs!$C$11)))</f>
        <v>2797326.2937037777</v>
      </c>
      <c r="AF48" s="23">
        <f>IF(AF6=0,0,IF(AF6&lt;=Inputs!$C$11,-INDEX(Construction!$F$26:$W$26,AF6)-INDEX(Construction!$F$37:$W$37,AF6),INDEX(Waterfall!$F$84:$AE$84,AF6-Inputs!$C$11)))</f>
        <v>2848329.2524112696</v>
      </c>
      <c r="AG48" s="23">
        <f>IF(AG6=0,0,IF(AG6&lt;=Inputs!$C$11,-INDEX(Construction!$F$26:$W$26,AG6)-INDEX(Construction!$F$37:$W$37,AG6),INDEX(Waterfall!$F$84:$AE$84,AG6-Inputs!$C$11)))</f>
        <v>2901248.2057057065</v>
      </c>
      <c r="AH48" s="23">
        <f>IF(AH6=0,0,IF(AH6&lt;=Inputs!$C$11,-INDEX(Construction!$F$26:$W$26,AH6)-INDEX(Construction!$F$37:$W$37,AH6),INDEX(Waterfall!$F$84:$AE$84,AH6-Inputs!$C$11)))</f>
        <v>2951921.99858815</v>
      </c>
      <c r="AI48" s="23">
        <f>IF(AI6=0,0,IF(AI6&lt;=Inputs!$C$11,-INDEX(Construction!$F$26:$W$26,AI6)-INDEX(Construction!$F$37:$W$37,AI6),INDEX(Waterfall!$F$84:$AE$84,AI6-Inputs!$C$11)))</f>
        <v>2882580.7700172984</v>
      </c>
      <c r="AJ48" s="23">
        <f>IF(AJ6=0,0,IF(AJ6&lt;=Inputs!$C$11,-INDEX(Construction!$F$26:$W$26,AJ6)-INDEX(Construction!$F$37:$W$37,AJ6),INDEX(Waterfall!$F$84:$AE$84,AJ6-Inputs!$C$11)))</f>
        <v>2934681.0404340075</v>
      </c>
      <c r="AK48" s="23">
        <f>IF(AK6=0,0,IF(AK6&lt;=Inputs!$C$11,-INDEX(Construction!$F$26:$W$26,AK6)-INDEX(Construction!$F$37:$W$37,AK6),INDEX(Waterfall!$F$84:$AE$84,AK6-Inputs!$C$11)))</f>
        <v>2988785.8270561746</v>
      </c>
      <c r="AL48" s="23">
        <f>IF(AL6=0,0,IF(AL6&lt;=Inputs!$C$11,-INDEX(Construction!$F$26:$W$26,AL6)-INDEX(Construction!$F$37:$W$37,AL6),INDEX(Waterfall!$F$84:$AE$84,AL6-Inputs!$C$11)))</f>
        <v>3040425.8288412853</v>
      </c>
      <c r="AM48" s="23">
        <f>IF(AM6=0,0,IF(AM6&lt;=Inputs!$C$11,-INDEX(Construction!$F$26:$W$26,AM6)-INDEX(Construction!$F$37:$W$37,AM6),INDEX(Waterfall!$F$84:$AE$84,AM6-Inputs!$C$11)))</f>
        <v>3096342.5771106076</v>
      </c>
      <c r="AN48" s="23">
        <f>IF(AN6=0,0,IF(AN6&lt;=Inputs!$C$11,-INDEX(Construction!$F$26:$W$26,AN6)-INDEX(Construction!$F$37:$W$37,AN6),INDEX(Waterfall!$F$84:$AE$84,AN6-Inputs!$C$11)))</f>
        <v>3152067.273454574</v>
      </c>
      <c r="AO48" s="23">
        <f>IF(AO6=0,0,IF(AO6&lt;=Inputs!$C$11,-INDEX(Construction!$F$26:$W$26,AO6)-INDEX(Construction!$F$37:$W$37,AO6),INDEX(Waterfall!$F$84:$AE$84,AO6-Inputs!$C$11)))</f>
        <v>3195044.459438563</v>
      </c>
      <c r="AP48" s="23">
        <f>IF(AP6=0,0,IF(AP6&lt;=Inputs!$C$11,-INDEX(Construction!$F$26:$W$26,AP6)-INDEX(Construction!$F$37:$W$37,AP6),INDEX(Waterfall!$F$84:$AE$84,AP6-Inputs!$C$11)))</f>
        <v>3147716.925603638</v>
      </c>
      <c r="AQ48" s="23">
        <f>IF(AQ6=0,0,IF(AQ6&lt;=Inputs!$C$11,-INDEX(Construction!$F$26:$W$26,AQ6)-INDEX(Construction!$F$37:$W$37,AQ6),INDEX(Waterfall!$F$84:$AE$84,AQ6-Inputs!$C$11)))</f>
        <v>3205007.63750975</v>
      </c>
      <c r="AR48" s="23">
        <f>IF(AR6=0,0,IF(AR6&lt;=Inputs!$C$11,-INDEX(Construction!$F$26:$W$26,AR6)-INDEX(Construction!$F$37:$W$37,AR6),INDEX(Waterfall!$F$84:$AE$84,AR6-Inputs!$C$11)))</f>
        <v>3262101.922194229</v>
      </c>
      <c r="AS48" s="23">
        <f>IF(AS6=0,0,IF(AS6&lt;=Inputs!$C$11,-INDEX(Construction!$F$26:$W$26,AS6)-INDEX(Construction!$F$37:$W$37,AS6),INDEX(Waterfall!$F$84:$AE$84,AS6-Inputs!$C$11)))</f>
        <v>3245428.8959404724</v>
      </c>
      <c r="AT48" s="23">
        <f>IF(AT6=0,0,IF(AT6&lt;=Inputs!$C$11,-INDEX(Construction!$F$26:$W$26,AT6)-INDEX(Construction!$F$37:$W$37,AT6),INDEX(Waterfall!$F$84:$AE$84,AT6-Inputs!$C$11)))</f>
        <v>3076712.2643818287</v>
      </c>
      <c r="AU48" s="23">
        <f>IF(AU6=0,0,IF(AU6&lt;=Inputs!$C$11,-INDEX(Construction!$F$26:$W$26,AU6)-INDEX(Construction!$F$37:$W$37,AU6),INDEX(Waterfall!$F$84:$AE$84,AU6-Inputs!$C$11)))</f>
        <v>3027853.7635839735</v>
      </c>
      <c r="AV48" s="23">
        <f>IF(AV6=0,0,IF(AV6&lt;=Inputs!$C$11,-INDEX(Construction!$F$26:$W$26,AV6)-INDEX(Construction!$F$37:$W$37,AV6),INDEX(Waterfall!$F$84:$AE$84,AV6-Inputs!$C$11)))</f>
        <v>3084375.849693592</v>
      </c>
      <c r="AW48" s="23">
        <f>IF(AW6=0,0,IF(AW6&lt;=Inputs!$C$11,-INDEX(Construction!$F$26:$W$26,AW6)-INDEX(Construction!$F$37:$W$37,AW6),INDEX(Waterfall!$F$84:$AE$84,AW6-Inputs!$C$11)))</f>
        <v>3153118.4277893924</v>
      </c>
      <c r="AX48" s="23">
        <f>IF(AX6=0,0,IF(AX6&lt;=Inputs!$C$11,-INDEX(Construction!$F$26:$W$26,AX6)-INDEX(Construction!$F$37:$W$37,AX6),INDEX(Waterfall!$F$84:$AE$84,AX6-Inputs!$C$11)))</f>
        <v>-608166.9779512724</v>
      </c>
    </row>
    <row r="49">
      <c r="A49" s="6" t="inlineStr">
        <is>
          <t xml:space="preserve">LCOE costs: capex, opex net of the § 6 refund, decommissioning</t>
        </is>
      </c>
      <c r="B49" s="10" t="inlineStr">
        <is>
          <t xml:space="preserve">€</t>
        </is>
      </c>
      <c r="F49" s="23">
        <f>IF(F6=0,0,IF(F6&lt;=Inputs!$C$11,INDEX(Construction!$F$26:$W$26,F6),INDEX(Operations!$F$105:$AE$105,F6-Inputs!$C$11)-INDEX(Operations!$F$106:$AE$106,F6-Inputs!$C$11)+INDEX(Waterfall!$F$66:$AE$66,F6-Inputs!$C$11)))</f>
        <v>0</v>
      </c>
      <c r="G49" s="23">
        <f>IF(G6=0,0,IF(G6&lt;=Inputs!$C$11,INDEX(Construction!$F$26:$W$26,G6),INDEX(Operations!$F$105:$AE$105,G6-Inputs!$C$11)-INDEX(Operations!$F$106:$AE$106,G6-Inputs!$C$11)+INDEX(Waterfall!$F$66:$AE$66,G6-Inputs!$C$11)))</f>
        <v>10811902.5</v>
      </c>
      <c r="H49" s="23">
        <f>IF(H6=0,0,IF(H6&lt;=Inputs!$C$11,INDEX(Construction!$F$26:$W$26,H6),INDEX(Operations!$F$105:$AE$105,H6-Inputs!$C$11)-INDEX(Operations!$F$106:$AE$106,H6-Inputs!$C$11)+INDEX(Waterfall!$F$66:$AE$66,H6-Inputs!$C$11)))</f>
        <v>911452.5</v>
      </c>
      <c r="I49" s="23">
        <f>IF(I6=0,0,IF(I6&lt;=Inputs!$C$11,INDEX(Construction!$F$26:$W$26,I6),INDEX(Operations!$F$105:$AE$105,I6-Inputs!$C$11)-INDEX(Operations!$F$106:$AE$106,I6-Inputs!$C$11)+INDEX(Waterfall!$F$66:$AE$66,I6-Inputs!$C$11)))</f>
        <v>911452.5</v>
      </c>
      <c r="J49" s="23">
        <f>IF(J6=0,0,IF(J6&lt;=Inputs!$C$11,INDEX(Construction!$F$26:$W$26,J6),INDEX(Operations!$F$105:$AE$105,J6-Inputs!$C$11)-INDEX(Operations!$F$106:$AE$106,J6-Inputs!$C$11)+INDEX(Waterfall!$F$66:$AE$66,J6-Inputs!$C$11)))</f>
        <v>911452.5</v>
      </c>
      <c r="K49" s="23">
        <f>IF(K6=0,0,IF(K6&lt;=Inputs!$C$11,INDEX(Construction!$F$26:$W$26,K6),INDEX(Operations!$F$105:$AE$105,K6-Inputs!$C$11)-INDEX(Operations!$F$106:$AE$106,K6-Inputs!$C$11)+INDEX(Waterfall!$F$66:$AE$66,K6-Inputs!$C$11)))</f>
        <v>911452.5</v>
      </c>
      <c r="L49" s="23">
        <f>IF(L6=0,0,IF(L6&lt;=Inputs!$C$11,INDEX(Construction!$F$26:$W$26,L6),INDEX(Operations!$F$105:$AE$105,L6-Inputs!$C$11)-INDEX(Operations!$F$106:$AE$106,L6-Inputs!$C$11)+INDEX(Waterfall!$F$66:$AE$66,L6-Inputs!$C$11)))</f>
        <v>911452.5</v>
      </c>
      <c r="M49" s="23">
        <f>IF(M6=0,0,IF(M6&lt;=Inputs!$C$11,INDEX(Construction!$F$26:$W$26,M6),INDEX(Operations!$F$105:$AE$105,M6-Inputs!$C$11)-INDEX(Operations!$F$106:$AE$106,M6-Inputs!$C$11)+INDEX(Waterfall!$F$66:$AE$66,M6-Inputs!$C$11)))</f>
        <v>911452.5</v>
      </c>
      <c r="N49" s="23">
        <f>IF(N6=0,0,IF(N6&lt;=Inputs!$C$11,INDEX(Construction!$F$26:$W$26,N6),INDEX(Operations!$F$105:$AE$105,N6-Inputs!$C$11)-INDEX(Operations!$F$106:$AE$106,N6-Inputs!$C$11)+INDEX(Waterfall!$F$66:$AE$66,N6-Inputs!$C$11)))</f>
        <v>911452.5</v>
      </c>
      <c r="O49" s="23">
        <f>IF(O6=0,0,IF(O6&lt;=Inputs!$C$11,INDEX(Construction!$F$26:$W$26,O6),INDEX(Operations!$F$105:$AE$105,O6-Inputs!$C$11)-INDEX(Operations!$F$106:$AE$106,O6-Inputs!$C$11)+INDEX(Waterfall!$F$66:$AE$66,O6-Inputs!$C$11)))</f>
        <v>911452.5</v>
      </c>
      <c r="P49" s="23">
        <f>IF(P6=0,0,IF(P6&lt;=Inputs!$C$11,INDEX(Construction!$F$26:$W$26,P6),INDEX(Operations!$F$105:$AE$105,P6-Inputs!$C$11)-INDEX(Operations!$F$106:$AE$106,P6-Inputs!$C$11)+INDEX(Waterfall!$F$66:$AE$66,P6-Inputs!$C$11)))</f>
        <v>911452.5</v>
      </c>
      <c r="Q49" s="23">
        <f>IF(Q6=0,0,IF(Q6&lt;=Inputs!$C$11,INDEX(Construction!$F$26:$W$26,Q6),INDEX(Operations!$F$105:$AE$105,Q6-Inputs!$C$11)-INDEX(Operations!$F$106:$AE$106,Q6-Inputs!$C$11)+INDEX(Waterfall!$F$66:$AE$66,Q6-Inputs!$C$11)))</f>
        <v>911452.5</v>
      </c>
      <c r="R49" s="23">
        <f>IF(R6=0,0,IF(R6&lt;=Inputs!$C$11,INDEX(Construction!$F$26:$W$26,R6),INDEX(Operations!$F$105:$AE$105,R6-Inputs!$C$11)-INDEX(Operations!$F$106:$AE$106,R6-Inputs!$C$11)+INDEX(Waterfall!$F$66:$AE$66,R6-Inputs!$C$11)))</f>
        <v>911452.5</v>
      </c>
      <c r="S49" s="23">
        <f>IF(S6=0,0,IF(S6&lt;=Inputs!$C$11,INDEX(Construction!$F$26:$W$26,S6),INDEX(Operations!$F$105:$AE$105,S6-Inputs!$C$11)-INDEX(Operations!$F$106:$AE$106,S6-Inputs!$C$11)+INDEX(Waterfall!$F$66:$AE$66,S6-Inputs!$C$11)))</f>
        <v>554452.5</v>
      </c>
      <c r="T49" s="23">
        <f>IF(T6=0,0,IF(T6&lt;=Inputs!$C$11,INDEX(Construction!$F$26:$W$26,T6),INDEX(Operations!$F$105:$AE$105,T6-Inputs!$C$11)-INDEX(Operations!$F$106:$AE$106,T6-Inputs!$C$11)+INDEX(Waterfall!$F$66:$AE$66,T6-Inputs!$C$11)))</f>
        <v>554452.5</v>
      </c>
      <c r="U49" s="23">
        <f>IF(U6=0,0,IF(U6&lt;=Inputs!$C$11,INDEX(Construction!$F$26:$W$26,U6),INDEX(Operations!$F$105:$AE$105,U6-Inputs!$C$11)-INDEX(Operations!$F$106:$AE$106,U6-Inputs!$C$11)+INDEX(Waterfall!$F$66:$AE$66,U6-Inputs!$C$11)))</f>
        <v>9102502.499999998</v>
      </c>
      <c r="V49" s="23">
        <f>IF(V6=0,0,IF(V6&lt;=Inputs!$C$11,INDEX(Construction!$F$26:$W$26,V6),INDEX(Operations!$F$105:$AE$105,V6-Inputs!$C$11)-INDEX(Operations!$F$106:$AE$106,V6-Inputs!$C$11)+INDEX(Waterfall!$F$66:$AE$66,V6-Inputs!$C$11)))</f>
        <v>9102502.499999998</v>
      </c>
      <c r="W49" s="23">
        <f>IF(W6=0,0,IF(W6&lt;=Inputs!$C$11,INDEX(Construction!$F$26:$W$26,W6),INDEX(Operations!$F$105:$AE$105,W6-Inputs!$C$11)-INDEX(Operations!$F$106:$AE$106,W6-Inputs!$C$11)+INDEX(Waterfall!$F$66:$AE$66,W6-Inputs!$C$11)))</f>
        <v>9102502.499999998</v>
      </c>
      <c r="X49" s="23">
        <f>IF(X6=0,0,IF(X6&lt;=Inputs!$C$11,INDEX(Construction!$F$26:$W$26,X6),INDEX(Operations!$F$105:$AE$105,X6-Inputs!$C$11)-INDEX(Operations!$F$106:$AE$106,X6-Inputs!$C$11)+INDEX(Waterfall!$F$66:$AE$66,X6-Inputs!$C$11)))</f>
        <v>7881352.500000001</v>
      </c>
      <c r="Y49" s="23">
        <f>IF(Y6=0,0,IF(Y6&lt;=Inputs!$C$11,INDEX(Construction!$F$26:$W$26,Y6),INDEX(Operations!$F$105:$AE$105,Y6-Inputs!$C$11)-INDEX(Operations!$F$106:$AE$106,Y6-Inputs!$C$11)+INDEX(Waterfall!$F$66:$AE$66,Y6-Inputs!$C$11)))</f>
        <v>815437.1318500511</v>
      </c>
      <c r="Z49" s="23">
        <f>IF(Z6=0,0,IF(Z6&lt;=Inputs!$C$11,INDEX(Construction!$F$26:$W$26,Z6),INDEX(Operations!$F$105:$AE$105,Z6-Inputs!$C$11)-INDEX(Operations!$F$106:$AE$106,Z6-Inputs!$C$11)+INDEX(Waterfall!$F$66:$AE$66,Z6-Inputs!$C$11)))</f>
        <v>1557246.9828295098</v>
      </c>
      <c r="AA49" s="23">
        <f>IF(AA6=0,0,IF(AA6&lt;=Inputs!$C$11,INDEX(Construction!$F$26:$W$26,AA6),INDEX(Operations!$F$105:$AE$105,AA6-Inputs!$C$11)-INDEX(Operations!$F$106:$AE$106,AA6-Inputs!$C$11)+INDEX(Waterfall!$F$66:$AE$66,AA6-Inputs!$C$11)))</f>
        <v>1570247.5708514946</v>
      </c>
      <c r="AB49" s="23">
        <f>IF(AB6=0,0,IF(AB6&lt;=Inputs!$C$11,INDEX(Construction!$F$26:$W$26,AB6),INDEX(Operations!$F$105:$AE$105,AB6-Inputs!$C$11)-INDEX(Operations!$F$106:$AE$106,AB6-Inputs!$C$11)+INDEX(Waterfall!$F$66:$AE$66,AB6-Inputs!$C$11)))</f>
        <v>1597517.5079818515</v>
      </c>
      <c r="AC49" s="23">
        <f>IF(AC6=0,0,IF(AC6&lt;=Inputs!$C$11,INDEX(Construction!$F$26:$W$26,AC6),INDEX(Operations!$F$105:$AE$105,AC6-Inputs!$C$11)-INDEX(Operations!$F$106:$AE$106,AC6-Inputs!$C$11)+INDEX(Waterfall!$F$66:$AE$66,AC6-Inputs!$C$11)))</f>
        <v>1625318.3167808573</v>
      </c>
      <c r="AD49" s="23">
        <f>IF(AD6=0,0,IF(AD6&lt;=Inputs!$C$11,INDEX(Construction!$F$26:$W$26,AD6),INDEX(Operations!$F$105:$AE$105,AD6-Inputs!$C$11)-INDEX(Operations!$F$106:$AE$106,AD6-Inputs!$C$11)+INDEX(Waterfall!$F$66:$AE$66,AD6-Inputs!$C$11)))</f>
        <v>1653660.2414391718</v>
      </c>
      <c r="AE49" s="23">
        <f>IF(AE6=0,0,IF(AE6&lt;=Inputs!$C$11,INDEX(Construction!$F$26:$W$26,AE6),INDEX(Operations!$F$105:$AE$105,AE6-Inputs!$C$11)-INDEX(Operations!$F$106:$AE$106,AE6-Inputs!$C$11)+INDEX(Waterfall!$F$66:$AE$66,AE6-Inputs!$C$11)))</f>
        <v>1682553.7245525008</v>
      </c>
      <c r="AF49" s="23">
        <f>IF(AF6=0,0,IF(AF6&lt;=Inputs!$C$11,INDEX(Construction!$F$26:$W$26,AF6),INDEX(Operations!$F$105:$AE$105,AF6-Inputs!$C$11)-INDEX(Operations!$F$106:$AE$106,AF6-Inputs!$C$11)+INDEX(Waterfall!$F$66:$AE$66,AF6-Inputs!$C$11)))</f>
        <v>1712009.4109728904</v>
      </c>
      <c r="AG49" s="23">
        <f>IF(AG6=0,0,IF(AG6&lt;=Inputs!$C$11,INDEX(Construction!$F$26:$W$26,AG6),INDEX(Operations!$F$105:$AE$105,AG6-Inputs!$C$11)-INDEX(Operations!$F$106:$AE$106,AG6-Inputs!$C$11)+INDEX(Waterfall!$F$66:$AE$66,AG6-Inputs!$C$11)))</f>
        <v>1742038.151734949</v>
      </c>
      <c r="AH49" s="23">
        <f>IF(AH6=0,0,IF(AH6&lt;=Inputs!$C$11,INDEX(Construction!$F$26:$W$26,AH6),INDEX(Operations!$F$105:$AE$105,AH6-Inputs!$C$11)-INDEX(Operations!$F$106:$AE$106,AH6-Inputs!$C$11)+INDEX(Waterfall!$F$66:$AE$66,AH6-Inputs!$C$11)))</f>
        <v>1772651.0080584586</v>
      </c>
      <c r="AI49" s="23">
        <f>IF(AI6=0,0,IF(AI6&lt;=Inputs!$C$11,INDEX(Construction!$F$26:$W$26,AI6),INDEX(Operations!$F$105:$AE$105,AI6-Inputs!$C$11)-INDEX(Operations!$F$106:$AE$106,AI6-Inputs!$C$11)+INDEX(Waterfall!$F$66:$AE$66,AI6-Inputs!$C$11)))</f>
        <v>1927908.329940248</v>
      </c>
      <c r="AJ49" s="23">
        <f>IF(AJ6=0,0,IF(AJ6&lt;=Inputs!$C$11,INDEX(Construction!$F$26:$W$26,AJ6),INDEX(Operations!$F$105:$AE$105,AJ6-Inputs!$C$11)-INDEX(Operations!$F$106:$AE$106,AJ6-Inputs!$C$11)+INDEX(Waterfall!$F$66:$AE$66,AJ6-Inputs!$C$11)))</f>
        <v>1962204.4437587766</v>
      </c>
      <c r="AK49" s="23">
        <f>IF(AK6=0,0,IF(AK6&lt;=Inputs!$C$11,INDEX(Construction!$F$26:$W$26,AK6),INDEX(Operations!$F$105:$AE$105,AK6-Inputs!$C$11)-INDEX(Operations!$F$106:$AE$106,AK6-Inputs!$C$11)+INDEX(Waterfall!$F$66:$AE$66,AK6-Inputs!$C$11)))</f>
        <v>1997168.778742392</v>
      </c>
      <c r="AL49" s="23">
        <f>IF(AL6=0,0,IF(AL6&lt;=Inputs!$C$11,INDEX(Construction!$F$26:$W$26,AL6),INDEX(Operations!$F$105:$AE$105,AL6-Inputs!$C$11)-INDEX(Operations!$F$106:$AE$106,AL6-Inputs!$C$11)+INDEX(Waterfall!$F$66:$AE$66,AL6-Inputs!$C$11)))</f>
        <v>2032814.2708508237</v>
      </c>
      <c r="AM49" s="23">
        <f>IF(AM6=0,0,IF(AM6&lt;=Inputs!$C$11,INDEX(Construction!$F$26:$W$26,AM6),INDEX(Operations!$F$105:$AE$105,AM6-Inputs!$C$11)-INDEX(Operations!$F$106:$AE$106,AM6-Inputs!$C$11)+INDEX(Waterfall!$F$66:$AE$66,AM6-Inputs!$C$11)))</f>
        <v>2069154.1072888935</v>
      </c>
      <c r="AN49" s="23">
        <f>IF(AN6=0,0,IF(AN6&lt;=Inputs!$C$11,INDEX(Construction!$F$26:$W$26,AN6),INDEX(Operations!$F$105:$AE$105,AN6-Inputs!$C$11)-INDEX(Operations!$F$106:$AE$106,AN6-Inputs!$C$11)+INDEX(Waterfall!$F$66:$AE$66,AN6-Inputs!$C$11)))</f>
        <v>2106201.7313967403</v>
      </c>
      <c r="AO49" s="23">
        <f>IF(AO6=0,0,IF(AO6&lt;=Inputs!$C$11,INDEX(Construction!$F$26:$W$26,AO6),INDEX(Operations!$F$105:$AE$105,AO6-Inputs!$C$11)-INDEX(Operations!$F$106:$AE$106,AO6-Inputs!$C$11)+INDEX(Waterfall!$F$66:$AE$66,AO6-Inputs!$C$11)))</f>
        <v>2143970.8476354303</v>
      </c>
      <c r="AP49" s="23">
        <f>IF(AP6=0,0,IF(AP6&lt;=Inputs!$C$11,INDEX(Construction!$F$26:$W$26,AP6),INDEX(Operations!$F$105:$AE$105,AP6-Inputs!$C$11)-INDEX(Operations!$F$106:$AE$106,AP6-Inputs!$C$11)+INDEX(Waterfall!$F$66:$AE$66,AP6-Inputs!$C$11)))</f>
        <v>2182475.4266698207</v>
      </c>
      <c r="AQ49" s="23">
        <f>IF(AQ6=0,0,IF(AQ6&lt;=Inputs!$C$11,INDEX(Construction!$F$26:$W$26,AQ6),INDEX(Operations!$F$105:$AE$105,AQ6-Inputs!$C$11)-INDEX(Operations!$F$106:$AE$106,AQ6-Inputs!$C$11)+INDEX(Waterfall!$F$66:$AE$66,AQ6-Inputs!$C$11)))</f>
        <v>2221729.710550574</v>
      </c>
      <c r="AR49" s="23">
        <f>IF(AR6=0,0,IF(AR6&lt;=Inputs!$C$11,INDEX(Construction!$F$26:$W$26,AR6),INDEX(Operations!$F$105:$AE$105,AR6-Inputs!$C$11)-INDEX(Operations!$F$106:$AE$106,AR6-Inputs!$C$11)+INDEX(Waterfall!$F$66:$AE$66,AR6-Inputs!$C$11)))</f>
        <v>2261748.217997259</v>
      </c>
      <c r="AS49" s="23">
        <f>IF(AS6=0,0,IF(AS6&lt;=Inputs!$C$11,INDEX(Construction!$F$26:$W$26,AS6),INDEX(Operations!$F$105:$AE$105,AS6-Inputs!$C$11)-INDEX(Operations!$F$106:$AE$106,AS6-Inputs!$C$11)+INDEX(Waterfall!$F$66:$AE$66,AS6-Inputs!$C$11)))</f>
        <v>2383193.81892313</v>
      </c>
      <c r="AT49" s="23">
        <f>IF(AT6=0,0,IF(AT6&lt;=Inputs!$C$11,INDEX(Construction!$F$26:$W$26,AT6),INDEX(Operations!$F$105:$AE$105,AT6-Inputs!$C$11)-INDEX(Operations!$F$106:$AE$106,AT6-Inputs!$C$11)+INDEX(Waterfall!$F$66:$AE$66,AT6-Inputs!$C$11)))</f>
        <v>2426398.4247547174</v>
      </c>
      <c r="AU49" s="23">
        <f>IF(AU6=0,0,IF(AU6&lt;=Inputs!$C$11,INDEX(Construction!$F$26:$W$26,AU6),INDEX(Operations!$F$105:$AE$105,AU6-Inputs!$C$11)-INDEX(Operations!$F$106:$AE$106,AU6-Inputs!$C$11)+INDEX(Waterfall!$F$66:$AE$66,AU6-Inputs!$C$11)))</f>
        <v>2470444.7839411967</v>
      </c>
      <c r="AV49" s="23">
        <f>IF(AV6=0,0,IF(AV6&lt;=Inputs!$C$11,INDEX(Construction!$F$26:$W$26,AV6),INDEX(Operations!$F$105:$AE$105,AV6-Inputs!$C$11)-INDEX(Operations!$F$106:$AE$106,AV6-Inputs!$C$11)+INDEX(Waterfall!$F$66:$AE$66,AV6-Inputs!$C$11)))</f>
        <v>2515349.221985131</v>
      </c>
      <c r="AW49" s="23">
        <f>IF(AW6=0,0,IF(AW6&lt;=Inputs!$C$11,INDEX(Construction!$F$26:$W$26,AW6),INDEX(Operations!$F$105:$AE$105,AW6-Inputs!$C$11)-INDEX(Operations!$F$106:$AE$106,AW6-Inputs!$C$11)+INDEX(Waterfall!$F$66:$AE$66,AW6-Inputs!$C$11)))</f>
        <v>2561128.3819640754</v>
      </c>
      <c r="AX49" s="23">
        <f>IF(AX6=0,0,IF(AX6&lt;=Inputs!$C$11,INDEX(Construction!$F$26:$W$26,AX6),INDEX(Operations!$F$105:$AE$105,AX6-Inputs!$C$11)-INDEX(Operations!$F$106:$AE$106,AX6-Inputs!$C$11)+INDEX(Waterfall!$F$66:$AE$66,AX6-Inputs!$C$11)))</f>
        <v>3997324.5464299326</v>
      </c>
    </row>
    <row r="50">
      <c r="A50" s="6" t="inlineStr">
        <is>
          <t xml:space="preserve">LCOE output: output sold</t>
        </is>
      </c>
      <c r="B50" s="10" t="inlineStr">
        <is>
          <t xml:space="preserve">kWh</t>
        </is>
      </c>
      <c r="F50" s="23">
        <f>IF(F6=0,0,IF(F6&lt;=Inputs!$C$11,0,INDEX(Operations!$F$75:$AE$75,F6-Inputs!$C$11)))</f>
        <v>0</v>
      </c>
      <c r="G50" s="23">
        <f>IF(G6=0,0,IF(G6&lt;=Inputs!$C$11,0,INDEX(Operations!$F$75:$AE$75,G6-Inputs!$C$11)))</f>
        <v>0</v>
      </c>
      <c r="H50" s="23">
        <f>IF(H6=0,0,IF(H6&lt;=Inputs!$C$11,0,INDEX(Operations!$F$75:$AE$75,H6-Inputs!$C$11)))</f>
        <v>0</v>
      </c>
      <c r="I50" s="23">
        <f>IF(I6=0,0,IF(I6&lt;=Inputs!$C$11,0,INDEX(Operations!$F$75:$AE$75,I6-Inputs!$C$11)))</f>
        <v>0</v>
      </c>
      <c r="J50" s="23">
        <f>IF(J6=0,0,IF(J6&lt;=Inputs!$C$11,0,INDEX(Operations!$F$75:$AE$75,J6-Inputs!$C$11)))</f>
        <v>0</v>
      </c>
      <c r="K50" s="23">
        <f>IF(K6=0,0,IF(K6&lt;=Inputs!$C$11,0,INDEX(Operations!$F$75:$AE$75,K6-Inputs!$C$11)))</f>
        <v>0</v>
      </c>
      <c r="L50" s="23">
        <f>IF(L6=0,0,IF(L6&lt;=Inputs!$C$11,0,INDEX(Operations!$F$75:$AE$75,L6-Inputs!$C$11)))</f>
        <v>0</v>
      </c>
      <c r="M50" s="23">
        <f>IF(M6=0,0,IF(M6&lt;=Inputs!$C$11,0,INDEX(Operations!$F$75:$AE$75,M6-Inputs!$C$11)))</f>
        <v>0</v>
      </c>
      <c r="N50" s="23">
        <f>IF(N6=0,0,IF(N6&lt;=Inputs!$C$11,0,INDEX(Operations!$F$75:$AE$75,N6-Inputs!$C$11)))</f>
        <v>0</v>
      </c>
      <c r="O50" s="23">
        <f>IF(O6=0,0,IF(O6&lt;=Inputs!$C$11,0,INDEX(Operations!$F$75:$AE$75,O6-Inputs!$C$11)))</f>
        <v>0</v>
      </c>
      <c r="P50" s="23">
        <f>IF(P6=0,0,IF(P6&lt;=Inputs!$C$11,0,INDEX(Operations!$F$75:$AE$75,P6-Inputs!$C$11)))</f>
        <v>0</v>
      </c>
      <c r="Q50" s="23">
        <f>IF(Q6=0,0,IF(Q6&lt;=Inputs!$C$11,0,INDEX(Operations!$F$75:$AE$75,Q6-Inputs!$C$11)))</f>
        <v>0</v>
      </c>
      <c r="R50" s="23">
        <f>IF(R6=0,0,IF(R6&lt;=Inputs!$C$11,0,INDEX(Operations!$F$75:$AE$75,R6-Inputs!$C$11)))</f>
        <v>0</v>
      </c>
      <c r="S50" s="23">
        <f>IF(S6=0,0,IF(S6&lt;=Inputs!$C$11,0,INDEX(Operations!$F$75:$AE$75,S6-Inputs!$C$11)))</f>
        <v>0</v>
      </c>
      <c r="T50" s="23">
        <f>IF(T6=0,0,IF(T6&lt;=Inputs!$C$11,0,INDEX(Operations!$F$75:$AE$75,T6-Inputs!$C$11)))</f>
        <v>0</v>
      </c>
      <c r="U50" s="23">
        <f>IF(U6=0,0,IF(U6&lt;=Inputs!$C$11,0,INDEX(Operations!$F$75:$AE$75,U6-Inputs!$C$11)))</f>
        <v>0</v>
      </c>
      <c r="V50" s="23">
        <f>IF(V6=0,0,IF(V6&lt;=Inputs!$C$11,0,INDEX(Operations!$F$75:$AE$75,V6-Inputs!$C$11)))</f>
        <v>0</v>
      </c>
      <c r="W50" s="23">
        <f>IF(W6=0,0,IF(W6&lt;=Inputs!$C$11,0,INDEX(Operations!$F$75:$AE$75,W6-Inputs!$C$11)))</f>
        <v>0</v>
      </c>
      <c r="X50" s="23">
        <f>IF(X6=0,0,IF(X6&lt;=Inputs!$C$11,0,INDEX(Operations!$F$75:$AE$75,X6-Inputs!$C$11)))</f>
        <v>0</v>
      </c>
      <c r="Y50" s="23">
        <f>IF(Y6=0,0,IF(Y6&lt;=Inputs!$C$11,0,INDEX(Operations!$F$75:$AE$75,Y6-Inputs!$C$11)))</f>
        <v>30667389.25404766</v>
      </c>
      <c r="Z50" s="23">
        <f>IF(Z6=0,0,IF(Z6&lt;=Inputs!$C$11,0,INDEX(Operations!$F$75:$AE$75,Z6-Inputs!$C$11)))</f>
        <v>60879434.44591022</v>
      </c>
      <c r="AA50" s="23">
        <f>IF(AA6=0,0,IF(AA6&lt;=Inputs!$C$11,0,INDEX(Operations!$F$75:$AE$75,AA6-Inputs!$C$11)))</f>
        <v>60757675.5770184</v>
      </c>
      <c r="AB50" s="23">
        <f>IF(AB6=0,0,IF(AB6&lt;=Inputs!$C$11,0,INDEX(Operations!$F$75:$AE$75,AB6-Inputs!$C$11)))</f>
        <v>60636160.22586437</v>
      </c>
      <c r="AC50" s="23">
        <f>IF(AC6=0,0,IF(AC6&lt;=Inputs!$C$11,0,INDEX(Operations!$F$75:$AE$75,AC6-Inputs!$C$11)))</f>
        <v>60514887.90541263</v>
      </c>
      <c r="AD50" s="23">
        <f>IF(AD6=0,0,IF(AD6&lt;=Inputs!$C$11,0,INDEX(Operations!$F$75:$AE$75,AD6-Inputs!$C$11)))</f>
        <v>60393858.129601814</v>
      </c>
      <c r="AE50" s="23">
        <f>IF(AE6=0,0,IF(AE6&lt;=Inputs!$C$11,0,INDEX(Operations!$F$75:$AE$75,AE6-Inputs!$C$11)))</f>
        <v>60273070.41334261</v>
      </c>
      <c r="AF50" s="23">
        <f>IF(AF6=0,0,IF(AF6&lt;=Inputs!$C$11,0,INDEX(Operations!$F$75:$AE$75,AF6-Inputs!$C$11)))</f>
        <v>60152524.27251592</v>
      </c>
      <c r="AG50" s="23">
        <f>IF(AG6=0,0,IF(AG6&lt;=Inputs!$C$11,0,INDEX(Operations!$F$75:$AE$75,AG6-Inputs!$C$11)))</f>
        <v>60032219.22397088</v>
      </c>
      <c r="AH50" s="23">
        <f>IF(AH6=0,0,IF(AH6&lt;=Inputs!$C$11,0,INDEX(Operations!$F$75:$AE$75,AH6-Inputs!$C$11)))</f>
        <v>59912154.78552295</v>
      </c>
      <c r="AI50" s="23">
        <f>IF(AI6=0,0,IF(AI6&lt;=Inputs!$C$11,0,INDEX(Operations!$F$75:$AE$75,AI6-Inputs!$C$11)))</f>
        <v>59792330.475951895</v>
      </c>
      <c r="AJ50" s="23">
        <f>IF(AJ6=0,0,IF(AJ6&lt;=Inputs!$C$11,0,INDEX(Operations!$F$75:$AE$75,AJ6-Inputs!$C$11)))</f>
        <v>59672745.815</v>
      </c>
      <c r="AK50" s="23">
        <f>IF(AK6=0,0,IF(AK6&lt;=Inputs!$C$11,0,INDEX(Operations!$F$75:$AE$75,AK6-Inputs!$C$11)))</f>
        <v>59553400.323369995</v>
      </c>
      <c r="AL50" s="23">
        <f>IF(AL6=0,0,IF(AL6&lt;=Inputs!$C$11,0,INDEX(Operations!$F$75:$AE$75,AL6-Inputs!$C$11)))</f>
        <v>59434293.52272327</v>
      </c>
      <c r="AM50" s="23">
        <f>IF(AM6=0,0,IF(AM6&lt;=Inputs!$C$11,0,INDEX(Operations!$F$75:$AE$75,AM6-Inputs!$C$11)))</f>
        <v>59315424.93567781</v>
      </c>
      <c r="AN50" s="23">
        <f>IF(AN6=0,0,IF(AN6&lt;=Inputs!$C$11,0,INDEX(Operations!$F$75:$AE$75,AN6-Inputs!$C$11)))</f>
        <v>59196794.08580646</v>
      </c>
      <c r="AO50" s="23">
        <f>IF(AO6=0,0,IF(AO6&lt;=Inputs!$C$11,0,INDEX(Operations!$F$75:$AE$75,AO6-Inputs!$C$11)))</f>
        <v>59078400.497634836</v>
      </c>
      <c r="AP50" s="23">
        <f>IF(AP6=0,0,IF(AP6&lt;=Inputs!$C$11,0,INDEX(Operations!$F$75:$AE$75,AP6-Inputs!$C$11)))</f>
        <v>58960243.69663957</v>
      </c>
      <c r="AQ50" s="23">
        <f>IF(AQ6=0,0,IF(AQ6&lt;=Inputs!$C$11,0,INDEX(Operations!$F$75:$AE$75,AQ6-Inputs!$C$11)))</f>
        <v>58842323.20924629</v>
      </c>
      <c r="AR50" s="23">
        <f>IF(AR6=0,0,IF(AR6&lt;=Inputs!$C$11,0,INDEX(Operations!$F$75:$AE$75,AR6-Inputs!$C$11)))</f>
        <v>58724638.562827796</v>
      </c>
      <c r="AS50" s="23">
        <f>IF(AS6=0,0,IF(AS6&lt;=Inputs!$C$11,0,INDEX(Operations!$F$75:$AE$75,AS6-Inputs!$C$11)))</f>
        <v>58607189.28570215</v>
      </c>
      <c r="AT50" s="23">
        <f>IF(AT6=0,0,IF(AT6&lt;=Inputs!$C$11,0,INDEX(Operations!$F$75:$AE$75,AT6-Inputs!$C$11)))</f>
        <v>58489974.90713074</v>
      </c>
      <c r="AU50" s="23">
        <f>IF(AU6=0,0,IF(AU6&lt;=Inputs!$C$11,0,INDEX(Operations!$F$75:$AE$75,AU6-Inputs!$C$11)))</f>
        <v>58372994.95731648</v>
      </c>
      <c r="AV50" s="23">
        <f>IF(AV6=0,0,IF(AV6&lt;=Inputs!$C$11,0,INDEX(Operations!$F$75:$AE$75,AV6-Inputs!$C$11)))</f>
        <v>58256248.967401855</v>
      </c>
      <c r="AW50" s="23">
        <f>IF(AW6=0,0,IF(AW6&lt;=Inputs!$C$11,0,INDEX(Operations!$F$75:$AE$75,AW6-Inputs!$C$11)))</f>
        <v>58139736.469467044</v>
      </c>
      <c r="AX50" s="23">
        <f>IF(AX6=0,0,IF(AX6&lt;=Inputs!$C$11,0,INDEX(Operations!$F$75:$AE$75,AX6-Inputs!$C$11)))</f>
        <v>28773275.93526463</v>
      </c>
    </row>
    <row r="51">
      <c r="A51" s="6" t="inlineStr">
        <is>
          <t xml:space="preserve">Owners' cash flow to date</t>
        </is>
      </c>
      <c r="B51" s="10" t="inlineStr">
        <is>
          <t xml:space="preserve">€</t>
        </is>
      </c>
      <c r="E51" s="9">
        <v>0</v>
      </c>
      <c r="F51" s="23">
        <f>E51+F46</f>
        <v>0</v>
      </c>
      <c r="G51" s="23">
        <f>F51+G46</f>
        <v>-7184870.502484033</v>
      </c>
      <c r="H51" s="23">
        <f>G51+H46</f>
        <v>-7797284.725949356</v>
      </c>
      <c r="I51" s="23">
        <f>H51+I46</f>
        <v>-8411232.317751419</v>
      </c>
      <c r="J51" s="23">
        <f>I51+J46</f>
        <v>-9019794.583184414</v>
      </c>
      <c r="K51" s="23">
        <f>J51+K46</f>
        <v>-9629300.789878864</v>
      </c>
      <c r="L51" s="23">
        <f>K51+L46</f>
        <v>-10239752.401982576</v>
      </c>
      <c r="M51" s="23">
        <f>L51+M46</f>
        <v>-10865988.314416941</v>
      </c>
      <c r="N51" s="23">
        <f>M51+N46</f>
        <v>-11492868.770733654</v>
      </c>
      <c r="O51" s="23">
        <f>N51+O46</f>
        <v>-12120394.434319802</v>
      </c>
      <c r="P51" s="23">
        <f>O51+P46</f>
        <v>-12748565.96924525</v>
      </c>
      <c r="Q51" s="23">
        <f>P51+Q46</f>
        <v>-13377384.040263345</v>
      </c>
      <c r="R51" s="23">
        <f>Q51+R46</f>
        <v>-14006849.312811628</v>
      </c>
      <c r="S51" s="23">
        <f>R51+S46</f>
        <v>-14404166.466730492</v>
      </c>
      <c r="T51" s="23">
        <f>S51+T46</f>
        <v>-14801664.025286937</v>
      </c>
      <c r="U51" s="23">
        <f>T51+U46</f>
        <v>-20773436.657459844</v>
      </c>
      <c r="V51" s="23">
        <f>U51+V46</f>
        <v>-26756827.549436238</v>
      </c>
      <c r="W51" s="23">
        <f>V51+W46</f>
        <v>-32751848.659135062</v>
      </c>
      <c r="X51" s="23">
        <f>W51+X46</f>
        <v>-38671265.02302264</v>
      </c>
      <c r="Y51" s="23">
        <f>X51+Y46</f>
        <v>-37403322.14663427</v>
      </c>
      <c r="Z51" s="23">
        <f>Y51+Z46</f>
        <v>-35754873.05784863</v>
      </c>
      <c r="AA51" s="23">
        <f>Z51+AA46</f>
        <v>-35418743.301285796</v>
      </c>
      <c r="AB51" s="23">
        <f>AA51+AB46</f>
        <v>-34981323.460805506</v>
      </c>
      <c r="AC51" s="23">
        <f>AB51+AC46</f>
        <v>-34429526.26410708</v>
      </c>
      <c r="AD51" s="23">
        <f>AC51+AD46</f>
        <v>-33765439.71375526</v>
      </c>
      <c r="AE51" s="23">
        <f>AD51+AE46</f>
        <v>-32985304.0905552</v>
      </c>
      <c r="AF51" s="23">
        <f>AE51+AF46</f>
        <v>-32089234.315703973</v>
      </c>
      <c r="AG51" s="23">
        <f>AF51+AG46</f>
        <v>-31075314.394614633</v>
      </c>
      <c r="AH51" s="23">
        <f>AG51+AH46</f>
        <v>-29945789.487699173</v>
      </c>
      <c r="AI51" s="23">
        <f>AH51+AI46</f>
        <v>-28820674.61641089</v>
      </c>
      <c r="AJ51" s="23">
        <f>AI51+AJ46</f>
        <v>-27578528.28176222</v>
      </c>
      <c r="AK51" s="23">
        <f>AJ51+AK46</f>
        <v>-26217345.967547707</v>
      </c>
      <c r="AL51" s="23">
        <f>AK51+AL46</f>
        <v>-24739592.458604407</v>
      </c>
      <c r="AM51" s="23">
        <f>AL51+AM46</f>
        <v>-23140991.00844811</v>
      </c>
      <c r="AN51" s="23">
        <f>AM51+AN46</f>
        <v>-21421733.66900417</v>
      </c>
      <c r="AO51" s="23">
        <f>AN51+AO46</f>
        <v>-19585495.95063256</v>
      </c>
      <c r="AP51" s="23">
        <f>AO51+AP46</f>
        <v>-17736302.573152207</v>
      </c>
      <c r="AQ51" s="23">
        <f>AP51+AQ46</f>
        <v>-15470287.80070411</v>
      </c>
      <c r="AR51" s="23">
        <f>AQ51+AR46</f>
        <v>-12208185.878509881</v>
      </c>
      <c r="AS51" s="23">
        <f>AR51+AS46</f>
        <v>-9413447.301604291</v>
      </c>
      <c r="AT51" s="23">
        <f>AS51+AT46</f>
        <v>-6563621.3562573455</v>
      </c>
      <c r="AU51" s="23">
        <f>AT51+AU46</f>
        <v>-3653747.911708255</v>
      </c>
      <c r="AV51" s="23">
        <f>AU51+AV46</f>
        <v>-684034.3810495455</v>
      </c>
      <c r="AW51" s="23">
        <f>AV51+AW46</f>
        <v>2351887.727704964</v>
      </c>
      <c r="AX51" s="23">
        <f>AW51+AX46</f>
        <v>4085484.3449281063</v>
      </c>
    </row>
    <row r="52">
      <c r="A52" s="6" t="inlineStr">
        <is>
          <t xml:space="preserve">Turns non-negative here (1 = yes)</t>
        </is>
      </c>
      <c r="F52" s="23">
        <f>IF(AND(E51&lt;0,F51&gt;=0,F46&gt;0),1,0)</f>
        <v>0</v>
      </c>
      <c r="G52" s="23">
        <f>IF(AND(F51&lt;0,G51&gt;=0,G46&gt;0),1,0)</f>
        <v>0</v>
      </c>
      <c r="H52" s="23">
        <f>IF(AND(G51&lt;0,H51&gt;=0,H46&gt;0),1,0)</f>
        <v>0</v>
      </c>
      <c r="I52" s="23">
        <f>IF(AND(H51&lt;0,I51&gt;=0,I46&gt;0),1,0)</f>
        <v>0</v>
      </c>
      <c r="J52" s="23">
        <f>IF(AND(I51&lt;0,J51&gt;=0,J46&gt;0),1,0)</f>
        <v>0</v>
      </c>
      <c r="K52" s="23">
        <f>IF(AND(J51&lt;0,K51&gt;=0,K46&gt;0),1,0)</f>
        <v>0</v>
      </c>
      <c r="L52" s="23">
        <f>IF(AND(K51&lt;0,L51&gt;=0,L46&gt;0),1,0)</f>
        <v>0</v>
      </c>
      <c r="M52" s="23">
        <f>IF(AND(L51&lt;0,M51&gt;=0,M46&gt;0),1,0)</f>
        <v>0</v>
      </c>
      <c r="N52" s="23">
        <f>IF(AND(M51&lt;0,N51&gt;=0,N46&gt;0),1,0)</f>
        <v>0</v>
      </c>
      <c r="O52" s="23">
        <f>IF(AND(N51&lt;0,O51&gt;=0,O46&gt;0),1,0)</f>
        <v>0</v>
      </c>
      <c r="P52" s="23">
        <f>IF(AND(O51&lt;0,P51&gt;=0,P46&gt;0),1,0)</f>
        <v>0</v>
      </c>
      <c r="Q52" s="23">
        <f>IF(AND(P51&lt;0,Q51&gt;=0,Q46&gt;0),1,0)</f>
        <v>0</v>
      </c>
      <c r="R52" s="23">
        <f>IF(AND(Q51&lt;0,R51&gt;=0,R46&gt;0),1,0)</f>
        <v>0</v>
      </c>
      <c r="S52" s="23">
        <f>IF(AND(R51&lt;0,S51&gt;=0,S46&gt;0),1,0)</f>
        <v>0</v>
      </c>
      <c r="T52" s="23">
        <f>IF(AND(S51&lt;0,T51&gt;=0,T46&gt;0),1,0)</f>
        <v>0</v>
      </c>
      <c r="U52" s="23">
        <f>IF(AND(T51&lt;0,U51&gt;=0,U46&gt;0),1,0)</f>
        <v>0</v>
      </c>
      <c r="V52" s="23">
        <f>IF(AND(U51&lt;0,V51&gt;=0,V46&gt;0),1,0)</f>
        <v>0</v>
      </c>
      <c r="W52" s="23">
        <f>IF(AND(V51&lt;0,W51&gt;=0,W46&gt;0),1,0)</f>
        <v>0</v>
      </c>
      <c r="X52" s="23">
        <f>IF(AND(W51&lt;0,X51&gt;=0,X46&gt;0),1,0)</f>
        <v>0</v>
      </c>
      <c r="Y52" s="23">
        <f>IF(AND(X51&lt;0,Y51&gt;=0,Y46&gt;0),1,0)</f>
        <v>0</v>
      </c>
      <c r="Z52" s="23">
        <f>IF(AND(Y51&lt;0,Z51&gt;=0,Z46&gt;0),1,0)</f>
        <v>0</v>
      </c>
      <c r="AA52" s="23">
        <f>IF(AND(Z51&lt;0,AA51&gt;=0,AA46&gt;0),1,0)</f>
        <v>0</v>
      </c>
      <c r="AB52" s="23">
        <f>IF(AND(AA51&lt;0,AB51&gt;=0,AB46&gt;0),1,0)</f>
        <v>0</v>
      </c>
      <c r="AC52" s="23">
        <f>IF(AND(AB51&lt;0,AC51&gt;=0,AC46&gt;0),1,0)</f>
        <v>0</v>
      </c>
      <c r="AD52" s="23">
        <f>IF(AND(AC51&lt;0,AD51&gt;=0,AD46&gt;0),1,0)</f>
        <v>0</v>
      </c>
      <c r="AE52" s="23">
        <f>IF(AND(AD51&lt;0,AE51&gt;=0,AE46&gt;0),1,0)</f>
        <v>0</v>
      </c>
      <c r="AF52" s="23">
        <f>IF(AND(AE51&lt;0,AF51&gt;=0,AF46&gt;0),1,0)</f>
        <v>0</v>
      </c>
      <c r="AG52" s="23">
        <f>IF(AND(AF51&lt;0,AG51&gt;=0,AG46&gt;0),1,0)</f>
        <v>0</v>
      </c>
      <c r="AH52" s="23">
        <f>IF(AND(AG51&lt;0,AH51&gt;=0,AH46&gt;0),1,0)</f>
        <v>0</v>
      </c>
      <c r="AI52" s="23">
        <f>IF(AND(AH51&lt;0,AI51&gt;=0,AI46&gt;0),1,0)</f>
        <v>0</v>
      </c>
      <c r="AJ52" s="23">
        <f>IF(AND(AI51&lt;0,AJ51&gt;=0,AJ46&gt;0),1,0)</f>
        <v>0</v>
      </c>
      <c r="AK52" s="23">
        <f>IF(AND(AJ51&lt;0,AK51&gt;=0,AK46&gt;0),1,0)</f>
        <v>0</v>
      </c>
      <c r="AL52" s="23">
        <f>IF(AND(AK51&lt;0,AL51&gt;=0,AL46&gt;0),1,0)</f>
        <v>0</v>
      </c>
      <c r="AM52" s="23">
        <f>IF(AND(AL51&lt;0,AM51&gt;=0,AM46&gt;0),1,0)</f>
        <v>0</v>
      </c>
      <c r="AN52" s="23">
        <f>IF(AND(AM51&lt;0,AN51&gt;=0,AN46&gt;0),1,0)</f>
        <v>0</v>
      </c>
      <c r="AO52" s="23">
        <f>IF(AND(AN51&lt;0,AO51&gt;=0,AO46&gt;0),1,0)</f>
        <v>0</v>
      </c>
      <c r="AP52" s="23">
        <f>IF(AND(AO51&lt;0,AP51&gt;=0,AP46&gt;0),1,0)</f>
        <v>0</v>
      </c>
      <c r="AQ52" s="23">
        <f>IF(AND(AP51&lt;0,AQ51&gt;=0,AQ46&gt;0),1,0)</f>
        <v>0</v>
      </c>
      <c r="AR52" s="23">
        <f>IF(AND(AQ51&lt;0,AR51&gt;=0,AR46&gt;0),1,0)</f>
        <v>0</v>
      </c>
      <c r="AS52" s="23">
        <f>IF(AND(AR51&lt;0,AS51&gt;=0,AS46&gt;0),1,0)</f>
        <v>0</v>
      </c>
      <c r="AT52" s="23">
        <f>IF(AND(AS51&lt;0,AT51&gt;=0,AT46&gt;0),1,0)</f>
        <v>0</v>
      </c>
      <c r="AU52" s="23">
        <f>IF(AND(AT51&lt;0,AU51&gt;=0,AU46&gt;0),1,0)</f>
        <v>0</v>
      </c>
      <c r="AV52" s="23">
        <f>IF(AND(AU51&lt;0,AV51&gt;=0,AV46&gt;0),1,0)</f>
        <v>0</v>
      </c>
      <c r="AW52" s="23">
        <f>IF(AND(AV51&lt;0,AW51&gt;=0,AW46&gt;0),1,0)</f>
        <v>1</v>
      </c>
      <c r="AX52" s="23">
        <f>IF(AND(AW51&lt;0,AX51&gt;=0,AX46&gt;0),1,0)</f>
        <v>0</v>
      </c>
    </row>
    <row r="53">
      <c r="A53" s="6" t="inlineStr">
        <is>
          <t xml:space="preserve">Crossings to date</t>
        </is>
      </c>
      <c r="E53" s="9">
        <v>0</v>
      </c>
      <c r="F53" s="23">
        <f>E53+F52</f>
        <v>0</v>
      </c>
      <c r="G53" s="23">
        <f>F53+G52</f>
        <v>0</v>
      </c>
      <c r="H53" s="23">
        <f>G53+H52</f>
        <v>0</v>
      </c>
      <c r="I53" s="23">
        <f>H53+I52</f>
        <v>0</v>
      </c>
      <c r="J53" s="23">
        <f>I53+J52</f>
        <v>0</v>
      </c>
      <c r="K53" s="23">
        <f>J53+K52</f>
        <v>0</v>
      </c>
      <c r="L53" s="23">
        <f>K53+L52</f>
        <v>0</v>
      </c>
      <c r="M53" s="23">
        <f>L53+M52</f>
        <v>0</v>
      </c>
      <c r="N53" s="23">
        <f>M53+N52</f>
        <v>0</v>
      </c>
      <c r="O53" s="23">
        <f>N53+O52</f>
        <v>0</v>
      </c>
      <c r="P53" s="23">
        <f>O53+P52</f>
        <v>0</v>
      </c>
      <c r="Q53" s="23">
        <f>P53+Q52</f>
        <v>0</v>
      </c>
      <c r="R53" s="23">
        <f>Q53+R52</f>
        <v>0</v>
      </c>
      <c r="S53" s="23">
        <f>R53+S52</f>
        <v>0</v>
      </c>
      <c r="T53" s="23">
        <f>S53+T52</f>
        <v>0</v>
      </c>
      <c r="U53" s="23">
        <f>T53+U52</f>
        <v>0</v>
      </c>
      <c r="V53" s="23">
        <f>U53+V52</f>
        <v>0</v>
      </c>
      <c r="W53" s="23">
        <f>V53+W52</f>
        <v>0</v>
      </c>
      <c r="X53" s="23">
        <f>W53+X52</f>
        <v>0</v>
      </c>
      <c r="Y53" s="23">
        <f>X53+Y52</f>
        <v>0</v>
      </c>
      <c r="Z53" s="23">
        <f>Y53+Z52</f>
        <v>0</v>
      </c>
      <c r="AA53" s="23">
        <f>Z53+AA52</f>
        <v>0</v>
      </c>
      <c r="AB53" s="23">
        <f>AA53+AB52</f>
        <v>0</v>
      </c>
      <c r="AC53" s="23">
        <f>AB53+AC52</f>
        <v>0</v>
      </c>
      <c r="AD53" s="23">
        <f>AC53+AD52</f>
        <v>0</v>
      </c>
      <c r="AE53" s="23">
        <f>AD53+AE52</f>
        <v>0</v>
      </c>
      <c r="AF53" s="23">
        <f>AE53+AF52</f>
        <v>0</v>
      </c>
      <c r="AG53" s="23">
        <f>AF53+AG52</f>
        <v>0</v>
      </c>
      <c r="AH53" s="23">
        <f>AG53+AH52</f>
        <v>0</v>
      </c>
      <c r="AI53" s="23">
        <f>AH53+AI52</f>
        <v>0</v>
      </c>
      <c r="AJ53" s="23">
        <f>AI53+AJ52</f>
        <v>0</v>
      </c>
      <c r="AK53" s="23">
        <f>AJ53+AK52</f>
        <v>0</v>
      </c>
      <c r="AL53" s="23">
        <f>AK53+AL52</f>
        <v>0</v>
      </c>
      <c r="AM53" s="23">
        <f>AL53+AM52</f>
        <v>0</v>
      </c>
      <c r="AN53" s="23">
        <f>AM53+AN52</f>
        <v>0</v>
      </c>
      <c r="AO53" s="23">
        <f>AN53+AO52</f>
        <v>0</v>
      </c>
      <c r="AP53" s="23">
        <f>AO53+AP52</f>
        <v>0</v>
      </c>
      <c r="AQ53" s="23">
        <f>AP53+AQ52</f>
        <v>0</v>
      </c>
      <c r="AR53" s="23">
        <f>AQ53+AR52</f>
        <v>0</v>
      </c>
      <c r="AS53" s="23">
        <f>AR53+AS52</f>
        <v>0</v>
      </c>
      <c r="AT53" s="23">
        <f>AS53+AT52</f>
        <v>0</v>
      </c>
      <c r="AU53" s="23">
        <f>AT53+AU52</f>
        <v>0</v>
      </c>
      <c r="AV53" s="23">
        <f>AU53+AV52</f>
        <v>0</v>
      </c>
      <c r="AW53" s="23">
        <f>AV53+AW52</f>
        <v>1</v>
      </c>
      <c r="AX53" s="23">
        <f>AW53+AX52</f>
        <v>1</v>
      </c>
    </row>
    <row r="54">
      <c r="A54" s="6" t="inlineStr">
        <is>
          <t xml:space="preserve">First crossing (1 = yes)</t>
        </is>
      </c>
      <c r="F54" s="23">
        <f>IF(AND(F52=1,E53=0),1,0)</f>
        <v>0</v>
      </c>
      <c r="G54" s="23">
        <f>IF(AND(G52=1,F53=0),1,0)</f>
        <v>0</v>
      </c>
      <c r="H54" s="23">
        <f>IF(AND(H52=1,G53=0),1,0)</f>
        <v>0</v>
      </c>
      <c r="I54" s="23">
        <f>IF(AND(I52=1,H53=0),1,0)</f>
        <v>0</v>
      </c>
      <c r="J54" s="23">
        <f>IF(AND(J52=1,I53=0),1,0)</f>
        <v>0</v>
      </c>
      <c r="K54" s="23">
        <f>IF(AND(K52=1,J53=0),1,0)</f>
        <v>0</v>
      </c>
      <c r="L54" s="23">
        <f>IF(AND(L52=1,K53=0),1,0)</f>
        <v>0</v>
      </c>
      <c r="M54" s="23">
        <f>IF(AND(M52=1,L53=0),1,0)</f>
        <v>0</v>
      </c>
      <c r="N54" s="23">
        <f>IF(AND(N52=1,M53=0),1,0)</f>
        <v>0</v>
      </c>
      <c r="O54" s="23">
        <f>IF(AND(O52=1,N53=0),1,0)</f>
        <v>0</v>
      </c>
      <c r="P54" s="23">
        <f>IF(AND(P52=1,O53=0),1,0)</f>
        <v>0</v>
      </c>
      <c r="Q54" s="23">
        <f>IF(AND(Q52=1,P53=0),1,0)</f>
        <v>0</v>
      </c>
      <c r="R54" s="23">
        <f>IF(AND(R52=1,Q53=0),1,0)</f>
        <v>0</v>
      </c>
      <c r="S54" s="23">
        <f>IF(AND(S52=1,R53=0),1,0)</f>
        <v>0</v>
      </c>
      <c r="T54" s="23">
        <f>IF(AND(T52=1,S53=0),1,0)</f>
        <v>0</v>
      </c>
      <c r="U54" s="23">
        <f>IF(AND(U52=1,T53=0),1,0)</f>
        <v>0</v>
      </c>
      <c r="V54" s="23">
        <f>IF(AND(V52=1,U53=0),1,0)</f>
        <v>0</v>
      </c>
      <c r="W54" s="23">
        <f>IF(AND(W52=1,V53=0),1,0)</f>
        <v>0</v>
      </c>
      <c r="X54" s="23">
        <f>IF(AND(X52=1,W53=0),1,0)</f>
        <v>0</v>
      </c>
      <c r="Y54" s="23">
        <f>IF(AND(Y52=1,X53=0),1,0)</f>
        <v>0</v>
      </c>
      <c r="Z54" s="23">
        <f>IF(AND(Z52=1,Y53=0),1,0)</f>
        <v>0</v>
      </c>
      <c r="AA54" s="23">
        <f>IF(AND(AA52=1,Z53=0),1,0)</f>
        <v>0</v>
      </c>
      <c r="AB54" s="23">
        <f>IF(AND(AB52=1,AA53=0),1,0)</f>
        <v>0</v>
      </c>
      <c r="AC54" s="23">
        <f>IF(AND(AC52=1,AB53=0),1,0)</f>
        <v>0</v>
      </c>
      <c r="AD54" s="23">
        <f>IF(AND(AD52=1,AC53=0),1,0)</f>
        <v>0</v>
      </c>
      <c r="AE54" s="23">
        <f>IF(AND(AE52=1,AD53=0),1,0)</f>
        <v>0</v>
      </c>
      <c r="AF54" s="23">
        <f>IF(AND(AF52=1,AE53=0),1,0)</f>
        <v>0</v>
      </c>
      <c r="AG54" s="23">
        <f>IF(AND(AG52=1,AF53=0),1,0)</f>
        <v>0</v>
      </c>
      <c r="AH54" s="23">
        <f>IF(AND(AH52=1,AG53=0),1,0)</f>
        <v>0</v>
      </c>
      <c r="AI54" s="23">
        <f>IF(AND(AI52=1,AH53=0),1,0)</f>
        <v>0</v>
      </c>
      <c r="AJ54" s="23">
        <f>IF(AND(AJ52=1,AI53=0),1,0)</f>
        <v>0</v>
      </c>
      <c r="AK54" s="23">
        <f>IF(AND(AK52=1,AJ53=0),1,0)</f>
        <v>0</v>
      </c>
      <c r="AL54" s="23">
        <f>IF(AND(AL52=1,AK53=0),1,0)</f>
        <v>0</v>
      </c>
      <c r="AM54" s="23">
        <f>IF(AND(AM52=1,AL53=0),1,0)</f>
        <v>0</v>
      </c>
      <c r="AN54" s="23">
        <f>IF(AND(AN52=1,AM53=0),1,0)</f>
        <v>0</v>
      </c>
      <c r="AO54" s="23">
        <f>IF(AND(AO52=1,AN53=0),1,0)</f>
        <v>0</v>
      </c>
      <c r="AP54" s="23">
        <f>IF(AND(AP52=1,AO53=0),1,0)</f>
        <v>0</v>
      </c>
      <c r="AQ54" s="23">
        <f>IF(AND(AQ52=1,AP53=0),1,0)</f>
        <v>0</v>
      </c>
      <c r="AR54" s="23">
        <f>IF(AND(AR52=1,AQ53=0),1,0)</f>
        <v>0</v>
      </c>
      <c r="AS54" s="23">
        <f>IF(AND(AS52=1,AR53=0),1,0)</f>
        <v>0</v>
      </c>
      <c r="AT54" s="23">
        <f>IF(AND(AT52=1,AS53=0),1,0)</f>
        <v>0</v>
      </c>
      <c r="AU54" s="23">
        <f>IF(AND(AU52=1,AT53=0),1,0)</f>
        <v>0</v>
      </c>
      <c r="AV54" s="23">
        <f>IF(AND(AV52=1,AU53=0),1,0)</f>
        <v>0</v>
      </c>
      <c r="AW54" s="23">
        <f>IF(AND(AW52=1,AV53=0),1,0)</f>
        <v>1</v>
      </c>
      <c r="AX54" s="23">
        <f>IF(AND(AX52=1,AW53=0),1,0)</f>
        <v>0</v>
      </c>
    </row>
    <row r="55">
      <c r="A55" s="6" t="inlineStr">
        <is>
          <t xml:space="preserve">Date the cumulative flow reaches zero</t>
        </is>
      </c>
      <c r="F55" s="27">
        <f>IF(F54=1,E7+(F7-E7)*(-E51)/F46,0)</f>
        <v>0</v>
      </c>
      <c r="G55" s="27">
        <f>IF(G54=1,F7+(G7-F7)*(-F51)/G46,0)</f>
        <v>0</v>
      </c>
      <c r="H55" s="27">
        <f>IF(H54=1,G7+(H7-G7)*(-G51)/H46,0)</f>
        <v>0</v>
      </c>
      <c r="I55" s="27">
        <f>IF(I54=1,H7+(I7-H7)*(-H51)/I46,0)</f>
        <v>0</v>
      </c>
      <c r="J55" s="27">
        <f>IF(J54=1,I7+(J7-I7)*(-I51)/J46,0)</f>
        <v>0</v>
      </c>
      <c r="K55" s="27">
        <f>IF(K54=1,J7+(K7-J7)*(-J51)/K46,0)</f>
        <v>0</v>
      </c>
      <c r="L55" s="27">
        <f>IF(L54=1,K7+(L7-K7)*(-K51)/L46,0)</f>
        <v>0</v>
      </c>
      <c r="M55" s="27">
        <f>IF(M54=1,L7+(M7-L7)*(-L51)/M46,0)</f>
        <v>0</v>
      </c>
      <c r="N55" s="27">
        <f>IF(N54=1,M7+(N7-M7)*(-M51)/N46,0)</f>
        <v>0</v>
      </c>
      <c r="O55" s="27">
        <f>IF(O54=1,N7+(O7-N7)*(-N51)/O46,0)</f>
        <v>0</v>
      </c>
      <c r="P55" s="27">
        <f>IF(P54=1,O7+(P7-O7)*(-O51)/P46,0)</f>
        <v>0</v>
      </c>
      <c r="Q55" s="27">
        <f>IF(Q54=1,P7+(Q7-P7)*(-P51)/Q46,0)</f>
        <v>0</v>
      </c>
      <c r="R55" s="27">
        <f>IF(R54=1,Q7+(R7-Q7)*(-Q51)/R46,0)</f>
        <v>0</v>
      </c>
      <c r="S55" s="27">
        <f>IF(S54=1,R7+(S7-R7)*(-R51)/S46,0)</f>
        <v>0</v>
      </c>
      <c r="T55" s="27">
        <f>IF(T54=1,S7+(T7-S7)*(-S51)/T46,0)</f>
        <v>0</v>
      </c>
      <c r="U55" s="27">
        <f>IF(U54=1,T7+(U7-T7)*(-T51)/U46,0)</f>
        <v>0</v>
      </c>
      <c r="V55" s="27">
        <f>IF(V54=1,U7+(V7-U7)*(-U51)/V46,0)</f>
        <v>0</v>
      </c>
      <c r="W55" s="27">
        <f>IF(W54=1,V7+(W7-V7)*(-V51)/W46,0)</f>
        <v>0</v>
      </c>
      <c r="X55" s="27">
        <f>IF(X54=1,W7+(X7-W7)*(-W51)/X46,0)</f>
        <v>0</v>
      </c>
      <c r="Y55" s="27">
        <f>IF(Y54=1,X7+(Y7-X7)*(-X51)/Y46,0)</f>
        <v>0</v>
      </c>
      <c r="Z55" s="27">
        <f>IF(Z54=1,Y7+(Z7-Y7)*(-Y51)/Z46,0)</f>
        <v>0</v>
      </c>
      <c r="AA55" s="27">
        <f>IF(AA54=1,Z7+(AA7-Z7)*(-Z51)/AA46,0)</f>
        <v>0</v>
      </c>
      <c r="AB55" s="27">
        <f>IF(AB54=1,AA7+(AB7-AA7)*(-AA51)/AB46,0)</f>
        <v>0</v>
      </c>
      <c r="AC55" s="27">
        <f>IF(AC54=1,AB7+(AC7-AB7)*(-AB51)/AC46,0)</f>
        <v>0</v>
      </c>
      <c r="AD55" s="27">
        <f>IF(AD54=1,AC7+(AD7-AC7)*(-AC51)/AD46,0)</f>
        <v>0</v>
      </c>
      <c r="AE55" s="27">
        <f>IF(AE54=1,AD7+(AE7-AD7)*(-AD51)/AE46,0)</f>
        <v>0</v>
      </c>
      <c r="AF55" s="27">
        <f>IF(AF54=1,AE7+(AF7-AE7)*(-AE51)/AF46,0)</f>
        <v>0</v>
      </c>
      <c r="AG55" s="27">
        <f>IF(AG54=1,AF7+(AG7-AF7)*(-AF51)/AG46,0)</f>
        <v>0</v>
      </c>
      <c r="AH55" s="27">
        <f>IF(AH54=1,AG7+(AH7-AG7)*(-AG51)/AH46,0)</f>
        <v>0</v>
      </c>
      <c r="AI55" s="27">
        <f>IF(AI54=1,AH7+(AI7-AH7)*(-AH51)/AI46,0)</f>
        <v>0</v>
      </c>
      <c r="AJ55" s="27">
        <f>IF(AJ54=1,AI7+(AJ7-AI7)*(-AI51)/AJ46,0)</f>
        <v>0</v>
      </c>
      <c r="AK55" s="27">
        <f>IF(AK54=1,AJ7+(AK7-AJ7)*(-AJ51)/AK46,0)</f>
        <v>0</v>
      </c>
      <c r="AL55" s="27">
        <f>IF(AL54=1,AK7+(AL7-AK7)*(-AK51)/AL46,0)</f>
        <v>0</v>
      </c>
      <c r="AM55" s="27">
        <f>IF(AM54=1,AL7+(AM7-AL7)*(-AL51)/AM46,0)</f>
        <v>0</v>
      </c>
      <c r="AN55" s="27">
        <f>IF(AN54=1,AM7+(AN7-AM7)*(-AM51)/AN46,0)</f>
        <v>0</v>
      </c>
      <c r="AO55" s="27">
        <f>IF(AO54=1,AN7+(AO7-AN7)*(-AN51)/AO46,0)</f>
        <v>0</v>
      </c>
      <c r="AP55" s="27">
        <f>IF(AP54=1,AO7+(AP7-AO7)*(-AO51)/AP46,0)</f>
        <v>0</v>
      </c>
      <c r="AQ55" s="27">
        <f>IF(AQ54=1,AP7+(AQ7-AP7)*(-AP51)/AQ46,0)</f>
        <v>0</v>
      </c>
      <c r="AR55" s="27">
        <f>IF(AR54=1,AQ7+(AR7-AQ7)*(-AQ51)/AR46,0)</f>
        <v>0</v>
      </c>
      <c r="AS55" s="27">
        <f>IF(AS54=1,AR7+(AS7-AR7)*(-AR51)/AS46,0)</f>
        <v>0</v>
      </c>
      <c r="AT55" s="27">
        <f>IF(AT54=1,AS7+(AT7-AS7)*(-AS51)/AT46,0)</f>
        <v>0</v>
      </c>
      <c r="AU55" s="27">
        <f>IF(AU54=1,AT7+(AU7-AT7)*(-AT51)/AU46,0)</f>
        <v>0</v>
      </c>
      <c r="AV55" s="27">
        <f>IF(AV54=1,AU7+(AV7-AU7)*(-AU51)/AV46,0)</f>
        <v>0</v>
      </c>
      <c r="AW55" s="27">
        <f>IF(AW54=1,AV7+(AW7-AV7)*(-AV51)/AW46,0)</f>
        <v>55600.46475848053</v>
      </c>
      <c r="AX55" s="27">
        <f>IF(AX54=1,AW7+(AX7-AW7)*(-AW51)/AX46,0)</f>
        <v>0</v>
      </c>
    </row>
    <row r="56">
      <c r="A56" s="6" t="inlineStr">
        <is>
          <t xml:space="preserve">Start value for XIRR (the website's result)</t>
        </is>
      </c>
      <c r="C56" s="48">
        <v>0.006054896503292142</v>
      </c>
    </row>
    <row r="57">
      <c r="A57" s="6" t="inlineStr">
        <is>
          <t xml:space="preserve">Start value for the project XIRR before tax (website)</t>
        </is>
      </c>
      <c r="C57" s="48">
        <v>0.020120721565208388</v>
      </c>
    </row>
    <row r="58">
      <c r="A58" s="6" t="inlineStr">
        <is>
          <t xml:space="preserve">Start value for the project XIRR after tax (website)</t>
        </is>
      </c>
      <c r="C58" s="48">
        <v>0.01790033188724005</v>
      </c>
    </row>
    <row r="59">
      <c r="A59" s="6" t="inlineStr">
        <is>
          <t xml:space="preserve">Funding: the company never runs out of cash (otherwise the owners' returns are n.m.)</t>
        </is>
      </c>
      <c r="C59" s="7" t="str">
        <f>IF(MIN(Waterfall!$F$81:$AE$81)&gt;-1,"funded","not funded")</f>
        <v>funded</v>
      </c>
    </row>
    <row r="60">
      <c r="A60" s="41" t="inlineStr">
        <is>
          <t xml:space="preserve">Equity IRR</t>
        </is>
      </c>
      <c r="C60" s="49">
        <f>IF($C$59="funded",$C$75,"n.m.")</f>
        <v>0.006054896503292142</v>
      </c>
    </row>
    <row r="61">
      <c r="A61" s="41" t="inlineStr">
        <is>
          <t xml:space="preserve">Equity NPV at the cost of equity, at financial close</t>
        </is>
      </c>
      <c r="B61" s="10" t="inlineStr">
        <is>
          <t xml:space="preserve">€</t>
        </is>
      </c>
      <c r="C61" s="42">
        <f>IF($C$59="funded",$C$76,"n.m.")</f>
        <v>-23066512.01630845</v>
      </c>
    </row>
    <row r="62">
      <c r="A62" s="41" t="inlineStr">
        <is>
          <t xml:space="preserve">Project IRR before tax</t>
        </is>
      </c>
      <c r="C62" s="49">
        <f>IFERROR(IF(SUMPRODUCT($G$47:$AX$47/(1+XIRR($G$47:$AX$47,$G$7:$AX$7,$C$57)-Inputs!$C$160)^(($G$7:$AX$7-MIN($G$7:$AX$7))/Inputs!$C$147))*SUMPRODUCT($G$47:$AX$47/(1+XIRR($G$47:$AX$47,$G$7:$AX$7,$C$57)+Inputs!$C$160)^(($G$7:$AX$7-MIN($G$7:$AX$7))/Inputs!$C$147))&lt;=0,XIRR($G$47:$AX$47,$G$7:$AX$7,$C$57),NA()),IFERROR(IF(SUMPRODUCT($G$47:$AX$47/(1+XIRR($G$47:$AX$47,$G$7:$AX$7,$C$57-Inputs!$C$161)-Inputs!$C$160)^(($G$7:$AX$7-MIN($G$7:$AX$7))/Inputs!$C$147))*SUMPRODUCT($G$47:$AX$47/(1+XIRR($G$47:$AX$47,$G$7:$AX$7,$C$57-Inputs!$C$161)+Inputs!$C$160)^(($G$7:$AX$7-MIN($G$7:$AX$7))/Inputs!$C$147))&lt;=0,XIRR($G$47:$AX$47,$G$7:$AX$7,$C$57-Inputs!$C$161),NA()),IFERROR(IF(SUMPRODUCT($G$47:$AX$47/(1+XIRR($G$47:$AX$47,$G$7:$AX$7,$C$57+Inputs!$C$161)-Inputs!$C$160)^(($G$7:$AX$7-MIN($G$7:$AX$7))/Inputs!$C$147))*SUMPRODUCT($G$47:$AX$47/(1+XIRR($G$47:$AX$47,$G$7:$AX$7,$C$57+Inputs!$C$161)+Inputs!$C$160)^(($G$7:$AX$7-MIN($G$7:$AX$7))/Inputs!$C$147))&lt;=0,XIRR($G$47:$AX$47,$G$7:$AX$7,$C$57+Inputs!$C$161),NA()),IFERROR(IF(SUMPRODUCT($G$47:$AX$47/(1+XIRR($G$47:$AX$47,$G$7:$AX$7,Inputs!$C$162)-Inputs!$C$160)^(($G$7:$AX$7-MIN($G$7:$AX$7))/Inputs!$C$147))*SUMPRODUCT($G$47:$AX$47/(1+XIRR($G$47:$AX$47,$G$7:$AX$7,Inputs!$C$162)+Inputs!$C$160)^(($G$7:$AX$7-MIN($G$7:$AX$7))/Inputs!$C$147))&lt;=0,XIRR($G$47:$AX$47,$G$7:$AX$7,Inputs!$C$162),NA()),IFERROR(IF(SUMPRODUCT($G$47:$AX$47/(1+XIRR($G$47:$AX$47,$G$7:$AX$7,Inputs!$C$163)-Inputs!$C$160)^(($G$7:$AX$7-MIN($G$7:$AX$7))/Inputs!$C$147))*SUMPRODUCT($G$47:$AX$47/(1+XIRR($G$47:$AX$47,$G$7:$AX$7,Inputs!$C$163)+Inputs!$C$160)^(($G$7:$AX$7-MIN($G$7:$AX$7))/Inputs!$C$147))&lt;=0,XIRR($G$47:$AX$47,$G$7:$AX$7,Inputs!$C$163),NA()),"n/a")))))</f>
        <v>0.020120721565208388</v>
      </c>
    </row>
    <row r="63">
      <c r="A63" s="41" t="inlineStr">
        <is>
          <t xml:space="preserve">Project IRR after tax</t>
        </is>
      </c>
      <c r="C63" s="49">
        <f>IFERROR(IF(SUMPRODUCT($G$48:$AX$48/(1+XIRR($G$48:$AX$48,$G$7:$AX$7,$C$58)-Inputs!$C$160)^(($G$7:$AX$7-MIN($G$7:$AX$7))/Inputs!$C$147))*SUMPRODUCT($G$48:$AX$48/(1+XIRR($G$48:$AX$48,$G$7:$AX$7,$C$58)+Inputs!$C$160)^(($G$7:$AX$7-MIN($G$7:$AX$7))/Inputs!$C$147))&lt;=0,XIRR($G$48:$AX$48,$G$7:$AX$7,$C$58),NA()),IFERROR(IF(SUMPRODUCT($G$48:$AX$48/(1+XIRR($G$48:$AX$48,$G$7:$AX$7,$C$58-Inputs!$C$161)-Inputs!$C$160)^(($G$7:$AX$7-MIN($G$7:$AX$7))/Inputs!$C$147))*SUMPRODUCT($G$48:$AX$48/(1+XIRR($G$48:$AX$48,$G$7:$AX$7,$C$58-Inputs!$C$161)+Inputs!$C$160)^(($G$7:$AX$7-MIN($G$7:$AX$7))/Inputs!$C$147))&lt;=0,XIRR($G$48:$AX$48,$G$7:$AX$7,$C$58-Inputs!$C$161),NA()),IFERROR(IF(SUMPRODUCT($G$48:$AX$48/(1+XIRR($G$48:$AX$48,$G$7:$AX$7,$C$58+Inputs!$C$161)-Inputs!$C$160)^(($G$7:$AX$7-MIN($G$7:$AX$7))/Inputs!$C$147))*SUMPRODUCT($G$48:$AX$48/(1+XIRR($G$48:$AX$48,$G$7:$AX$7,$C$58+Inputs!$C$161)+Inputs!$C$160)^(($G$7:$AX$7-MIN($G$7:$AX$7))/Inputs!$C$147))&lt;=0,XIRR($G$48:$AX$48,$G$7:$AX$7,$C$58+Inputs!$C$161),NA()),IFERROR(IF(SUMPRODUCT($G$48:$AX$48/(1+XIRR($G$48:$AX$48,$G$7:$AX$7,Inputs!$C$162)-Inputs!$C$160)^(($G$7:$AX$7-MIN($G$7:$AX$7))/Inputs!$C$147))*SUMPRODUCT($G$48:$AX$48/(1+XIRR($G$48:$AX$48,$G$7:$AX$7,Inputs!$C$162)+Inputs!$C$160)^(($G$7:$AX$7-MIN($G$7:$AX$7))/Inputs!$C$147))&lt;=0,XIRR($G$48:$AX$48,$G$7:$AX$7,Inputs!$C$162),NA()),IFERROR(IF(SUMPRODUCT($G$48:$AX$48/(1+XIRR($G$48:$AX$48,$G$7:$AX$7,Inputs!$C$163)-Inputs!$C$160)^(($G$7:$AX$7-MIN($G$7:$AX$7))/Inputs!$C$147))*SUMPRODUCT($G$48:$AX$48/(1+XIRR($G$48:$AX$48,$G$7:$AX$7,Inputs!$C$163)+Inputs!$C$160)^(($G$7:$AX$7-MIN($G$7:$AX$7))/Inputs!$C$147))&lt;=0,XIRR($G$48:$AX$48,$G$7:$AX$7,Inputs!$C$163),NA()),"n/a")))))</f>
        <v>0.01790033188724005</v>
      </c>
    </row>
    <row r="64">
      <c r="A64" s="41" t="inlineStr">
        <is>
          <t xml:space="preserve">Project NPV at the nominal WACC</t>
        </is>
      </c>
      <c r="B64" s="10" t="inlineStr">
        <is>
          <t xml:space="preserve">€</t>
        </is>
      </c>
      <c r="C64" s="42">
        <f>XNPV(Inputs!$C$103,$F$48:$AX$48,$F$7:$AX$7)</f>
        <v>-19829575.116071854</v>
      </c>
    </row>
    <row r="65">
      <c r="A65" s="41" t="inlineStr">
        <is>
          <t xml:space="preserve">LCOE, real 2026 money (in the style of Fraunhofer ISE)</t>
        </is>
      </c>
      <c r="B65" s="10" t="inlineStr">
        <is>
          <t xml:space="preserve">ct/kWh</t>
        </is>
      </c>
      <c r="C65" s="50">
        <f>SUMPRODUCT($F$49:$AX$49/$F$8:$AX$8/$F$9:$AX$9)/SUMPRODUCT($F$50:$AX$50/$F$9:$AX$9)*100</f>
        <v>8.478663752567494</v>
      </c>
    </row>
    <row r="66">
      <c r="A66" s="41" t="inlineStr">
        <is>
          <t xml:space="preserve">LCOE, nominal</t>
        </is>
      </c>
      <c r="B66" s="10" t="inlineStr">
        <is>
          <t xml:space="preserve">ct/kWh</t>
        </is>
      </c>
      <c r="C66" s="50">
        <f>SUMPRODUCT($F$49:$AX$49/$F$10:$AX$10)/SUMPRODUCT($F$50:$AX$50/$F$10:$AX$10)*100</f>
        <v>10.781115715019759</v>
      </c>
    </row>
    <row r="67">
      <c r="A67" s="41" t="inlineStr">
        <is>
          <t xml:space="preserve">Minimum DSCR</t>
        </is>
      </c>
      <c r="C67" s="47">
        <f>IF(COUNT(Waterfall!$F$67:$AE$67)=0,"n/a",MIN(Waterfall!$F$67:$AE$67))</f>
        <v>1.1395012117730186</v>
      </c>
    </row>
    <row r="68">
      <c r="A68" s="41" t="inlineStr">
        <is>
          <t xml:space="preserve">Year of the minimum DSCR</t>
        </is>
      </c>
      <c r="C68" s="51">
        <f>IFERROR(INDEX(Timing!$F$59:$AE$59,MATCH($C$67,Waterfall!$F$67:$AE$67,0)),"n/a")</f>
        <v>2030</v>
      </c>
    </row>
    <row r="69">
      <c r="A69" s="41" t="inlineStr">
        <is>
          <t xml:space="preserve">Average DSCR over the repayment years</t>
        </is>
      </c>
      <c r="C69" s="47">
        <f>IFERROR(AVERAGEIFS(Waterfall!$F$67:$AE$67,Debt!$F$11:$AE$11,"&gt;0"),"n/a")</f>
        <v>1.7297085055994632</v>
      </c>
    </row>
    <row r="70">
      <c r="A70" s="41" t="inlineStr">
        <is>
          <t xml:space="preserve">LLCR at COD (reserves not counted)</t>
        </is>
      </c>
      <c r="C70" s="47">
        <f>IF(Debt!$C$6=0,"n/a",SUMPRODUCT(Timing!$F$83:$AE$83*Tax!$F$76:$AE$76/(1+Inputs!$C$74)^((Timing!$F$84:$AE$84-Timing!$C$7)/Inputs!$C$147))/Debt!$C$6)</f>
        <v>1.6301812251267291</v>
      </c>
    </row>
    <row r="71">
      <c r="A71" s="41" t="inlineStr">
        <is>
          <t xml:space="preserve">Payback: years from COD until the owners' cumulative cash flow turns positive</t>
        </is>
      </c>
      <c r="B71" s="10" t="inlineStr">
        <is>
          <t xml:space="preserve">years</t>
        </is>
      </c>
      <c r="C71" s="50">
        <f>IF(SUM($F$54:$AX$54)=0,"n/a",MAX(0,(SUM($F$55:$AX$55)-Timing!$C$7)/Inputs!$C$148))</f>
        <v>23.724749509871398</v>
      </c>
    </row>
    <row r="72">
      <c r="A72" s="41" t="inlineStr">
        <is>
          <t xml:space="preserve">Total uses</t>
        </is>
      </c>
      <c r="B72" s="10" t="inlineStr">
        <is>
          <t xml:space="preserve">€</t>
        </is>
      </c>
      <c r="C72" s="42">
        <f>Construction!$C$43</f>
        <v>59303606.70605988</v>
      </c>
    </row>
    <row r="73">
      <c r="A73" s="41" t="inlineStr">
        <is>
          <t xml:space="preserve">Equity paid in</t>
        </is>
      </c>
      <c r="B73" s="10" t="inlineStr">
        <is>
          <t xml:space="preserve">€</t>
        </is>
      </c>
      <c r="C73" s="42">
        <f>Construction!$C$45</f>
        <v>38671265.02302264</v>
      </c>
    </row>
    <row r="74">
      <c r="A74" s="41" t="inlineStr">
        <is>
          <t xml:space="preserve">Gearing (loan ÷ total uses)</t>
        </is>
      </c>
      <c r="C74" s="49">
        <f>Debt!$C$6/$C$72</f>
        <v>0.3479104025713334</v>
      </c>
    </row>
    <row r="75">
      <c r="A75" s="6" t="inlineStr">
        <is>
          <t xml:space="preserve">Equity IRR as calculated, whether funded or not (XIRR, checked to be a root)</t>
        </is>
      </c>
      <c r="C75" s="22">
        <f>IFERROR(IF(SUMPRODUCT($G$46:$AX$46/(1+XIRR($G$46:$AX$46,$G$7:$AX$7,$C$56)-Inputs!$C$160)^(($G$7:$AX$7-MIN($G$7:$AX$7))/Inputs!$C$147))*SUMPRODUCT($G$46:$AX$46/(1+XIRR($G$46:$AX$46,$G$7:$AX$7,$C$56)+Inputs!$C$160)^(($G$7:$AX$7-MIN($G$7:$AX$7))/Inputs!$C$147))&lt;=0,XIRR($G$46:$AX$46,$G$7:$AX$7,$C$56),NA()),IFERROR(IF(SUMPRODUCT($G$46:$AX$46/(1+XIRR($G$46:$AX$46,$G$7:$AX$7,$C$56-Inputs!$C$161)-Inputs!$C$160)^(($G$7:$AX$7-MIN($G$7:$AX$7))/Inputs!$C$147))*SUMPRODUCT($G$46:$AX$46/(1+XIRR($G$46:$AX$46,$G$7:$AX$7,$C$56-Inputs!$C$161)+Inputs!$C$160)^(($G$7:$AX$7-MIN($G$7:$AX$7))/Inputs!$C$147))&lt;=0,XIRR($G$46:$AX$46,$G$7:$AX$7,$C$56-Inputs!$C$161),NA()),IFERROR(IF(SUMPRODUCT($G$46:$AX$46/(1+XIRR($G$46:$AX$46,$G$7:$AX$7,$C$56+Inputs!$C$161)-Inputs!$C$160)^(($G$7:$AX$7-MIN($G$7:$AX$7))/Inputs!$C$147))*SUMPRODUCT($G$46:$AX$46/(1+XIRR($G$46:$AX$46,$G$7:$AX$7,$C$56+Inputs!$C$161)+Inputs!$C$160)^(($G$7:$AX$7-MIN($G$7:$AX$7))/Inputs!$C$147))&lt;=0,XIRR($G$46:$AX$46,$G$7:$AX$7,$C$56+Inputs!$C$161),NA()),IFERROR(IF(SUMPRODUCT($G$46:$AX$46/(1+XIRR($G$46:$AX$46,$G$7:$AX$7,Inputs!$C$162)-Inputs!$C$160)^(($G$7:$AX$7-MIN($G$7:$AX$7))/Inputs!$C$147))*SUMPRODUCT($G$46:$AX$46/(1+XIRR($G$46:$AX$46,$G$7:$AX$7,Inputs!$C$162)+Inputs!$C$160)^(($G$7:$AX$7-MIN($G$7:$AX$7))/Inputs!$C$147))&lt;=0,XIRR($G$46:$AX$46,$G$7:$AX$7,Inputs!$C$162),NA()),IFERROR(IF(SUMPRODUCT($G$46:$AX$46/(1+XIRR($G$46:$AX$46,$G$7:$AX$7,Inputs!$C$163)-Inputs!$C$160)^(($G$7:$AX$7-MIN($G$7:$AX$7))/Inputs!$C$147))*SUMPRODUCT($G$46:$AX$46/(1+XIRR($G$46:$AX$46,$G$7:$AX$7,Inputs!$C$163)+Inputs!$C$160)^(($G$7:$AX$7-MIN($G$7:$AX$7))/Inputs!$C$147))&lt;=0,XIRR($G$46:$AX$46,$G$7:$AX$7,Inputs!$C$163),NA()),"n/a")))))</f>
        <v>0.006054896503292142</v>
      </c>
    </row>
    <row r="76">
      <c r="A76" s="6" t="inlineStr">
        <is>
          <t xml:space="preserve">Equity NPV as calculated, whether funded or not</t>
        </is>
      </c>
      <c r="B76" s="10" t="inlineStr">
        <is>
          <t xml:space="preserve">€</t>
        </is>
      </c>
      <c r="C76" s="23">
        <f>XNPV(Inputs!$C$102,$F$46:$AX$46,$F$7:$AX$7)</f>
        <v>-23066512.01630845</v>
      </c>
    </row>
    <row r="78">
      <c r="A78" s="5" t="inlineStr">
        <is>
          <t xml:space="preserve">P90 10-yr</t>
        </is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>
      <c r="A79" s="6" t="inlineStr">
        <is>
          <t xml:space="preserve">Owners' cash flow</t>
        </is>
      </c>
      <c r="B79" s="10" t="inlineStr">
        <is>
          <t xml:space="preserve">€</t>
        </is>
      </c>
      <c r="F79" s="23">
        <f>IF(F6=0,0,IF(F6&lt;=Inputs!$C$11,-INDEX(Construction!$F$40:$W$40,F6),INDEX(Waterfall!$F$122:$AE$122,F6-Inputs!$C$11)))</f>
        <v>0</v>
      </c>
      <c r="G79" s="23">
        <f>IF(G6=0,0,IF(G6&lt;=Inputs!$C$11,-INDEX(Construction!$F$40:$W$40,G6),INDEX(Waterfall!$F$122:$AE$122,G6-Inputs!$C$11)))</f>
        <v>-7184870.502484033</v>
      </c>
      <c r="H79" s="23">
        <f>IF(H6=0,0,IF(H6&lt;=Inputs!$C$11,-INDEX(Construction!$F$40:$W$40,H6),INDEX(Waterfall!$F$122:$AE$122,H6-Inputs!$C$11)))</f>
        <v>-612414.2234653239</v>
      </c>
      <c r="I79" s="23">
        <f>IF(I6=0,0,IF(I6&lt;=Inputs!$C$11,-INDEX(Construction!$F$40:$W$40,I6),INDEX(Waterfall!$F$122:$AE$122,I6-Inputs!$C$11)))</f>
        <v>-613947.5918020632</v>
      </c>
      <c r="J79" s="23">
        <f>IF(J6=0,0,IF(J6&lt;=Inputs!$C$11,-INDEX(Construction!$F$40:$W$40,J6),INDEX(Waterfall!$F$122:$AE$122,J6-Inputs!$C$11)))</f>
        <v>-608562.2654329941</v>
      </c>
      <c r="K79" s="23">
        <f>IF(K6=0,0,IF(K6&lt;=Inputs!$C$11,-INDEX(Construction!$F$40:$W$40,K6),INDEX(Waterfall!$F$122:$AE$122,K6-Inputs!$C$11)))</f>
        <v>-609506.2066944502</v>
      </c>
      <c r="L79" s="23">
        <f>IF(L6=0,0,IF(L6&lt;=Inputs!$C$11,-INDEX(Construction!$F$40:$W$40,L6),INDEX(Waterfall!$F$122:$AE$122,L6-Inputs!$C$11)))</f>
        <v>-610451.6121037113</v>
      </c>
      <c r="M79" s="23">
        <f>IF(M6=0,0,IF(M6&lt;=Inputs!$C$11,-INDEX(Construction!$F$40:$W$40,M6),INDEX(Waterfall!$F$122:$AE$122,M6-Inputs!$C$11)))</f>
        <v>-626235.9124343647</v>
      </c>
      <c r="N79" s="23">
        <f>IF(N6=0,0,IF(N6&lt;=Inputs!$C$11,-INDEX(Construction!$F$40:$W$40,N6),INDEX(Waterfall!$F$122:$AE$122,N6-Inputs!$C$11)))</f>
        <v>-626880.4563167137</v>
      </c>
      <c r="O79" s="23">
        <f>IF(O6=0,0,IF(O6&lt;=Inputs!$C$11,-INDEX(Construction!$F$40:$W$40,O6),INDEX(Waterfall!$F$122:$AE$122,O6-Inputs!$C$11)))</f>
        <v>-627525.6635861474</v>
      </c>
      <c r="P79" s="23">
        <f>IF(P6=0,0,IF(P6&lt;=Inputs!$C$11,-INDEX(Construction!$F$40:$W$40,P6),INDEX(Waterfall!$F$122:$AE$122,P6-Inputs!$C$11)))</f>
        <v>-628171.534925447</v>
      </c>
      <c r="Q79" s="23">
        <f>IF(Q6=0,0,IF(Q6&lt;=Inputs!$C$11,-INDEX(Construction!$F$40:$W$40,Q6),INDEX(Waterfall!$F$122:$AE$122,Q6-Inputs!$C$11)))</f>
        <v>-628818.0710180962</v>
      </c>
      <c r="R79" s="23">
        <f>IF(R6=0,0,IF(R6&lt;=Inputs!$C$11,-INDEX(Construction!$F$40:$W$40,R6),INDEX(Waterfall!$F$122:$AE$122,R6-Inputs!$C$11)))</f>
        <v>-629465.2725482826</v>
      </c>
      <c r="S79" s="23">
        <f>IF(S6=0,0,IF(S6&lt;=Inputs!$C$11,-INDEX(Construction!$F$40:$W$40,S6),INDEX(Waterfall!$F$122:$AE$122,S6-Inputs!$C$11)))</f>
        <v>-397317.1539188634</v>
      </c>
      <c r="T79" s="23">
        <f>IF(T6=0,0,IF(T6&lt;=Inputs!$C$11,-INDEX(Construction!$F$40:$W$40,T6),INDEX(Waterfall!$F$122:$AE$122,T6-Inputs!$C$11)))</f>
        <v>-397497.55855644477</v>
      </c>
      <c r="U79" s="23">
        <f>IF(U6=0,0,IF(U6&lt;=Inputs!$C$11,-INDEX(Construction!$F$40:$W$40,U6),INDEX(Waterfall!$F$122:$AE$122,U6-Inputs!$C$11)))</f>
        <v>-5971772.632172906</v>
      </c>
      <c r="V79" s="23">
        <f>IF(V6=0,0,IF(V6&lt;=Inputs!$C$11,-INDEX(Construction!$F$40:$W$40,V6),INDEX(Waterfall!$F$122:$AE$122,V6-Inputs!$C$11)))</f>
        <v>-5983390.891976394</v>
      </c>
      <c r="W79" s="23">
        <f>IF(W6=0,0,IF(W6&lt;=Inputs!$C$11,-INDEX(Construction!$F$40:$W$40,W6),INDEX(Waterfall!$F$122:$AE$122,W6-Inputs!$C$11)))</f>
        <v>-5995021.1096988255</v>
      </c>
      <c r="X79" s="23">
        <f>IF(X6=0,0,IF(X6&lt;=Inputs!$C$11,-INDEX(Construction!$F$40:$W$40,X6),INDEX(Waterfall!$F$122:$AE$122,X6-Inputs!$C$11)))</f>
        <v>-5919416.363887578</v>
      </c>
      <c r="Y79" s="23">
        <f>IF(Y6=0,0,IF(Y6&lt;=Inputs!$C$11,-INDEX(Construction!$F$40:$W$40,Y6),INDEX(Waterfall!$F$122:$AE$122,Y6-Inputs!$C$11)))</f>
        <v>1335136.0549719844</v>
      </c>
      <c r="Z79" s="23">
        <f>IF(Z6=0,0,IF(Z6&lt;=Inputs!$C$11,-INDEX(Construction!$F$40:$W$40,Z6),INDEX(Waterfall!$F$122:$AE$122,Z6-Inputs!$C$11)))</f>
        <v>1787470.5168906073</v>
      </c>
      <c r="AA79" s="23">
        <f>IF(AA6=0,0,IF(AA6&lt;=Inputs!$C$11,-INDEX(Construction!$F$40:$W$40,AA6),INDEX(Waterfall!$F$122:$AE$122,AA6-Inputs!$C$11)))</f>
        <v>470477.7552050587</v>
      </c>
      <c r="AB79" s="23">
        <f>IF(AB6=0,0,IF(AB6&lt;=Inputs!$C$11,-INDEX(Construction!$F$40:$W$40,AB6),INDEX(Waterfall!$F$122:$AE$122,AB6-Inputs!$C$11)))</f>
        <v>573837.6985059796</v>
      </c>
      <c r="AC79" s="23">
        <f>IF(AC6=0,0,IF(AC6&lt;=Inputs!$C$11,-INDEX(Construction!$F$40:$W$40,AC6),INDEX(Waterfall!$F$122:$AE$122,AC6-Inputs!$C$11)))</f>
        <v>690800.04173819</v>
      </c>
      <c r="AD79" s="23">
        <f>IF(AD6=0,0,IF(AD6&lt;=Inputs!$C$11,-INDEX(Construction!$F$40:$W$40,AD6),INDEX(Waterfall!$F$122:$AE$122,AD6-Inputs!$C$11)))</f>
        <v>769474.1188673142</v>
      </c>
      <c r="AE79" s="23">
        <f>IF(AE6=0,0,IF(AE6&lt;=Inputs!$C$11,-INDEX(Construction!$F$40:$W$40,AE6),INDEX(Waterfall!$F$122:$AE$122,AE6-Inputs!$C$11)))</f>
        <v>1294343.5389205934</v>
      </c>
      <c r="AF79" s="23">
        <f>IF(AF6=0,0,IF(AF6&lt;=Inputs!$C$11,-INDEX(Construction!$F$40:$W$40,AF6),INDEX(Waterfall!$F$122:$AE$122,AF6-Inputs!$C$11)))</f>
        <v>1042955.1842004505</v>
      </c>
      <c r="AG79" s="23">
        <f>IF(AG6=0,0,IF(AG6&lt;=Inputs!$C$11,-INDEX(Construction!$F$40:$W$40,AG6),INDEX(Waterfall!$F$122:$AE$122,AG6-Inputs!$C$11)))</f>
        <v>1163580.2857993306</v>
      </c>
      <c r="AH79" s="23">
        <f>IF(AH6=0,0,IF(AH6&lt;=Inputs!$C$11,-INDEX(Construction!$F$40:$W$40,AH6),INDEX(Waterfall!$F$122:$AE$122,AH6-Inputs!$C$11)))</f>
        <v>1281889.1099722914</v>
      </c>
      <c r="AI79" s="23">
        <f>IF(AI6=0,0,IF(AI6&lt;=Inputs!$C$11,-INDEX(Construction!$F$40:$W$40,AI6),INDEX(Waterfall!$F$122:$AE$122,AI6-Inputs!$C$11)))</f>
        <v>1280352.7603680326</v>
      </c>
      <c r="AJ79" s="23">
        <f>IF(AJ6=0,0,IF(AJ6&lt;=Inputs!$C$11,-INDEX(Construction!$F$40:$W$40,AJ6),INDEX(Waterfall!$F$122:$AE$122,AJ6-Inputs!$C$11)))</f>
        <v>1400268.5952461604</v>
      </c>
      <c r="AK79" s="23">
        <f>IF(AK6=0,0,IF(AK6&lt;=Inputs!$C$11,-INDEX(Construction!$F$40:$W$40,AK6),INDEX(Waterfall!$F$122:$AE$122,AK6-Inputs!$C$11)))</f>
        <v>1522283.5243087094</v>
      </c>
      <c r="AL79" s="23">
        <f>IF(AL6=0,0,IF(AL6&lt;=Inputs!$C$11,-INDEX(Construction!$F$40:$W$40,AL6),INDEX(Waterfall!$F$122:$AE$122,AL6-Inputs!$C$11)))</f>
        <v>1641757.304768535</v>
      </c>
      <c r="AM79" s="23">
        <f>IF(AM6=0,0,IF(AM6&lt;=Inputs!$C$11,-INDEX(Construction!$F$40:$W$40,AM6),INDEX(Waterfall!$F$122:$AE$122,AM6-Inputs!$C$11)))</f>
        <v>1765690.2155016991</v>
      </c>
      <c r="AN79" s="23">
        <f>IF(AN6=0,0,IF(AN6&lt;=Inputs!$C$11,-INDEX(Construction!$F$40:$W$40,AN6),INDEX(Waterfall!$F$122:$AE$122,AN6-Inputs!$C$11)))</f>
        <v>1889442.549960675</v>
      </c>
      <c r="AO79" s="23">
        <f>IF(AO6=0,0,IF(AO6&lt;=Inputs!$C$11,-INDEX(Construction!$F$40:$W$40,AO6),INDEX(Waterfall!$F$122:$AE$122,AO6-Inputs!$C$11)))</f>
        <v>1999750.933343589</v>
      </c>
      <c r="AP79" s="23">
        <f>IF(AP6=0,0,IF(AP6&lt;=Inputs!$C$11,-INDEX(Construction!$F$40:$W$40,AP6),INDEX(Waterfall!$F$122:$AE$122,AP6-Inputs!$C$11)))</f>
        <v>2015654.599174337</v>
      </c>
      <c r="AQ79" s="23">
        <f>IF(AQ6=0,0,IF(AQ6&lt;=Inputs!$C$11,-INDEX(Construction!$F$40:$W$40,AQ6),INDEX(Waterfall!$F$122:$AE$122,AQ6-Inputs!$C$11)))</f>
        <v>2435591.845901797</v>
      </c>
      <c r="AR79" s="23">
        <f>IF(AR6=0,0,IF(AR6&lt;=Inputs!$C$11,-INDEX(Construction!$F$40:$W$40,AR6),INDEX(Waterfall!$F$122:$AE$122,AR6-Inputs!$C$11)))</f>
        <v>3434807.1715150094</v>
      </c>
      <c r="AS79" s="23">
        <f>IF(AS6=0,0,IF(AS6&lt;=Inputs!$C$11,-INDEX(Construction!$F$40:$W$40,AS6),INDEX(Waterfall!$F$122:$AE$122,AS6-Inputs!$C$11)))</f>
        <v>2970695.0578805897</v>
      </c>
      <c r="AT79" s="23">
        <f>IF(AT6=0,0,IF(AT6&lt;=Inputs!$C$11,-INDEX(Construction!$F$40:$W$40,AT6),INDEX(Waterfall!$F$122:$AE$122,AT6-Inputs!$C$11)))</f>
        <v>3028931.61048359</v>
      </c>
      <c r="AU79" s="23">
        <f>IF(AU6=0,0,IF(AU6&lt;=Inputs!$C$11,-INDEX(Construction!$F$40:$W$40,AU6),INDEX(Waterfall!$F$122:$AE$122,AU6-Inputs!$C$11)))</f>
        <v>3092324.5935430774</v>
      </c>
      <c r="AV79" s="23">
        <f>IF(AV6=0,0,IF(AV6&lt;=Inputs!$C$11,-INDEX(Construction!$F$40:$W$40,AV6),INDEX(Waterfall!$F$122:$AE$122,AV6-Inputs!$C$11)))</f>
        <v>3070711.398675999</v>
      </c>
      <c r="AW79" s="23">
        <f>IF(AW6=0,0,IF(AW6&lt;=Inputs!$C$11,-INDEX(Construction!$F$40:$W$40,AW6),INDEX(Waterfall!$F$122:$AE$122,AW6-Inputs!$C$11)))</f>
        <v>2874591.8013047716</v>
      </c>
      <c r="AX79" s="23">
        <f>IF(AX6=0,0,IF(AX6&lt;=Inputs!$C$11,-INDEX(Construction!$F$40:$W$40,AX6),INDEX(Waterfall!$F$122:$AE$122,AX6-Inputs!$C$11)))</f>
        <v>1752010.006377921</v>
      </c>
    </row>
    <row r="80">
      <c r="A80" s="6" t="inlineStr">
        <is>
          <t xml:space="preserve">Project cash flow before tax</t>
        </is>
      </c>
      <c r="B80" s="10" t="inlineStr">
        <is>
          <t xml:space="preserve">€</t>
        </is>
      </c>
      <c r="F80" s="23">
        <f>IF(F6=0,0,IF(F6&lt;=Inputs!$C$11,-INDEX(Construction!$F$26:$W$26,F6)-INDEX(Construction!$F$37:$W$37,F6),INDEX(Waterfall!$F$123:$AE$123,F6-Inputs!$C$11)))</f>
        <v>0</v>
      </c>
      <c r="G80" s="23">
        <f>IF(G6=0,0,IF(G6&lt;=Inputs!$C$11,-INDEX(Construction!$F$26:$W$26,G6)-INDEX(Construction!$F$37:$W$37,G6),INDEX(Waterfall!$F$123:$AE$123,G6-Inputs!$C$11)))</f>
        <v>-10811902.5</v>
      </c>
      <c r="H80" s="23">
        <f>IF(H6=0,0,IF(H6&lt;=Inputs!$C$11,-INDEX(Construction!$F$26:$W$26,H6)-INDEX(Construction!$F$37:$W$37,H6),INDEX(Waterfall!$F$123:$AE$123,H6-Inputs!$C$11)))</f>
        <v>-911452.5</v>
      </c>
      <c r="I80" s="23">
        <f>IF(I6=0,0,IF(I6&lt;=Inputs!$C$11,-INDEX(Construction!$F$26:$W$26,I6)-INDEX(Construction!$F$37:$W$37,I6),INDEX(Waterfall!$F$123:$AE$123,I6-Inputs!$C$11)))</f>
        <v>-911452.5</v>
      </c>
      <c r="J80" s="23">
        <f>IF(J6=0,0,IF(J6&lt;=Inputs!$C$11,-INDEX(Construction!$F$26:$W$26,J6)-INDEX(Construction!$F$37:$W$37,J6),INDEX(Waterfall!$F$123:$AE$123,J6-Inputs!$C$11)))</f>
        <v>-911452.5</v>
      </c>
      <c r="K80" s="23">
        <f>IF(K6=0,0,IF(K6&lt;=Inputs!$C$11,-INDEX(Construction!$F$26:$W$26,K6)-INDEX(Construction!$F$37:$W$37,K6),INDEX(Waterfall!$F$123:$AE$123,K6-Inputs!$C$11)))</f>
        <v>-911452.5</v>
      </c>
      <c r="L80" s="23">
        <f>IF(L6=0,0,IF(L6&lt;=Inputs!$C$11,-INDEX(Construction!$F$26:$W$26,L6)-INDEX(Construction!$F$37:$W$37,L6),INDEX(Waterfall!$F$123:$AE$123,L6-Inputs!$C$11)))</f>
        <v>-911452.5</v>
      </c>
      <c r="M80" s="23">
        <f>IF(M6=0,0,IF(M6&lt;=Inputs!$C$11,-INDEX(Construction!$F$26:$W$26,M6)-INDEX(Construction!$F$37:$W$37,M6),INDEX(Waterfall!$F$123:$AE$123,M6-Inputs!$C$11)))</f>
        <v>-911452.5</v>
      </c>
      <c r="N80" s="23">
        <f>IF(N6=0,0,IF(N6&lt;=Inputs!$C$11,-INDEX(Construction!$F$26:$W$26,N6)-INDEX(Construction!$F$37:$W$37,N6),INDEX(Waterfall!$F$123:$AE$123,N6-Inputs!$C$11)))</f>
        <v>-911452.5</v>
      </c>
      <c r="O80" s="23">
        <f>IF(O6=0,0,IF(O6&lt;=Inputs!$C$11,-INDEX(Construction!$F$26:$W$26,O6)-INDEX(Construction!$F$37:$W$37,O6),INDEX(Waterfall!$F$123:$AE$123,O6-Inputs!$C$11)))</f>
        <v>-911452.5</v>
      </c>
      <c r="P80" s="23">
        <f>IF(P6=0,0,IF(P6&lt;=Inputs!$C$11,-INDEX(Construction!$F$26:$W$26,P6)-INDEX(Construction!$F$37:$W$37,P6),INDEX(Waterfall!$F$123:$AE$123,P6-Inputs!$C$11)))</f>
        <v>-911452.5</v>
      </c>
      <c r="Q80" s="23">
        <f>IF(Q6=0,0,IF(Q6&lt;=Inputs!$C$11,-INDEX(Construction!$F$26:$W$26,Q6)-INDEX(Construction!$F$37:$W$37,Q6),INDEX(Waterfall!$F$123:$AE$123,Q6-Inputs!$C$11)))</f>
        <v>-911452.5</v>
      </c>
      <c r="R80" s="23">
        <f>IF(R6=0,0,IF(R6&lt;=Inputs!$C$11,-INDEX(Construction!$F$26:$W$26,R6)-INDEX(Construction!$F$37:$W$37,R6),INDEX(Waterfall!$F$123:$AE$123,R6-Inputs!$C$11)))</f>
        <v>-911452.5</v>
      </c>
      <c r="S80" s="23">
        <f>IF(S6=0,0,IF(S6&lt;=Inputs!$C$11,-INDEX(Construction!$F$26:$W$26,S6)-INDEX(Construction!$F$37:$W$37,S6),INDEX(Waterfall!$F$123:$AE$123,S6-Inputs!$C$11)))</f>
        <v>-554452.5</v>
      </c>
      <c r="T80" s="23">
        <f>IF(T6=0,0,IF(T6&lt;=Inputs!$C$11,-INDEX(Construction!$F$26:$W$26,T6)-INDEX(Construction!$F$37:$W$37,T6),INDEX(Waterfall!$F$123:$AE$123,T6-Inputs!$C$11)))</f>
        <v>-554452.5</v>
      </c>
      <c r="U80" s="23">
        <f>IF(U6=0,0,IF(U6&lt;=Inputs!$C$11,-INDEX(Construction!$F$26:$W$26,U6)-INDEX(Construction!$F$37:$W$37,U6),INDEX(Waterfall!$F$123:$AE$123,U6-Inputs!$C$11)))</f>
        <v>-9102502.499999998</v>
      </c>
      <c r="V80" s="23">
        <f>IF(V6=0,0,IF(V6&lt;=Inputs!$C$11,-INDEX(Construction!$F$26:$W$26,V6)-INDEX(Construction!$F$37:$W$37,V6),INDEX(Waterfall!$F$123:$AE$123,V6-Inputs!$C$11)))</f>
        <v>-9102502.499999998</v>
      </c>
      <c r="W80" s="23">
        <f>IF(W6=0,0,IF(W6&lt;=Inputs!$C$11,-INDEX(Construction!$F$26:$W$26,W6)-INDEX(Construction!$F$37:$W$37,W6),INDEX(Waterfall!$F$123:$AE$123,W6-Inputs!$C$11)))</f>
        <v>-9102502.499999998</v>
      </c>
      <c r="X80" s="23">
        <f>IF(X6=0,0,IF(X6&lt;=Inputs!$C$11,-INDEX(Construction!$F$26:$W$26,X6)-INDEX(Construction!$F$37:$W$37,X6),INDEX(Waterfall!$F$123:$AE$123,X6-Inputs!$C$11)))</f>
        <v>-8379401.500828104</v>
      </c>
      <c r="Y80" s="23">
        <f>IF(Y6=0,0,IF(Y6&lt;=Inputs!$C$11,-INDEX(Construction!$F$26:$W$26,Y6)-INDEX(Construction!$F$37:$W$37,Y6),INDEX(Waterfall!$F$123:$AE$123,Y6-Inputs!$C$11)))</f>
        <v>1887051.1949932326</v>
      </c>
      <c r="Z80" s="23">
        <f>IF(Z6=0,0,IF(Z6&lt;=Inputs!$C$11,-INDEX(Construction!$F$26:$W$26,Z6)-INDEX(Construction!$F$37:$W$37,Z6),INDEX(Waterfall!$F$123:$AE$123,Z6-Inputs!$C$11)))</f>
        <v>2891300.796933104</v>
      </c>
      <c r="AA80" s="23">
        <f>IF(AA6=0,0,IF(AA6&lt;=Inputs!$C$11,-INDEX(Construction!$F$26:$W$26,AA6)-INDEX(Construction!$F$37:$W$37,AA6),INDEX(Waterfall!$F$123:$AE$123,AA6-Inputs!$C$11)))</f>
        <v>2747393.1974834823</v>
      </c>
      <c r="AB80" s="23">
        <f>IF(AB6=0,0,IF(AB6&lt;=Inputs!$C$11,-INDEX(Construction!$F$26:$W$26,AB6)-INDEX(Construction!$F$37:$W$37,AB6),INDEX(Waterfall!$F$123:$AE$123,AB6-Inputs!$C$11)))</f>
        <v>2785821.947840727</v>
      </c>
      <c r="AC80" s="23">
        <f>IF(AC6=0,0,IF(AC6&lt;=Inputs!$C$11,-INDEX(Construction!$F$26:$W$26,AC6)-INDEX(Construction!$F$37:$W$37,AC6),INDEX(Waterfall!$F$123:$AE$123,AC6-Inputs!$C$11)))</f>
        <v>2837853.0981292613</v>
      </c>
      <c r="AD80" s="23">
        <f>IF(AD6=0,0,IF(AD6&lt;=Inputs!$C$11,-INDEX(Construction!$F$26:$W$26,AD6)-INDEX(Construction!$F$37:$W$37,AD6),INDEX(Waterfall!$F$123:$AE$123,AD6-Inputs!$C$11)))</f>
        <v>2851595.982314709</v>
      </c>
      <c r="AE80" s="23">
        <f>IF(AE6=0,0,IF(AE6&lt;=Inputs!$C$11,-INDEX(Construction!$F$26:$W$26,AE6)-INDEX(Construction!$F$37:$W$37,AE6),INDEX(Waterfall!$F$123:$AE$123,AE6-Inputs!$C$11)))</f>
        <v>3311534.209424312</v>
      </c>
      <c r="AF80" s="23">
        <f>IF(AF6=0,0,IF(AF6&lt;=Inputs!$C$11,-INDEX(Construction!$F$26:$W$26,AF6)-INDEX(Construction!$F$37:$W$37,AF6),INDEX(Waterfall!$F$123:$AE$123,AF6-Inputs!$C$11)))</f>
        <v>2995214.661760493</v>
      </c>
      <c r="AG80" s="23">
        <f>IF(AG6=0,0,IF(AG6&lt;=Inputs!$C$11,-INDEX(Construction!$F$26:$W$26,AG6)-INDEX(Construction!$F$37:$W$37,AG6),INDEX(Waterfall!$F$123:$AE$123,AG6-Inputs!$C$11)))</f>
        <v>3050908.570415697</v>
      </c>
      <c r="AH80" s="23">
        <f>IF(AH6=0,0,IF(AH6&lt;=Inputs!$C$11,-INDEX(Construction!$F$26:$W$26,AH6)-INDEX(Construction!$F$37:$W$37,AH6),INDEX(Waterfall!$F$123:$AE$123,AH6-Inputs!$C$11)))</f>
        <v>3104286.2016449817</v>
      </c>
      <c r="AI80" s="23">
        <f>IF(AI6=0,0,IF(AI6&lt;=Inputs!$C$11,-INDEX(Construction!$F$26:$W$26,AI6)-INDEX(Construction!$F$37:$W$37,AI6),INDEX(Waterfall!$F$123:$AE$123,AI6-Inputs!$C$11)))</f>
        <v>3037818.6590970466</v>
      </c>
      <c r="AJ80" s="23">
        <f>IF(AJ6=0,0,IF(AJ6&lt;=Inputs!$C$11,-INDEX(Construction!$F$26:$W$26,AJ6)-INDEX(Construction!$F$37:$W$37,AJ6),INDEX(Waterfall!$F$123:$AE$123,AJ6-Inputs!$C$11)))</f>
        <v>3092803.3010314982</v>
      </c>
      <c r="AK80" s="23">
        <f>IF(AK6=0,0,IF(AK6&lt;=Inputs!$C$11,-INDEX(Construction!$F$26:$W$26,AK6)-INDEX(Construction!$F$37:$W$37,AK6),INDEX(Waterfall!$F$123:$AE$123,AK6-Inputs!$C$11)))</f>
        <v>3149887.037150371</v>
      </c>
      <c r="AL80" s="23">
        <f>IF(AL6=0,0,IF(AL6&lt;=Inputs!$C$11,-INDEX(Construction!$F$26:$W$26,AL6)-INDEX(Construction!$F$37:$W$37,AL6),INDEX(Waterfall!$F$123:$AE$123,AL6-Inputs!$C$11)))</f>
        <v>3204429.6246665204</v>
      </c>
      <c r="AM80" s="23">
        <f>IF(AM6=0,0,IF(AM6&lt;=Inputs!$C$11,-INDEX(Construction!$F$26:$W$26,AM6)-INDEX(Construction!$F$37:$W$37,AM6),INDEX(Waterfall!$F$123:$AE$123,AM6-Inputs!$C$11)))</f>
        <v>3263431.3424560083</v>
      </c>
      <c r="AN80" s="23">
        <f>IF(AN6=0,0,IF(AN6&lt;=Inputs!$C$11,-INDEX(Construction!$F$26:$W$26,AN6)-INDEX(Construction!$F$37:$W$37,AN6),INDEX(Waterfall!$F$123:$AE$123,AN6-Inputs!$C$11)))</f>
        <v>3322252.483971308</v>
      </c>
      <c r="AO80" s="23">
        <f>IF(AO6=0,0,IF(AO6&lt;=Inputs!$C$11,-INDEX(Construction!$F$26:$W$26,AO6)-INDEX(Construction!$F$37:$W$37,AO6),INDEX(Waterfall!$F$123:$AE$123,AO6-Inputs!$C$11)))</f>
        <v>3383323.6744105457</v>
      </c>
      <c r="AP80" s="23">
        <f>IF(AP6=0,0,IF(AP6&lt;=Inputs!$C$11,-INDEX(Construction!$F$26:$W$26,AP6)-INDEX(Construction!$F$37:$W$37,AP6),INDEX(Waterfall!$F$123:$AE$123,AP6-Inputs!$C$11)))</f>
        <v>3441662.1472976217</v>
      </c>
      <c r="AQ80" s="23">
        <f>IF(AQ6=0,0,IF(AQ6&lt;=Inputs!$C$11,-INDEX(Construction!$F$26:$W$26,AQ6)-INDEX(Construction!$F$37:$W$37,AQ6),INDEX(Waterfall!$F$123:$AE$123,AQ6-Inputs!$C$11)))</f>
        <v>3504784.710963452</v>
      </c>
      <c r="AR80" s="23">
        <f>IF(AR6=0,0,IF(AR6&lt;=Inputs!$C$11,-INDEX(Construction!$F$26:$W$26,AR6)-INDEX(Construction!$F$37:$W$37,AR6),INDEX(Waterfall!$F$123:$AE$123,AR6-Inputs!$C$11)))</f>
        <v>3567709.1715150094</v>
      </c>
      <c r="AS80" s="23">
        <f>IF(AS6=0,0,IF(AS6&lt;=Inputs!$C$11,-INDEX(Construction!$F$26:$W$26,AS6)-INDEX(Construction!$F$37:$W$37,AS6),INDEX(Waterfall!$F$123:$AE$123,AS6-Inputs!$C$11)))</f>
        <v>3552397.3769154726</v>
      </c>
      <c r="AT80" s="23">
        <f>IF(AT6=0,0,IF(AT6&lt;=Inputs!$C$11,-INDEX(Construction!$F$26:$W$26,AT6)-INDEX(Construction!$F$37:$W$37,AT6),INDEX(Waterfall!$F$123:$AE$123,AT6-Inputs!$C$11)))</f>
        <v>3613181.929518473</v>
      </c>
      <c r="AU80" s="23">
        <f>IF(AU6=0,0,IF(AU6&lt;=Inputs!$C$11,-INDEX(Construction!$F$26:$W$26,AU6)-INDEX(Construction!$F$37:$W$37,AU6),INDEX(Waterfall!$F$123:$AE$123,AU6-Inputs!$C$11)))</f>
        <v>3679066.91257796</v>
      </c>
      <c r="AV80" s="23">
        <f>IF(AV6=0,0,IF(AV6&lt;=Inputs!$C$11,-INDEX(Construction!$F$26:$W$26,AV6)-INDEX(Construction!$F$37:$W$37,AV6),INDEX(Waterfall!$F$123:$AE$123,AV6-Inputs!$C$11)))</f>
        <v>3744701.717710882</v>
      </c>
      <c r="AW80" s="23">
        <f>IF(AW6=0,0,IF(AW6&lt;=Inputs!$C$11,-INDEX(Construction!$F$26:$W$26,AW6)-INDEX(Construction!$F$37:$W$37,AW6),INDEX(Waterfall!$F$123:$AE$123,AW6-Inputs!$C$11)))</f>
        <v>3812888.1203396544</v>
      </c>
      <c r="AX80" s="23">
        <f>IF(AX6=0,0,IF(AX6&lt;=Inputs!$C$11,-INDEX(Construction!$F$26:$W$26,AX6)-INDEX(Construction!$F$37:$W$37,AX6),INDEX(Waterfall!$F$123:$AE$123,AX6-Inputs!$C$11)))</f>
        <v>-249679.5887964936</v>
      </c>
    </row>
    <row r="81">
      <c r="A81" s="6" t="inlineStr">
        <is>
          <t xml:space="preserve">Project cash flow after tax</t>
        </is>
      </c>
      <c r="B81" s="10" t="inlineStr">
        <is>
          <t xml:space="preserve">€</t>
        </is>
      </c>
      <c r="F81" s="23">
        <f>IF(F6=0,0,IF(F6&lt;=Inputs!$C$11,-INDEX(Construction!$F$26:$W$26,F6)-INDEX(Construction!$F$37:$W$37,F6),INDEX(Waterfall!$F$124:$AE$124,F6-Inputs!$C$11)))</f>
        <v>0</v>
      </c>
      <c r="G81" s="23">
        <f>IF(G6=0,0,IF(G6&lt;=Inputs!$C$11,-INDEX(Construction!$F$26:$W$26,G6)-INDEX(Construction!$F$37:$W$37,G6),INDEX(Waterfall!$F$124:$AE$124,G6-Inputs!$C$11)))</f>
        <v>-10811902.5</v>
      </c>
      <c r="H81" s="23">
        <f>IF(H6=0,0,IF(H6&lt;=Inputs!$C$11,-INDEX(Construction!$F$26:$W$26,H6)-INDEX(Construction!$F$37:$W$37,H6),INDEX(Waterfall!$F$124:$AE$124,H6-Inputs!$C$11)))</f>
        <v>-911452.5</v>
      </c>
      <c r="I81" s="23">
        <f>IF(I6=0,0,IF(I6&lt;=Inputs!$C$11,-INDEX(Construction!$F$26:$W$26,I6)-INDEX(Construction!$F$37:$W$37,I6),INDEX(Waterfall!$F$124:$AE$124,I6-Inputs!$C$11)))</f>
        <v>-911452.5</v>
      </c>
      <c r="J81" s="23">
        <f>IF(J6=0,0,IF(J6&lt;=Inputs!$C$11,-INDEX(Construction!$F$26:$W$26,J6)-INDEX(Construction!$F$37:$W$37,J6),INDEX(Waterfall!$F$124:$AE$124,J6-Inputs!$C$11)))</f>
        <v>-911452.5</v>
      </c>
      <c r="K81" s="23">
        <f>IF(K6=0,0,IF(K6&lt;=Inputs!$C$11,-INDEX(Construction!$F$26:$W$26,K6)-INDEX(Construction!$F$37:$W$37,K6),INDEX(Waterfall!$F$124:$AE$124,K6-Inputs!$C$11)))</f>
        <v>-911452.5</v>
      </c>
      <c r="L81" s="23">
        <f>IF(L6=0,0,IF(L6&lt;=Inputs!$C$11,-INDEX(Construction!$F$26:$W$26,L6)-INDEX(Construction!$F$37:$W$37,L6),INDEX(Waterfall!$F$124:$AE$124,L6-Inputs!$C$11)))</f>
        <v>-911452.5</v>
      </c>
      <c r="M81" s="23">
        <f>IF(M6=0,0,IF(M6&lt;=Inputs!$C$11,-INDEX(Construction!$F$26:$W$26,M6)-INDEX(Construction!$F$37:$W$37,M6),INDEX(Waterfall!$F$124:$AE$124,M6-Inputs!$C$11)))</f>
        <v>-911452.5</v>
      </c>
      <c r="N81" s="23">
        <f>IF(N6=0,0,IF(N6&lt;=Inputs!$C$11,-INDEX(Construction!$F$26:$W$26,N6)-INDEX(Construction!$F$37:$W$37,N6),INDEX(Waterfall!$F$124:$AE$124,N6-Inputs!$C$11)))</f>
        <v>-911452.5</v>
      </c>
      <c r="O81" s="23">
        <f>IF(O6=0,0,IF(O6&lt;=Inputs!$C$11,-INDEX(Construction!$F$26:$W$26,O6)-INDEX(Construction!$F$37:$W$37,O6),INDEX(Waterfall!$F$124:$AE$124,O6-Inputs!$C$11)))</f>
        <v>-911452.5</v>
      </c>
      <c r="P81" s="23">
        <f>IF(P6=0,0,IF(P6&lt;=Inputs!$C$11,-INDEX(Construction!$F$26:$W$26,P6)-INDEX(Construction!$F$37:$W$37,P6),INDEX(Waterfall!$F$124:$AE$124,P6-Inputs!$C$11)))</f>
        <v>-911452.5</v>
      </c>
      <c r="Q81" s="23">
        <f>IF(Q6=0,0,IF(Q6&lt;=Inputs!$C$11,-INDEX(Construction!$F$26:$W$26,Q6)-INDEX(Construction!$F$37:$W$37,Q6),INDEX(Waterfall!$F$124:$AE$124,Q6-Inputs!$C$11)))</f>
        <v>-911452.5</v>
      </c>
      <c r="R81" s="23">
        <f>IF(R6=0,0,IF(R6&lt;=Inputs!$C$11,-INDEX(Construction!$F$26:$W$26,R6)-INDEX(Construction!$F$37:$W$37,R6),INDEX(Waterfall!$F$124:$AE$124,R6-Inputs!$C$11)))</f>
        <v>-911452.5</v>
      </c>
      <c r="S81" s="23">
        <f>IF(S6=0,0,IF(S6&lt;=Inputs!$C$11,-INDEX(Construction!$F$26:$W$26,S6)-INDEX(Construction!$F$37:$W$37,S6),INDEX(Waterfall!$F$124:$AE$124,S6-Inputs!$C$11)))</f>
        <v>-554452.5</v>
      </c>
      <c r="T81" s="23">
        <f>IF(T6=0,0,IF(T6&lt;=Inputs!$C$11,-INDEX(Construction!$F$26:$W$26,T6)-INDEX(Construction!$F$37:$W$37,T6),INDEX(Waterfall!$F$124:$AE$124,T6-Inputs!$C$11)))</f>
        <v>-554452.5</v>
      </c>
      <c r="U81" s="23">
        <f>IF(U6=0,0,IF(U6&lt;=Inputs!$C$11,-INDEX(Construction!$F$26:$W$26,U6)-INDEX(Construction!$F$37:$W$37,U6),INDEX(Waterfall!$F$124:$AE$124,U6-Inputs!$C$11)))</f>
        <v>-9102502.499999998</v>
      </c>
      <c r="V81" s="23">
        <f>IF(V6=0,0,IF(V6&lt;=Inputs!$C$11,-INDEX(Construction!$F$26:$W$26,V6)-INDEX(Construction!$F$37:$W$37,V6),INDEX(Waterfall!$F$124:$AE$124,V6-Inputs!$C$11)))</f>
        <v>-9102502.499999998</v>
      </c>
      <c r="W81" s="23">
        <f>IF(W6=0,0,IF(W6&lt;=Inputs!$C$11,-INDEX(Construction!$F$26:$W$26,W6)-INDEX(Construction!$F$37:$W$37,W6),INDEX(Waterfall!$F$124:$AE$124,W6-Inputs!$C$11)))</f>
        <v>-9102502.499999998</v>
      </c>
      <c r="X81" s="23">
        <f>IF(X6=0,0,IF(X6&lt;=Inputs!$C$11,-INDEX(Construction!$F$26:$W$26,X6)-INDEX(Construction!$F$37:$W$37,X6),INDEX(Waterfall!$F$124:$AE$124,X6-Inputs!$C$11)))</f>
        <v>-8379401.500828104</v>
      </c>
      <c r="Y81" s="23">
        <f>IF(Y6=0,0,IF(Y6&lt;=Inputs!$C$11,-INDEX(Construction!$F$26:$W$26,Y6)-INDEX(Construction!$F$37:$W$37,Y6),INDEX(Waterfall!$F$124:$AE$124,Y6-Inputs!$C$11)))</f>
        <v>1886729.1949932326</v>
      </c>
      <c r="Z81" s="23">
        <f>IF(Z6=0,0,IF(Z6&lt;=Inputs!$C$11,-INDEX(Construction!$F$26:$W$26,Z6)-INDEX(Construction!$F$37:$W$37,Z6),INDEX(Waterfall!$F$124:$AE$124,Z6-Inputs!$C$11)))</f>
        <v>2891300.796933104</v>
      </c>
      <c r="AA81" s="23">
        <f>IF(AA6=0,0,IF(AA6&lt;=Inputs!$C$11,-INDEX(Construction!$F$26:$W$26,AA6)-INDEX(Construction!$F$37:$W$37,AA6),INDEX(Waterfall!$F$124:$AE$124,AA6-Inputs!$C$11)))</f>
        <v>2747393.1974834823</v>
      </c>
      <c r="AB81" s="23">
        <f>IF(AB6=0,0,IF(AB6&lt;=Inputs!$C$11,-INDEX(Construction!$F$26:$W$26,AB6)-INDEX(Construction!$F$37:$W$37,AB6),INDEX(Waterfall!$F$124:$AE$124,AB6-Inputs!$C$11)))</f>
        <v>2785821.947840727</v>
      </c>
      <c r="AC81" s="23">
        <f>IF(AC6=0,0,IF(AC6&lt;=Inputs!$C$11,-INDEX(Construction!$F$26:$W$26,AC6)-INDEX(Construction!$F$37:$W$37,AC6),INDEX(Waterfall!$F$124:$AE$124,AC6-Inputs!$C$11)))</f>
        <v>2837853.0981292613</v>
      </c>
      <c r="AD81" s="23">
        <f>IF(AD6=0,0,IF(AD6&lt;=Inputs!$C$11,-INDEX(Construction!$F$26:$W$26,AD6)-INDEX(Construction!$F$37:$W$37,AD6),INDEX(Waterfall!$F$124:$AE$124,AD6-Inputs!$C$11)))</f>
        <v>2851595.982314709</v>
      </c>
      <c r="AE81" s="23">
        <f>IF(AE6=0,0,IF(AE6&lt;=Inputs!$C$11,-INDEX(Construction!$F$26:$W$26,AE6)-INDEX(Construction!$F$37:$W$37,AE6),INDEX(Waterfall!$F$124:$AE$124,AE6-Inputs!$C$11)))</f>
        <v>3311534.209424312</v>
      </c>
      <c r="AF81" s="23">
        <f>IF(AF6=0,0,IF(AF6&lt;=Inputs!$C$11,-INDEX(Construction!$F$26:$W$26,AF6)-INDEX(Construction!$F$37:$W$37,AF6),INDEX(Waterfall!$F$124:$AE$124,AF6-Inputs!$C$11)))</f>
        <v>2995214.661760493</v>
      </c>
      <c r="AG81" s="23">
        <f>IF(AG6=0,0,IF(AG6&lt;=Inputs!$C$11,-INDEX(Construction!$F$26:$W$26,AG6)-INDEX(Construction!$F$37:$W$37,AG6),INDEX(Waterfall!$F$124:$AE$124,AG6-Inputs!$C$11)))</f>
        <v>3050908.570415697</v>
      </c>
      <c r="AH81" s="23">
        <f>IF(AH6=0,0,IF(AH6&lt;=Inputs!$C$11,-INDEX(Construction!$F$26:$W$26,AH6)-INDEX(Construction!$F$37:$W$37,AH6),INDEX(Waterfall!$F$124:$AE$124,AH6-Inputs!$C$11)))</f>
        <v>3104286.2016449817</v>
      </c>
      <c r="AI81" s="23">
        <f>IF(AI6=0,0,IF(AI6&lt;=Inputs!$C$11,-INDEX(Construction!$F$26:$W$26,AI6)-INDEX(Construction!$F$37:$W$37,AI6),INDEX(Waterfall!$F$124:$AE$124,AI6-Inputs!$C$11)))</f>
        <v>3037818.6590970466</v>
      </c>
      <c r="AJ81" s="23">
        <f>IF(AJ6=0,0,IF(AJ6&lt;=Inputs!$C$11,-INDEX(Construction!$F$26:$W$26,AJ6)-INDEX(Construction!$F$37:$W$37,AJ6),INDEX(Waterfall!$F$124:$AE$124,AJ6-Inputs!$C$11)))</f>
        <v>3092803.3010314982</v>
      </c>
      <c r="AK81" s="23">
        <f>IF(AK6=0,0,IF(AK6&lt;=Inputs!$C$11,-INDEX(Construction!$F$26:$W$26,AK6)-INDEX(Construction!$F$37:$W$37,AK6),INDEX(Waterfall!$F$124:$AE$124,AK6-Inputs!$C$11)))</f>
        <v>3149887.037150371</v>
      </c>
      <c r="AL81" s="23">
        <f>IF(AL6=0,0,IF(AL6&lt;=Inputs!$C$11,-INDEX(Construction!$F$26:$W$26,AL6)-INDEX(Construction!$F$37:$W$37,AL6),INDEX(Waterfall!$F$124:$AE$124,AL6-Inputs!$C$11)))</f>
        <v>3204429.6246665204</v>
      </c>
      <c r="AM81" s="23">
        <f>IF(AM6=0,0,IF(AM6&lt;=Inputs!$C$11,-INDEX(Construction!$F$26:$W$26,AM6)-INDEX(Construction!$F$37:$W$37,AM6),INDEX(Waterfall!$F$124:$AE$124,AM6-Inputs!$C$11)))</f>
        <v>3263431.3424560083</v>
      </c>
      <c r="AN81" s="23">
        <f>IF(AN6=0,0,IF(AN6&lt;=Inputs!$C$11,-INDEX(Construction!$F$26:$W$26,AN6)-INDEX(Construction!$F$37:$W$37,AN6),INDEX(Waterfall!$F$124:$AE$124,AN6-Inputs!$C$11)))</f>
        <v>3322252.483971308</v>
      </c>
      <c r="AO81" s="23">
        <f>IF(AO6=0,0,IF(AO6&lt;=Inputs!$C$11,-INDEX(Construction!$F$26:$W$26,AO6)-INDEX(Construction!$F$37:$W$37,AO6),INDEX(Waterfall!$F$124:$AE$124,AO6-Inputs!$C$11)))</f>
        <v>3358557.6744105457</v>
      </c>
      <c r="AP81" s="23">
        <f>IF(AP6=0,0,IF(AP6&lt;=Inputs!$C$11,-INDEX(Construction!$F$26:$W$26,AP6)-INDEX(Construction!$F$37:$W$37,AP6),INDEX(Waterfall!$F$124:$AE$124,AP6-Inputs!$C$11)))</f>
        <v>3314164.1472976217</v>
      </c>
      <c r="AQ81" s="23">
        <f>IF(AQ6=0,0,IF(AQ6&lt;=Inputs!$C$11,-INDEX(Construction!$F$26:$W$26,AQ6)-INDEX(Construction!$F$37:$W$37,AQ6),INDEX(Waterfall!$F$124:$AE$124,AQ6-Inputs!$C$11)))</f>
        <v>3374570.710963452</v>
      </c>
      <c r="AR81" s="23">
        <f>IF(AR6=0,0,IF(AR6&lt;=Inputs!$C$11,-INDEX(Construction!$F$26:$W$26,AR6)-INDEX(Construction!$F$37:$W$37,AR6),INDEX(Waterfall!$F$124:$AE$124,AR6-Inputs!$C$11)))</f>
        <v>3428829.1715150094</v>
      </c>
      <c r="AS81" s="23">
        <f>IF(AS6=0,0,IF(AS6&lt;=Inputs!$C$11,-INDEX(Construction!$F$26:$W$26,AS6)-INDEX(Construction!$F$37:$W$37,AS6),INDEX(Waterfall!$F$124:$AE$124,AS6-Inputs!$C$11)))</f>
        <v>3079715.3769154726</v>
      </c>
      <c r="AT81" s="23">
        <f>IF(AT6=0,0,IF(AT6&lt;=Inputs!$C$11,-INDEX(Construction!$F$26:$W$26,AT6)-INDEX(Construction!$F$37:$W$37,AT6),INDEX(Waterfall!$F$124:$AE$124,AT6-Inputs!$C$11)))</f>
        <v>3134115.929518473</v>
      </c>
      <c r="AU81" s="23">
        <f>IF(AU6=0,0,IF(AU6&lt;=Inputs!$C$11,-INDEX(Construction!$F$26:$W$26,AU6)-INDEX(Construction!$F$37:$W$37,AU6),INDEX(Waterfall!$F$124:$AE$124,AU6-Inputs!$C$11)))</f>
        <v>3193798.91257796</v>
      </c>
      <c r="AV81" s="23">
        <f>IF(AV6=0,0,IF(AV6&lt;=Inputs!$C$11,-INDEX(Construction!$F$26:$W$26,AV6)-INDEX(Construction!$F$37:$W$37,AV6),INDEX(Waterfall!$F$124:$AE$124,AV6-Inputs!$C$11)))</f>
        <v>3253371.717710882</v>
      </c>
      <c r="AW81" s="23">
        <f>IF(AW6=0,0,IF(AW6&lt;=Inputs!$C$11,-INDEX(Construction!$F$26:$W$26,AW6)-INDEX(Construction!$F$37:$W$37,AW6),INDEX(Waterfall!$F$124:$AE$124,AW6-Inputs!$C$11)))</f>
        <v>3325282.1203396544</v>
      </c>
      <c r="AX81" s="23">
        <f>IF(AX6=0,0,IF(AX6&lt;=Inputs!$C$11,-INDEX(Construction!$F$26:$W$26,AX6)-INDEX(Construction!$F$37:$W$37,AX6),INDEX(Waterfall!$F$124:$AE$124,AX6-Inputs!$C$11)))</f>
        <v>-501441.5887964936</v>
      </c>
    </row>
    <row r="82">
      <c r="A82" s="6" t="inlineStr">
        <is>
          <t xml:space="preserve">LCOE costs: capex, opex net of the § 6 refund, decommissioning</t>
        </is>
      </c>
      <c r="B82" s="10" t="inlineStr">
        <is>
          <t xml:space="preserve">€</t>
        </is>
      </c>
      <c r="F82" s="23">
        <f>IF(F6=0,0,IF(F6&lt;=Inputs!$C$11,INDEX(Construction!$F$26:$W$26,F6),INDEX(Operations!$F$160:$AE$160,F6-Inputs!$C$11)-INDEX(Operations!$F$161:$AE$161,F6-Inputs!$C$11)+INDEX(Waterfall!$F$106:$AE$106,F6-Inputs!$C$11)))</f>
        <v>0</v>
      </c>
      <c r="G82" s="23">
        <f>IF(G6=0,0,IF(G6&lt;=Inputs!$C$11,INDEX(Construction!$F$26:$W$26,G6),INDEX(Operations!$F$160:$AE$160,G6-Inputs!$C$11)-INDEX(Operations!$F$161:$AE$161,G6-Inputs!$C$11)+INDEX(Waterfall!$F$106:$AE$106,G6-Inputs!$C$11)))</f>
        <v>10811902.5</v>
      </c>
      <c r="H82" s="23">
        <f>IF(H6=0,0,IF(H6&lt;=Inputs!$C$11,INDEX(Construction!$F$26:$W$26,H6),INDEX(Operations!$F$160:$AE$160,H6-Inputs!$C$11)-INDEX(Operations!$F$161:$AE$161,H6-Inputs!$C$11)+INDEX(Waterfall!$F$106:$AE$106,H6-Inputs!$C$11)))</f>
        <v>911452.5</v>
      </c>
      <c r="I82" s="23">
        <f>IF(I6=0,0,IF(I6&lt;=Inputs!$C$11,INDEX(Construction!$F$26:$W$26,I6),INDEX(Operations!$F$160:$AE$160,I6-Inputs!$C$11)-INDEX(Operations!$F$161:$AE$161,I6-Inputs!$C$11)+INDEX(Waterfall!$F$106:$AE$106,I6-Inputs!$C$11)))</f>
        <v>911452.5</v>
      </c>
      <c r="J82" s="23">
        <f>IF(J6=0,0,IF(J6&lt;=Inputs!$C$11,INDEX(Construction!$F$26:$W$26,J6),INDEX(Operations!$F$160:$AE$160,J6-Inputs!$C$11)-INDEX(Operations!$F$161:$AE$161,J6-Inputs!$C$11)+INDEX(Waterfall!$F$106:$AE$106,J6-Inputs!$C$11)))</f>
        <v>911452.5</v>
      </c>
      <c r="K82" s="23">
        <f>IF(K6=0,0,IF(K6&lt;=Inputs!$C$11,INDEX(Construction!$F$26:$W$26,K6),INDEX(Operations!$F$160:$AE$160,K6-Inputs!$C$11)-INDEX(Operations!$F$161:$AE$161,K6-Inputs!$C$11)+INDEX(Waterfall!$F$106:$AE$106,K6-Inputs!$C$11)))</f>
        <v>911452.5</v>
      </c>
      <c r="L82" s="23">
        <f>IF(L6=0,0,IF(L6&lt;=Inputs!$C$11,INDEX(Construction!$F$26:$W$26,L6),INDEX(Operations!$F$160:$AE$160,L6-Inputs!$C$11)-INDEX(Operations!$F$161:$AE$161,L6-Inputs!$C$11)+INDEX(Waterfall!$F$106:$AE$106,L6-Inputs!$C$11)))</f>
        <v>911452.5</v>
      </c>
      <c r="M82" s="23">
        <f>IF(M6=0,0,IF(M6&lt;=Inputs!$C$11,INDEX(Construction!$F$26:$W$26,M6),INDEX(Operations!$F$160:$AE$160,M6-Inputs!$C$11)-INDEX(Operations!$F$161:$AE$161,M6-Inputs!$C$11)+INDEX(Waterfall!$F$106:$AE$106,M6-Inputs!$C$11)))</f>
        <v>911452.5</v>
      </c>
      <c r="N82" s="23">
        <f>IF(N6=0,0,IF(N6&lt;=Inputs!$C$11,INDEX(Construction!$F$26:$W$26,N6),INDEX(Operations!$F$160:$AE$160,N6-Inputs!$C$11)-INDEX(Operations!$F$161:$AE$161,N6-Inputs!$C$11)+INDEX(Waterfall!$F$106:$AE$106,N6-Inputs!$C$11)))</f>
        <v>911452.5</v>
      </c>
      <c r="O82" s="23">
        <f>IF(O6=0,0,IF(O6&lt;=Inputs!$C$11,INDEX(Construction!$F$26:$W$26,O6),INDEX(Operations!$F$160:$AE$160,O6-Inputs!$C$11)-INDEX(Operations!$F$161:$AE$161,O6-Inputs!$C$11)+INDEX(Waterfall!$F$106:$AE$106,O6-Inputs!$C$11)))</f>
        <v>911452.5</v>
      </c>
      <c r="P82" s="23">
        <f>IF(P6=0,0,IF(P6&lt;=Inputs!$C$11,INDEX(Construction!$F$26:$W$26,P6),INDEX(Operations!$F$160:$AE$160,P6-Inputs!$C$11)-INDEX(Operations!$F$161:$AE$161,P6-Inputs!$C$11)+INDEX(Waterfall!$F$106:$AE$106,P6-Inputs!$C$11)))</f>
        <v>911452.5</v>
      </c>
      <c r="Q82" s="23">
        <f>IF(Q6=0,0,IF(Q6&lt;=Inputs!$C$11,INDEX(Construction!$F$26:$W$26,Q6),INDEX(Operations!$F$160:$AE$160,Q6-Inputs!$C$11)-INDEX(Operations!$F$161:$AE$161,Q6-Inputs!$C$11)+INDEX(Waterfall!$F$106:$AE$106,Q6-Inputs!$C$11)))</f>
        <v>911452.5</v>
      </c>
      <c r="R82" s="23">
        <f>IF(R6=0,0,IF(R6&lt;=Inputs!$C$11,INDEX(Construction!$F$26:$W$26,R6),INDEX(Operations!$F$160:$AE$160,R6-Inputs!$C$11)-INDEX(Operations!$F$161:$AE$161,R6-Inputs!$C$11)+INDEX(Waterfall!$F$106:$AE$106,R6-Inputs!$C$11)))</f>
        <v>911452.5</v>
      </c>
      <c r="S82" s="23">
        <f>IF(S6=0,0,IF(S6&lt;=Inputs!$C$11,INDEX(Construction!$F$26:$W$26,S6),INDEX(Operations!$F$160:$AE$160,S6-Inputs!$C$11)-INDEX(Operations!$F$161:$AE$161,S6-Inputs!$C$11)+INDEX(Waterfall!$F$106:$AE$106,S6-Inputs!$C$11)))</f>
        <v>554452.5</v>
      </c>
      <c r="T82" s="23">
        <f>IF(T6=0,0,IF(T6&lt;=Inputs!$C$11,INDEX(Construction!$F$26:$W$26,T6),INDEX(Operations!$F$160:$AE$160,T6-Inputs!$C$11)-INDEX(Operations!$F$161:$AE$161,T6-Inputs!$C$11)+INDEX(Waterfall!$F$106:$AE$106,T6-Inputs!$C$11)))</f>
        <v>554452.5</v>
      </c>
      <c r="U82" s="23">
        <f>IF(U6=0,0,IF(U6&lt;=Inputs!$C$11,INDEX(Construction!$F$26:$W$26,U6),INDEX(Operations!$F$160:$AE$160,U6-Inputs!$C$11)-INDEX(Operations!$F$161:$AE$161,U6-Inputs!$C$11)+INDEX(Waterfall!$F$106:$AE$106,U6-Inputs!$C$11)))</f>
        <v>9102502.499999998</v>
      </c>
      <c r="V82" s="23">
        <f>IF(V6=0,0,IF(V6&lt;=Inputs!$C$11,INDEX(Construction!$F$26:$W$26,V6),INDEX(Operations!$F$160:$AE$160,V6-Inputs!$C$11)-INDEX(Operations!$F$161:$AE$161,V6-Inputs!$C$11)+INDEX(Waterfall!$F$106:$AE$106,V6-Inputs!$C$11)))</f>
        <v>9102502.499999998</v>
      </c>
      <c r="W82" s="23">
        <f>IF(W6=0,0,IF(W6&lt;=Inputs!$C$11,INDEX(Construction!$F$26:$W$26,W6),INDEX(Operations!$F$160:$AE$160,W6-Inputs!$C$11)-INDEX(Operations!$F$161:$AE$161,W6-Inputs!$C$11)+INDEX(Waterfall!$F$106:$AE$106,W6-Inputs!$C$11)))</f>
        <v>9102502.499999998</v>
      </c>
      <c r="X82" s="23">
        <f>IF(X6=0,0,IF(X6&lt;=Inputs!$C$11,INDEX(Construction!$F$26:$W$26,X6),INDEX(Operations!$F$160:$AE$160,X6-Inputs!$C$11)-INDEX(Operations!$F$161:$AE$161,X6-Inputs!$C$11)+INDEX(Waterfall!$F$106:$AE$106,X6-Inputs!$C$11)))</f>
        <v>7881352.500000001</v>
      </c>
      <c r="Y82" s="23">
        <f>IF(Y6=0,0,IF(Y6&lt;=Inputs!$C$11,INDEX(Construction!$F$26:$W$26,Y6),INDEX(Operations!$F$160:$AE$160,Y6-Inputs!$C$11)-INDEX(Operations!$F$161:$AE$161,Y6-Inputs!$C$11)+INDEX(Waterfall!$F$106:$AE$106,Y6-Inputs!$C$11)))</f>
        <v>830159.06853063</v>
      </c>
      <c r="Z82" s="23">
        <f>IF(Z6=0,0,IF(Z6&lt;=Inputs!$C$11,INDEX(Construction!$F$26:$W$26,Z6),INDEX(Operations!$F$160:$AE$160,Z6-Inputs!$C$11)-INDEX(Operations!$F$161:$AE$161,Z6-Inputs!$C$11)+INDEX(Waterfall!$F$106:$AE$106,Z6-Inputs!$C$11)))</f>
        <v>1583398.5500083985</v>
      </c>
      <c r="AA82" s="23">
        <f>IF(AA6=0,0,IF(AA6&lt;=Inputs!$C$11,INDEX(Construction!$F$26:$W$26,AA6),INDEX(Operations!$F$160:$AE$160,AA6-Inputs!$C$11)-INDEX(Operations!$F$161:$AE$161,AA6-Inputs!$C$11)+INDEX(Waterfall!$F$106:$AE$106,AA6-Inputs!$C$11)))</f>
        <v>1596234.3608928693</v>
      </c>
      <c r="AB82" s="23">
        <f>IF(AB6=0,0,IF(AB6&lt;=Inputs!$C$11,INDEX(Construction!$F$26:$W$26,AB6),INDEX(Operations!$F$160:$AE$160,AB6-Inputs!$C$11)-INDEX(Operations!$F$161:$AE$161,AB6-Inputs!$C$11)+INDEX(Waterfall!$F$106:$AE$106,AB6-Inputs!$C$11)))</f>
        <v>1623873.166998003</v>
      </c>
      <c r="AC82" s="23">
        <f>IF(AC6=0,0,IF(AC6&lt;=Inputs!$C$11,INDEX(Construction!$F$26:$W$26,AC6),INDEX(Operations!$F$160:$AE$160,AC6-Inputs!$C$11)-INDEX(Operations!$F$161:$AE$161,AC6-Inputs!$C$11)+INDEX(Waterfall!$F$106:$AE$106,AC6-Inputs!$C$11)))</f>
        <v>1652049.6653661206</v>
      </c>
      <c r="AD82" s="23">
        <f>IF(AD6=0,0,IF(AD6&lt;=Inputs!$C$11,INDEX(Construction!$F$26:$W$26,AD6),INDEX(Operations!$F$160:$AE$160,AD6-Inputs!$C$11)-INDEX(Operations!$F$161:$AE$161,AD6-Inputs!$C$11)+INDEX(Waterfall!$F$106:$AE$106,AD6-Inputs!$C$11)))</f>
        <v>1717871.48369384</v>
      </c>
      <c r="AE82" s="23">
        <f>IF(AE6=0,0,IF(AE6&lt;=Inputs!$C$11,INDEX(Construction!$F$26:$W$26,AE6),INDEX(Operations!$F$160:$AE$160,AE6-Inputs!$C$11)-INDEX(Operations!$F$161:$AE$161,AE6-Inputs!$C$11)+INDEX(Waterfall!$F$106:$AE$106,AE6-Inputs!$C$11)))</f>
        <v>1710057.4046786465</v>
      </c>
      <c r="AF82" s="23">
        <f>IF(AF6=0,0,IF(AF6&lt;=Inputs!$C$11,INDEX(Construction!$F$26:$W$26,AF6),INDEX(Operations!$F$160:$AE$160,AF6-Inputs!$C$11)-INDEX(Operations!$F$161:$AE$161,AF6-Inputs!$C$11)+INDEX(Waterfall!$F$106:$AE$106,AF6-Inputs!$C$11)))</f>
        <v>1739909.9839045692</v>
      </c>
      <c r="AG82" s="23">
        <f>IF(AG6=0,0,IF(AG6&lt;=Inputs!$C$11,INDEX(Construction!$F$26:$W$26,AG6),INDEX(Operations!$F$160:$AE$160,AG6-Inputs!$C$11)-INDEX(Operations!$F$161:$AE$161,AG6-Inputs!$C$11)+INDEX(Waterfall!$F$106:$AE$106,AG6-Inputs!$C$11)))</f>
        <v>1770342.9398135273</v>
      </c>
      <c r="AH82" s="23">
        <f>IF(AH6=0,0,IF(AH6&lt;=Inputs!$C$11,INDEX(Construction!$F$26:$W$26,AH6),INDEX(Operations!$F$160:$AE$160,AH6-Inputs!$C$11)-INDEX(Operations!$F$161:$AE$161,AH6-Inputs!$C$11)+INDEX(Waterfall!$F$106:$AE$106,AH6-Inputs!$C$11)))</f>
        <v>1801367.46474626</v>
      </c>
      <c r="AI82" s="23">
        <f>IF(AI6=0,0,IF(AI6&lt;=Inputs!$C$11,INDEX(Construction!$F$26:$W$26,AI6),INDEX(Operations!$F$160:$AE$160,AI6-Inputs!$C$11)-INDEX(Operations!$F$161:$AE$161,AI6-Inputs!$C$11)+INDEX(Waterfall!$F$106:$AE$106,AI6-Inputs!$C$11)))</f>
        <v>1957044.042176264</v>
      </c>
      <c r="AJ82" s="23">
        <f>IF(AJ6=0,0,IF(AJ6&lt;=Inputs!$C$11,INDEX(Construction!$F$26:$W$26,AJ6),INDEX(Operations!$F$160:$AE$160,AJ6-Inputs!$C$11)-INDEX(Operations!$F$161:$AE$161,AJ6-Inputs!$C$11)+INDEX(Waterfall!$F$106:$AE$106,AJ6-Inputs!$C$11)))</f>
        <v>1991767.1343566813</v>
      </c>
      <c r="AK82" s="23">
        <f>IF(AK6=0,0,IF(AK6&lt;=Inputs!$C$11,INDEX(Construction!$F$26:$W$26,AK6),INDEX(Operations!$F$160:$AE$160,AK6-Inputs!$C$11)-INDEX(Operations!$F$161:$AE$161,AK6-Inputs!$C$11)+INDEX(Waterfall!$F$106:$AE$106,AK6-Inputs!$C$11)))</f>
        <v>2027166.3088316242</v>
      </c>
      <c r="AL82" s="23">
        <f>IF(AL6=0,0,IF(AL6&lt;=Inputs!$C$11,INDEX(Construction!$F$26:$W$26,AL6),INDEX(Operations!$F$160:$AE$160,AL6-Inputs!$C$11)-INDEX(Operations!$F$161:$AE$161,AL6-Inputs!$C$11)+INDEX(Waterfall!$F$106:$AE$106,AL6-Inputs!$C$11)))</f>
        <v>2063254.642361511</v>
      </c>
      <c r="AM82" s="23">
        <f>IF(AM6=0,0,IF(AM6&lt;=Inputs!$C$11,INDEX(Construction!$F$26:$W$26,AM6),INDEX(Operations!$F$160:$AE$160,AM6-Inputs!$C$11)-INDEX(Operations!$F$161:$AE$161,AM6-Inputs!$C$11)+INDEX(Waterfall!$F$106:$AE$106,AM6-Inputs!$C$11)))</f>
        <v>2100045.4654814033</v>
      </c>
      <c r="AN82" s="23">
        <f>IF(AN6=0,0,IF(AN6&lt;=Inputs!$C$11,INDEX(Construction!$F$26:$W$26,AN6),INDEX(Operations!$F$160:$AE$160,AN6-Inputs!$C$11)-INDEX(Operations!$F$161:$AE$161,AN6-Inputs!$C$11)+INDEX(Waterfall!$F$106:$AE$106,AN6-Inputs!$C$11)))</f>
        <v>2137552.367436659</v>
      </c>
      <c r="AO82" s="23">
        <f>IF(AO6=0,0,IF(AO6&lt;=Inputs!$C$11,INDEX(Construction!$F$26:$W$26,AO6),INDEX(Operations!$F$160:$AE$160,AO6-Inputs!$C$11)-INDEX(Operations!$F$161:$AE$161,AO6-Inputs!$C$11)+INDEX(Waterfall!$F$106:$AE$106,AO6-Inputs!$C$11)))</f>
        <v>2175789.2012147894</v>
      </c>
      <c r="AP82" s="23">
        <f>IF(AP6=0,0,IF(AP6&lt;=Inputs!$C$11,INDEX(Construction!$F$26:$W$26,AP6),INDEX(Operations!$F$160:$AE$160,AP6-Inputs!$C$11)-INDEX(Operations!$F$161:$AE$161,AP6-Inputs!$C$11)+INDEX(Waterfall!$F$106:$AE$106,AP6-Inputs!$C$11)))</f>
        <v>2214770.088675396</v>
      </c>
      <c r="AQ82" s="23">
        <f>IF(AQ6=0,0,IF(AQ6&lt;=Inputs!$C$11,INDEX(Construction!$F$26:$W$26,AQ6),INDEX(Operations!$F$160:$AE$160,AQ6-Inputs!$C$11)-INDEX(Operations!$F$161:$AE$161,AQ6-Inputs!$C$11)+INDEX(Waterfall!$F$106:$AE$106,AQ6-Inputs!$C$11)))</f>
        <v>2254509.4257801087</v>
      </c>
      <c r="AR82" s="23">
        <f>IF(AR6=0,0,IF(AR6&lt;=Inputs!$C$11,INDEX(Construction!$F$26:$W$26,AR6),INDEX(Operations!$F$160:$AE$160,AR6-Inputs!$C$11)-INDEX(Operations!$F$161:$AE$161,AR6-Inputs!$C$11)+INDEX(Waterfall!$F$106:$AE$106,AR6-Inputs!$C$11)))</f>
        <v>2295021.887924466</v>
      </c>
      <c r="AS82" s="23">
        <f>IF(AS6=0,0,IF(AS6&lt;=Inputs!$C$11,INDEX(Construction!$F$26:$W$26,AS6),INDEX(Operations!$F$160:$AE$160,AS6-Inputs!$C$11)-INDEX(Operations!$F$161:$AE$161,AS6-Inputs!$C$11)+INDEX(Waterfall!$F$106:$AE$106,AS6-Inputs!$C$11)))</f>
        <v>2416970.5045123557</v>
      </c>
      <c r="AT82" s="23">
        <f>IF(AT6=0,0,IF(AT6&lt;=Inputs!$C$11,INDEX(Construction!$F$26:$W$26,AT6),INDEX(Operations!$F$160:$AE$160,AT6-Inputs!$C$11)-INDEX(Operations!$F$161:$AE$161,AT6-Inputs!$C$11)+INDEX(Waterfall!$F$106:$AE$106,AT6-Inputs!$C$11)))</f>
        <v>2460687.3493261514</v>
      </c>
      <c r="AU82" s="23">
        <f>IF(AU6=0,0,IF(AU6&lt;=Inputs!$C$11,INDEX(Construction!$F$26:$W$26,AU6),INDEX(Operations!$F$160:$AE$160,AU6-Inputs!$C$11)-INDEX(Operations!$F$161:$AE$161,AU6-Inputs!$C$11)+INDEX(Waterfall!$F$106:$AE$106,AU6-Inputs!$C$11)))</f>
        <v>2505255.3360875417</v>
      </c>
      <c r="AV82" s="23">
        <f>IF(AV6=0,0,IF(AV6&lt;=Inputs!$C$11,INDEX(Construction!$F$26:$W$26,AV6),INDEX(Operations!$F$160:$AE$160,AV6-Inputs!$C$11)-INDEX(Operations!$F$161:$AE$161,AV6-Inputs!$C$11)+INDEX(Waterfall!$F$106:$AE$106,AV6-Inputs!$C$11)))</f>
        <v>2550690.958540653</v>
      </c>
      <c r="AW82" s="23">
        <f>IF(AW6=0,0,IF(AW6&lt;=Inputs!$C$11,INDEX(Construction!$F$26:$W$26,AW6),INDEX(Operations!$F$160:$AE$160,AW6-Inputs!$C$11)-INDEX(Operations!$F$161:$AE$161,AW6-Inputs!$C$11)+INDEX(Waterfall!$F$106:$AE$106,AW6-Inputs!$C$11)))</f>
        <v>2597011.0310269776</v>
      </c>
      <c r="AX82" s="23">
        <f>IF(AX6=0,0,IF(AX6&lt;=Inputs!$C$11,INDEX(Construction!$F$26:$W$26,AX6),INDEX(Operations!$F$160:$AE$160,AX6-Inputs!$C$11)-INDEX(Operations!$F$161:$AE$161,AX6-Inputs!$C$11)+INDEX(Waterfall!$F$106:$AE$106,AX6-Inputs!$C$11)))</f>
        <v>4015391.551870051</v>
      </c>
    </row>
    <row r="83">
      <c r="A83" s="6" t="inlineStr">
        <is>
          <t xml:space="preserve">LCOE output: output sold</t>
        </is>
      </c>
      <c r="B83" s="10" t="inlineStr">
        <is>
          <t xml:space="preserve">kWh</t>
        </is>
      </c>
      <c r="F83" s="23">
        <f>IF(F6=0,0,IF(F6&lt;=Inputs!$C$11,0,INDEX(Operations!$F$130:$AE$130,F6-Inputs!$C$11)))</f>
        <v>0</v>
      </c>
      <c r="G83" s="23">
        <f>IF(G6=0,0,IF(G6&lt;=Inputs!$C$11,0,INDEX(Operations!$F$130:$AE$130,G6-Inputs!$C$11)))</f>
        <v>0</v>
      </c>
      <c r="H83" s="23">
        <f>IF(H6=0,0,IF(H6&lt;=Inputs!$C$11,0,INDEX(Operations!$F$130:$AE$130,H6-Inputs!$C$11)))</f>
        <v>0</v>
      </c>
      <c r="I83" s="23">
        <f>IF(I6=0,0,IF(I6&lt;=Inputs!$C$11,0,INDEX(Operations!$F$130:$AE$130,I6-Inputs!$C$11)))</f>
        <v>0</v>
      </c>
      <c r="J83" s="23">
        <f>IF(J6=0,0,IF(J6&lt;=Inputs!$C$11,0,INDEX(Operations!$F$130:$AE$130,J6-Inputs!$C$11)))</f>
        <v>0</v>
      </c>
      <c r="K83" s="23">
        <f>IF(K6=0,0,IF(K6&lt;=Inputs!$C$11,0,INDEX(Operations!$F$130:$AE$130,K6-Inputs!$C$11)))</f>
        <v>0</v>
      </c>
      <c r="L83" s="23">
        <f>IF(L6=0,0,IF(L6&lt;=Inputs!$C$11,0,INDEX(Operations!$F$130:$AE$130,L6-Inputs!$C$11)))</f>
        <v>0</v>
      </c>
      <c r="M83" s="23">
        <f>IF(M6=0,0,IF(M6&lt;=Inputs!$C$11,0,INDEX(Operations!$F$130:$AE$130,M6-Inputs!$C$11)))</f>
        <v>0</v>
      </c>
      <c r="N83" s="23">
        <f>IF(N6=0,0,IF(N6&lt;=Inputs!$C$11,0,INDEX(Operations!$F$130:$AE$130,N6-Inputs!$C$11)))</f>
        <v>0</v>
      </c>
      <c r="O83" s="23">
        <f>IF(O6=0,0,IF(O6&lt;=Inputs!$C$11,0,INDEX(Operations!$F$130:$AE$130,O6-Inputs!$C$11)))</f>
        <v>0</v>
      </c>
      <c r="P83" s="23">
        <f>IF(P6=0,0,IF(P6&lt;=Inputs!$C$11,0,INDEX(Operations!$F$130:$AE$130,P6-Inputs!$C$11)))</f>
        <v>0</v>
      </c>
      <c r="Q83" s="23">
        <f>IF(Q6=0,0,IF(Q6&lt;=Inputs!$C$11,0,INDEX(Operations!$F$130:$AE$130,Q6-Inputs!$C$11)))</f>
        <v>0</v>
      </c>
      <c r="R83" s="23">
        <f>IF(R6=0,0,IF(R6&lt;=Inputs!$C$11,0,INDEX(Operations!$F$130:$AE$130,R6-Inputs!$C$11)))</f>
        <v>0</v>
      </c>
      <c r="S83" s="23">
        <f>IF(S6=0,0,IF(S6&lt;=Inputs!$C$11,0,INDEX(Operations!$F$130:$AE$130,S6-Inputs!$C$11)))</f>
        <v>0</v>
      </c>
      <c r="T83" s="23">
        <f>IF(T6=0,0,IF(T6&lt;=Inputs!$C$11,0,INDEX(Operations!$F$130:$AE$130,T6-Inputs!$C$11)))</f>
        <v>0</v>
      </c>
      <c r="U83" s="23">
        <f>IF(U6=0,0,IF(U6&lt;=Inputs!$C$11,0,INDEX(Operations!$F$130:$AE$130,U6-Inputs!$C$11)))</f>
        <v>0</v>
      </c>
      <c r="V83" s="23">
        <f>IF(V6=0,0,IF(V6&lt;=Inputs!$C$11,0,INDEX(Operations!$F$130:$AE$130,V6-Inputs!$C$11)))</f>
        <v>0</v>
      </c>
      <c r="W83" s="23">
        <f>IF(W6=0,0,IF(W6&lt;=Inputs!$C$11,0,INDEX(Operations!$F$130:$AE$130,W6-Inputs!$C$11)))</f>
        <v>0</v>
      </c>
      <c r="X83" s="23">
        <f>IF(X6=0,0,IF(X6&lt;=Inputs!$C$11,0,INDEX(Operations!$F$130:$AE$130,X6-Inputs!$C$11)))</f>
        <v>0</v>
      </c>
      <c r="Y83" s="23">
        <f>IF(Y6=0,0,IF(Y6&lt;=Inputs!$C$11,0,INDEX(Operations!$F$130:$AE$130,Y6-Inputs!$C$11)))</f>
        <v>31842790.940285973</v>
      </c>
      <c r="Z83" s="23">
        <f>IF(Z6=0,0,IF(Z6&lt;=Inputs!$C$11,0,INDEX(Operations!$F$130:$AE$130,Z6-Inputs!$C$11)))</f>
        <v>63212785.658567265</v>
      </c>
      <c r="AA83" s="23">
        <f>IF(AA6=0,0,IF(AA6&lt;=Inputs!$C$11,0,INDEX(Operations!$F$130:$AE$130,AA6-Inputs!$C$11)))</f>
        <v>63086360.08725013</v>
      </c>
      <c r="AB83" s="23">
        <f>IF(AB6=0,0,IF(AB6&lt;=Inputs!$C$11,0,INDEX(Operations!$F$130:$AE$130,AB6-Inputs!$C$11)))</f>
        <v>62960187.36707564</v>
      </c>
      <c r="AC83" s="23">
        <f>IF(AC6=0,0,IF(AC6&lt;=Inputs!$C$11,0,INDEX(Operations!$F$130:$AE$130,AC6-Inputs!$C$11)))</f>
        <v>62834266.99234148</v>
      </c>
      <c r="AD83" s="23">
        <f>IF(AD6=0,0,IF(AD6&lt;=Inputs!$C$11,0,INDEX(Operations!$F$130:$AE$130,AD6-Inputs!$C$11)))</f>
        <v>62708598.4583568</v>
      </c>
      <c r="AE83" s="23">
        <f>IF(AE6=0,0,IF(AE6&lt;=Inputs!$C$11,0,INDEX(Operations!$F$130:$AE$130,AE6-Inputs!$C$11)))</f>
        <v>62583181.26144008</v>
      </c>
      <c r="AF83" s="23">
        <f>IF(AF6=0,0,IF(AF6&lt;=Inputs!$C$11,0,INDEX(Operations!$F$130:$AE$130,AF6-Inputs!$C$11)))</f>
        <v>62458014.8989172</v>
      </c>
      <c r="AG83" s="23">
        <f>IF(AG6=0,0,IF(AG6&lt;=Inputs!$C$11,0,INDEX(Operations!$F$130:$AE$130,AG6-Inputs!$C$11)))</f>
        <v>62333098.86911936</v>
      </c>
      <c r="AH83" s="23">
        <f>IF(AH6=0,0,IF(AH6&lt;=Inputs!$C$11,0,INDEX(Operations!$F$130:$AE$130,AH6-Inputs!$C$11)))</f>
        <v>62208432.67138114</v>
      </c>
      <c r="AI83" s="23">
        <f>IF(AI6=0,0,IF(AI6&lt;=Inputs!$C$11,0,INDEX(Operations!$F$130:$AE$130,AI6-Inputs!$C$11)))</f>
        <v>62084015.806038365</v>
      </c>
      <c r="AJ83" s="23">
        <f>IF(AJ6=0,0,IF(AJ6&lt;=Inputs!$C$11,0,INDEX(Operations!$F$130:$AE$130,AJ6-Inputs!$C$11)))</f>
        <v>61959847.77442629</v>
      </c>
      <c r="AK83" s="23">
        <f>IF(AK6=0,0,IF(AK6&lt;=Inputs!$C$11,0,INDEX(Operations!$F$130:$AE$130,AK6-Inputs!$C$11)))</f>
        <v>61835928.07887744</v>
      </c>
      <c r="AL83" s="23">
        <f>IF(AL6=0,0,IF(AL6&lt;=Inputs!$C$11,0,INDEX(Operations!$F$130:$AE$130,AL6-Inputs!$C$11)))</f>
        <v>61712256.22271969</v>
      </c>
      <c r="AM83" s="23">
        <f>IF(AM6=0,0,IF(AM6&lt;=Inputs!$C$11,0,INDEX(Operations!$F$130:$AE$130,AM6-Inputs!$C$11)))</f>
        <v>61588831.710274234</v>
      </c>
      <c r="AN83" s="23">
        <f>IF(AN6=0,0,IF(AN6&lt;=Inputs!$C$11,0,INDEX(Operations!$F$130:$AE$130,AN6-Inputs!$C$11)))</f>
        <v>61465654.0468537</v>
      </c>
      <c r="AO83" s="23">
        <f>IF(AO6=0,0,IF(AO6&lt;=Inputs!$C$11,0,INDEX(Operations!$F$130:$AE$130,AO6-Inputs!$C$11)))</f>
        <v>61342722.73875999</v>
      </c>
      <c r="AP83" s="23">
        <f>IF(AP6=0,0,IF(AP6&lt;=Inputs!$C$11,0,INDEX(Operations!$F$130:$AE$130,AP6-Inputs!$C$11)))</f>
        <v>61220037.293282464</v>
      </c>
      <c r="AQ83" s="23">
        <f>IF(AQ6=0,0,IF(AQ6&lt;=Inputs!$C$11,0,INDEX(Operations!$F$130:$AE$130,AQ6-Inputs!$C$11)))</f>
        <v>61097597.2186959</v>
      </c>
      <c r="AR83" s="23">
        <f>IF(AR6=0,0,IF(AR6&lt;=Inputs!$C$11,0,INDEX(Operations!$F$130:$AE$130,AR6-Inputs!$C$11)))</f>
        <v>60975402.02425851</v>
      </c>
      <c r="AS83" s="23">
        <f>IF(AS6=0,0,IF(AS6&lt;=Inputs!$C$11,0,INDEX(Operations!$F$130:$AE$130,AS6-Inputs!$C$11)))</f>
        <v>60853451.22020999</v>
      </c>
      <c r="AT83" s="23">
        <f>IF(AT6=0,0,IF(AT6&lt;=Inputs!$C$11,0,INDEX(Operations!$F$130:$AE$130,AT6-Inputs!$C$11)))</f>
        <v>60731744.31776957</v>
      </c>
      <c r="AU83" s="23">
        <f>IF(AU6=0,0,IF(AU6&lt;=Inputs!$C$11,0,INDEX(Operations!$F$130:$AE$130,AU6-Inputs!$C$11)))</f>
        <v>60610280.82913403</v>
      </c>
      <c r="AV83" s="23">
        <f>IF(AV6=0,0,IF(AV6&lt;=Inputs!$C$11,0,INDEX(Operations!$F$130:$AE$130,AV6-Inputs!$C$11)))</f>
        <v>60489060.26747577</v>
      </c>
      <c r="AW83" s="23">
        <f>IF(AW6=0,0,IF(AW6&lt;=Inputs!$C$11,0,INDEX(Operations!$F$130:$AE$130,AW6-Inputs!$C$11)))</f>
        <v>60368082.14694082</v>
      </c>
      <c r="AX83" s="23">
        <f>IF(AX6=0,0,IF(AX6&lt;=Inputs!$C$11,0,INDEX(Operations!$F$130:$AE$130,AX6-Inputs!$C$11)))</f>
        <v>29876081.15851807</v>
      </c>
    </row>
    <row r="84">
      <c r="A84" s="6" t="inlineStr">
        <is>
          <t xml:space="preserve">Owners' cash flow to date</t>
        </is>
      </c>
      <c r="B84" s="10" t="inlineStr">
        <is>
          <t xml:space="preserve">€</t>
        </is>
      </c>
      <c r="E84" s="9">
        <v>0</v>
      </c>
      <c r="F84" s="23">
        <f>E84+F79</f>
        <v>0</v>
      </c>
      <c r="G84" s="23">
        <f>F84+G79</f>
        <v>-7184870.502484033</v>
      </c>
      <c r="H84" s="23">
        <f>G84+H79</f>
        <v>-7797284.725949356</v>
      </c>
      <c r="I84" s="23">
        <f>H84+I79</f>
        <v>-8411232.317751419</v>
      </c>
      <c r="J84" s="23">
        <f>I84+J79</f>
        <v>-9019794.583184414</v>
      </c>
      <c r="K84" s="23">
        <f>J84+K79</f>
        <v>-9629300.789878864</v>
      </c>
      <c r="L84" s="23">
        <f>K84+L79</f>
        <v>-10239752.401982576</v>
      </c>
      <c r="M84" s="23">
        <f>L84+M79</f>
        <v>-10865988.314416941</v>
      </c>
      <c r="N84" s="23">
        <f>M84+N79</f>
        <v>-11492868.770733654</v>
      </c>
      <c r="O84" s="23">
        <f>N84+O79</f>
        <v>-12120394.434319802</v>
      </c>
      <c r="P84" s="23">
        <f>O84+P79</f>
        <v>-12748565.96924525</v>
      </c>
      <c r="Q84" s="23">
        <f>P84+Q79</f>
        <v>-13377384.040263345</v>
      </c>
      <c r="R84" s="23">
        <f>Q84+R79</f>
        <v>-14006849.312811628</v>
      </c>
      <c r="S84" s="23">
        <f>R84+S79</f>
        <v>-14404166.466730492</v>
      </c>
      <c r="T84" s="23">
        <f>S84+T79</f>
        <v>-14801664.025286937</v>
      </c>
      <c r="U84" s="23">
        <f>T84+U79</f>
        <v>-20773436.657459844</v>
      </c>
      <c r="V84" s="23">
        <f>U84+V79</f>
        <v>-26756827.549436238</v>
      </c>
      <c r="W84" s="23">
        <f>V84+W79</f>
        <v>-32751848.659135062</v>
      </c>
      <c r="X84" s="23">
        <f>W84+X79</f>
        <v>-38671265.02302264</v>
      </c>
      <c r="Y84" s="23">
        <f>X84+Y79</f>
        <v>-37336128.96805065</v>
      </c>
      <c r="Z84" s="23">
        <f>Y84+Z79</f>
        <v>-35548658.45116004</v>
      </c>
      <c r="AA84" s="23">
        <f>Z84+AA79</f>
        <v>-35078180.695954986</v>
      </c>
      <c r="AB84" s="23">
        <f>AA84+AB79</f>
        <v>-34504342.997449</v>
      </c>
      <c r="AC84" s="23">
        <f>AB84+AC79</f>
        <v>-33813542.95571081</v>
      </c>
      <c r="AD84" s="23">
        <f>AC84+AD79</f>
        <v>-33044068.836843498</v>
      </c>
      <c r="AE84" s="23">
        <f>AD84+AE79</f>
        <v>-31749725.297922906</v>
      </c>
      <c r="AF84" s="23">
        <f>AE84+AF79</f>
        <v>-30706770.113722455</v>
      </c>
      <c r="AG84" s="23">
        <f>AF84+AG79</f>
        <v>-29543189.827923123</v>
      </c>
      <c r="AH84" s="23">
        <f>AG84+AH79</f>
        <v>-28261300.717950832</v>
      </c>
      <c r="AI84" s="23">
        <f>AH84+AI79</f>
        <v>-26980947.957582798</v>
      </c>
      <c r="AJ84" s="23">
        <f>AI84+AJ79</f>
        <v>-25580679.362336636</v>
      </c>
      <c r="AK84" s="23">
        <f>AJ84+AK79</f>
        <v>-24058395.838027924</v>
      </c>
      <c r="AL84" s="23">
        <f>AK84+AL79</f>
        <v>-22416638.533259388</v>
      </c>
      <c r="AM84" s="23">
        <f>AL84+AM79</f>
        <v>-20650948.31775769</v>
      </c>
      <c r="AN84" s="23">
        <f>AM84+AN79</f>
        <v>-18761505.767797012</v>
      </c>
      <c r="AO84" s="23">
        <f>AN84+AO79</f>
        <v>-16761754.834453423</v>
      </c>
      <c r="AP84" s="23">
        <f>AO84+AP79</f>
        <v>-14746100.235279085</v>
      </c>
      <c r="AQ84" s="23">
        <f>AP84+AQ79</f>
        <v>-12310508.389377289</v>
      </c>
      <c r="AR84" s="23">
        <f>AQ84+AR79</f>
        <v>-8875701.217862278</v>
      </c>
      <c r="AS84" s="23">
        <f>AR84+AS79</f>
        <v>-5905006.1599816885</v>
      </c>
      <c r="AT84" s="23">
        <f>AS84+AT79</f>
        <v>-2876074.5494980984</v>
      </c>
      <c r="AU84" s="23">
        <f>AT84+AU79</f>
        <v>216250.04404497892</v>
      </c>
      <c r="AV84" s="23">
        <f>AU84+AV79</f>
        <v>3286961.442720978</v>
      </c>
      <c r="AW84" s="23">
        <f>AV84+AW79</f>
        <v>6161553.24402575</v>
      </c>
      <c r="AX84" s="23">
        <f>AW84+AX79</f>
        <v>7913563.250403671</v>
      </c>
    </row>
    <row r="85">
      <c r="A85" s="6" t="inlineStr">
        <is>
          <t xml:space="preserve">Turns non-negative here (1 = yes)</t>
        </is>
      </c>
      <c r="F85" s="23">
        <f>IF(AND(E84&lt;0,F84&gt;=0,F79&gt;0),1,0)</f>
        <v>0</v>
      </c>
      <c r="G85" s="23">
        <f>IF(AND(F84&lt;0,G84&gt;=0,G79&gt;0),1,0)</f>
        <v>0</v>
      </c>
      <c r="H85" s="23">
        <f>IF(AND(G84&lt;0,H84&gt;=0,H79&gt;0),1,0)</f>
        <v>0</v>
      </c>
      <c r="I85" s="23">
        <f>IF(AND(H84&lt;0,I84&gt;=0,I79&gt;0),1,0)</f>
        <v>0</v>
      </c>
      <c r="J85" s="23">
        <f>IF(AND(I84&lt;0,J84&gt;=0,J79&gt;0),1,0)</f>
        <v>0</v>
      </c>
      <c r="K85" s="23">
        <f>IF(AND(J84&lt;0,K84&gt;=0,K79&gt;0),1,0)</f>
        <v>0</v>
      </c>
      <c r="L85" s="23">
        <f>IF(AND(K84&lt;0,L84&gt;=0,L79&gt;0),1,0)</f>
        <v>0</v>
      </c>
      <c r="M85" s="23">
        <f>IF(AND(L84&lt;0,M84&gt;=0,M79&gt;0),1,0)</f>
        <v>0</v>
      </c>
      <c r="N85" s="23">
        <f>IF(AND(M84&lt;0,N84&gt;=0,N79&gt;0),1,0)</f>
        <v>0</v>
      </c>
      <c r="O85" s="23">
        <f>IF(AND(N84&lt;0,O84&gt;=0,O79&gt;0),1,0)</f>
        <v>0</v>
      </c>
      <c r="P85" s="23">
        <f>IF(AND(O84&lt;0,P84&gt;=0,P79&gt;0),1,0)</f>
        <v>0</v>
      </c>
      <c r="Q85" s="23">
        <f>IF(AND(P84&lt;0,Q84&gt;=0,Q79&gt;0),1,0)</f>
        <v>0</v>
      </c>
      <c r="R85" s="23">
        <f>IF(AND(Q84&lt;0,R84&gt;=0,R79&gt;0),1,0)</f>
        <v>0</v>
      </c>
      <c r="S85" s="23">
        <f>IF(AND(R84&lt;0,S84&gt;=0,S79&gt;0),1,0)</f>
        <v>0</v>
      </c>
      <c r="T85" s="23">
        <f>IF(AND(S84&lt;0,T84&gt;=0,T79&gt;0),1,0)</f>
        <v>0</v>
      </c>
      <c r="U85" s="23">
        <f>IF(AND(T84&lt;0,U84&gt;=0,U79&gt;0),1,0)</f>
        <v>0</v>
      </c>
      <c r="V85" s="23">
        <f>IF(AND(U84&lt;0,V84&gt;=0,V79&gt;0),1,0)</f>
        <v>0</v>
      </c>
      <c r="W85" s="23">
        <f>IF(AND(V84&lt;0,W84&gt;=0,W79&gt;0),1,0)</f>
        <v>0</v>
      </c>
      <c r="X85" s="23">
        <f>IF(AND(W84&lt;0,X84&gt;=0,X79&gt;0),1,0)</f>
        <v>0</v>
      </c>
      <c r="Y85" s="23">
        <f>IF(AND(X84&lt;0,Y84&gt;=0,Y79&gt;0),1,0)</f>
        <v>0</v>
      </c>
      <c r="Z85" s="23">
        <f>IF(AND(Y84&lt;0,Z84&gt;=0,Z79&gt;0),1,0)</f>
        <v>0</v>
      </c>
      <c r="AA85" s="23">
        <f>IF(AND(Z84&lt;0,AA84&gt;=0,AA79&gt;0),1,0)</f>
        <v>0</v>
      </c>
      <c r="AB85" s="23">
        <f>IF(AND(AA84&lt;0,AB84&gt;=0,AB79&gt;0),1,0)</f>
        <v>0</v>
      </c>
      <c r="AC85" s="23">
        <f>IF(AND(AB84&lt;0,AC84&gt;=0,AC79&gt;0),1,0)</f>
        <v>0</v>
      </c>
      <c r="AD85" s="23">
        <f>IF(AND(AC84&lt;0,AD84&gt;=0,AD79&gt;0),1,0)</f>
        <v>0</v>
      </c>
      <c r="AE85" s="23">
        <f>IF(AND(AD84&lt;0,AE84&gt;=0,AE79&gt;0),1,0)</f>
        <v>0</v>
      </c>
      <c r="AF85" s="23">
        <f>IF(AND(AE84&lt;0,AF84&gt;=0,AF79&gt;0),1,0)</f>
        <v>0</v>
      </c>
      <c r="AG85" s="23">
        <f>IF(AND(AF84&lt;0,AG84&gt;=0,AG79&gt;0),1,0)</f>
        <v>0</v>
      </c>
      <c r="AH85" s="23">
        <f>IF(AND(AG84&lt;0,AH84&gt;=0,AH79&gt;0),1,0)</f>
        <v>0</v>
      </c>
      <c r="AI85" s="23">
        <f>IF(AND(AH84&lt;0,AI84&gt;=0,AI79&gt;0),1,0)</f>
        <v>0</v>
      </c>
      <c r="AJ85" s="23">
        <f>IF(AND(AI84&lt;0,AJ84&gt;=0,AJ79&gt;0),1,0)</f>
        <v>0</v>
      </c>
      <c r="AK85" s="23">
        <f>IF(AND(AJ84&lt;0,AK84&gt;=0,AK79&gt;0),1,0)</f>
        <v>0</v>
      </c>
      <c r="AL85" s="23">
        <f>IF(AND(AK84&lt;0,AL84&gt;=0,AL79&gt;0),1,0)</f>
        <v>0</v>
      </c>
      <c r="AM85" s="23">
        <f>IF(AND(AL84&lt;0,AM84&gt;=0,AM79&gt;0),1,0)</f>
        <v>0</v>
      </c>
      <c r="AN85" s="23">
        <f>IF(AND(AM84&lt;0,AN84&gt;=0,AN79&gt;0),1,0)</f>
        <v>0</v>
      </c>
      <c r="AO85" s="23">
        <f>IF(AND(AN84&lt;0,AO84&gt;=0,AO79&gt;0),1,0)</f>
        <v>0</v>
      </c>
      <c r="AP85" s="23">
        <f>IF(AND(AO84&lt;0,AP84&gt;=0,AP79&gt;0),1,0)</f>
        <v>0</v>
      </c>
      <c r="AQ85" s="23">
        <f>IF(AND(AP84&lt;0,AQ84&gt;=0,AQ79&gt;0),1,0)</f>
        <v>0</v>
      </c>
      <c r="AR85" s="23">
        <f>IF(AND(AQ84&lt;0,AR84&gt;=0,AR79&gt;0),1,0)</f>
        <v>0</v>
      </c>
      <c r="AS85" s="23">
        <f>IF(AND(AR84&lt;0,AS84&gt;=0,AS79&gt;0),1,0)</f>
        <v>0</v>
      </c>
      <c r="AT85" s="23">
        <f>IF(AND(AS84&lt;0,AT84&gt;=0,AT79&gt;0),1,0)</f>
        <v>0</v>
      </c>
      <c r="AU85" s="23">
        <f>IF(AND(AT84&lt;0,AU84&gt;=0,AU79&gt;0),1,0)</f>
        <v>1</v>
      </c>
      <c r="AV85" s="23">
        <f>IF(AND(AU84&lt;0,AV84&gt;=0,AV79&gt;0),1,0)</f>
        <v>0</v>
      </c>
      <c r="AW85" s="23">
        <f>IF(AND(AV84&lt;0,AW84&gt;=0,AW79&gt;0),1,0)</f>
        <v>0</v>
      </c>
      <c r="AX85" s="23">
        <f>IF(AND(AW84&lt;0,AX84&gt;=0,AX79&gt;0),1,0)</f>
        <v>0</v>
      </c>
    </row>
    <row r="86">
      <c r="A86" s="6" t="inlineStr">
        <is>
          <t xml:space="preserve">Crossings to date</t>
        </is>
      </c>
      <c r="E86" s="9">
        <v>0</v>
      </c>
      <c r="F86" s="23">
        <f>E86+F85</f>
        <v>0</v>
      </c>
      <c r="G86" s="23">
        <f>F86+G85</f>
        <v>0</v>
      </c>
      <c r="H86" s="23">
        <f>G86+H85</f>
        <v>0</v>
      </c>
      <c r="I86" s="23">
        <f>H86+I85</f>
        <v>0</v>
      </c>
      <c r="J86" s="23">
        <f>I86+J85</f>
        <v>0</v>
      </c>
      <c r="K86" s="23">
        <f>J86+K85</f>
        <v>0</v>
      </c>
      <c r="L86" s="23">
        <f>K86+L85</f>
        <v>0</v>
      </c>
      <c r="M86" s="23">
        <f>L86+M85</f>
        <v>0</v>
      </c>
      <c r="N86" s="23">
        <f>M86+N85</f>
        <v>0</v>
      </c>
      <c r="O86" s="23">
        <f>N86+O85</f>
        <v>0</v>
      </c>
      <c r="P86" s="23">
        <f>O86+P85</f>
        <v>0</v>
      </c>
      <c r="Q86" s="23">
        <f>P86+Q85</f>
        <v>0</v>
      </c>
      <c r="R86" s="23">
        <f>Q86+R85</f>
        <v>0</v>
      </c>
      <c r="S86" s="23">
        <f>R86+S85</f>
        <v>0</v>
      </c>
      <c r="T86" s="23">
        <f>S86+T85</f>
        <v>0</v>
      </c>
      <c r="U86" s="23">
        <f>T86+U85</f>
        <v>0</v>
      </c>
      <c r="V86" s="23">
        <f>U86+V85</f>
        <v>0</v>
      </c>
      <c r="W86" s="23">
        <f>V86+W85</f>
        <v>0</v>
      </c>
      <c r="X86" s="23">
        <f>W86+X85</f>
        <v>0</v>
      </c>
      <c r="Y86" s="23">
        <f>X86+Y85</f>
        <v>0</v>
      </c>
      <c r="Z86" s="23">
        <f>Y86+Z85</f>
        <v>0</v>
      </c>
      <c r="AA86" s="23">
        <f>Z86+AA85</f>
        <v>0</v>
      </c>
      <c r="AB86" s="23">
        <f>AA86+AB85</f>
        <v>0</v>
      </c>
      <c r="AC86" s="23">
        <f>AB86+AC85</f>
        <v>0</v>
      </c>
      <c r="AD86" s="23">
        <f>AC86+AD85</f>
        <v>0</v>
      </c>
      <c r="AE86" s="23">
        <f>AD86+AE85</f>
        <v>0</v>
      </c>
      <c r="AF86" s="23">
        <f>AE86+AF85</f>
        <v>0</v>
      </c>
      <c r="AG86" s="23">
        <f>AF86+AG85</f>
        <v>0</v>
      </c>
      <c r="AH86" s="23">
        <f>AG86+AH85</f>
        <v>0</v>
      </c>
      <c r="AI86" s="23">
        <f>AH86+AI85</f>
        <v>0</v>
      </c>
      <c r="AJ86" s="23">
        <f>AI86+AJ85</f>
        <v>0</v>
      </c>
      <c r="AK86" s="23">
        <f>AJ86+AK85</f>
        <v>0</v>
      </c>
      <c r="AL86" s="23">
        <f>AK86+AL85</f>
        <v>0</v>
      </c>
      <c r="AM86" s="23">
        <f>AL86+AM85</f>
        <v>0</v>
      </c>
      <c r="AN86" s="23">
        <f>AM86+AN85</f>
        <v>0</v>
      </c>
      <c r="AO86" s="23">
        <f>AN86+AO85</f>
        <v>0</v>
      </c>
      <c r="AP86" s="23">
        <f>AO86+AP85</f>
        <v>0</v>
      </c>
      <c r="AQ86" s="23">
        <f>AP86+AQ85</f>
        <v>0</v>
      </c>
      <c r="AR86" s="23">
        <f>AQ86+AR85</f>
        <v>0</v>
      </c>
      <c r="AS86" s="23">
        <f>AR86+AS85</f>
        <v>0</v>
      </c>
      <c r="AT86" s="23">
        <f>AS86+AT85</f>
        <v>0</v>
      </c>
      <c r="AU86" s="23">
        <f>AT86+AU85</f>
        <v>1</v>
      </c>
      <c r="AV86" s="23">
        <f>AU86+AV85</f>
        <v>1</v>
      </c>
      <c r="AW86" s="23">
        <f>AV86+AW85</f>
        <v>1</v>
      </c>
      <c r="AX86" s="23">
        <f>AW86+AX85</f>
        <v>1</v>
      </c>
    </row>
    <row r="87">
      <c r="A87" s="6" t="inlineStr">
        <is>
          <t xml:space="preserve">First crossing (1 = yes)</t>
        </is>
      </c>
      <c r="F87" s="23">
        <f>IF(AND(F85=1,E86=0),1,0)</f>
        <v>0</v>
      </c>
      <c r="G87" s="23">
        <f>IF(AND(G85=1,F86=0),1,0)</f>
        <v>0</v>
      </c>
      <c r="H87" s="23">
        <f>IF(AND(H85=1,G86=0),1,0)</f>
        <v>0</v>
      </c>
      <c r="I87" s="23">
        <f>IF(AND(I85=1,H86=0),1,0)</f>
        <v>0</v>
      </c>
      <c r="J87" s="23">
        <f>IF(AND(J85=1,I86=0),1,0)</f>
        <v>0</v>
      </c>
      <c r="K87" s="23">
        <f>IF(AND(K85=1,J86=0),1,0)</f>
        <v>0</v>
      </c>
      <c r="L87" s="23">
        <f>IF(AND(L85=1,K86=0),1,0)</f>
        <v>0</v>
      </c>
      <c r="M87" s="23">
        <f>IF(AND(M85=1,L86=0),1,0)</f>
        <v>0</v>
      </c>
      <c r="N87" s="23">
        <f>IF(AND(N85=1,M86=0),1,0)</f>
        <v>0</v>
      </c>
      <c r="O87" s="23">
        <f>IF(AND(O85=1,N86=0),1,0)</f>
        <v>0</v>
      </c>
      <c r="P87" s="23">
        <f>IF(AND(P85=1,O86=0),1,0)</f>
        <v>0</v>
      </c>
      <c r="Q87" s="23">
        <f>IF(AND(Q85=1,P86=0),1,0)</f>
        <v>0</v>
      </c>
      <c r="R87" s="23">
        <f>IF(AND(R85=1,Q86=0),1,0)</f>
        <v>0</v>
      </c>
      <c r="S87" s="23">
        <f>IF(AND(S85=1,R86=0),1,0)</f>
        <v>0</v>
      </c>
      <c r="T87" s="23">
        <f>IF(AND(T85=1,S86=0),1,0)</f>
        <v>0</v>
      </c>
      <c r="U87" s="23">
        <f>IF(AND(U85=1,T86=0),1,0)</f>
        <v>0</v>
      </c>
      <c r="V87" s="23">
        <f>IF(AND(V85=1,U86=0),1,0)</f>
        <v>0</v>
      </c>
      <c r="W87" s="23">
        <f>IF(AND(W85=1,V86=0),1,0)</f>
        <v>0</v>
      </c>
      <c r="X87" s="23">
        <f>IF(AND(X85=1,W86=0),1,0)</f>
        <v>0</v>
      </c>
      <c r="Y87" s="23">
        <f>IF(AND(Y85=1,X86=0),1,0)</f>
        <v>0</v>
      </c>
      <c r="Z87" s="23">
        <f>IF(AND(Z85=1,Y86=0),1,0)</f>
        <v>0</v>
      </c>
      <c r="AA87" s="23">
        <f>IF(AND(AA85=1,Z86=0),1,0)</f>
        <v>0</v>
      </c>
      <c r="AB87" s="23">
        <f>IF(AND(AB85=1,AA86=0),1,0)</f>
        <v>0</v>
      </c>
      <c r="AC87" s="23">
        <f>IF(AND(AC85=1,AB86=0),1,0)</f>
        <v>0</v>
      </c>
      <c r="AD87" s="23">
        <f>IF(AND(AD85=1,AC86=0),1,0)</f>
        <v>0</v>
      </c>
      <c r="AE87" s="23">
        <f>IF(AND(AE85=1,AD86=0),1,0)</f>
        <v>0</v>
      </c>
      <c r="AF87" s="23">
        <f>IF(AND(AF85=1,AE86=0),1,0)</f>
        <v>0</v>
      </c>
      <c r="AG87" s="23">
        <f>IF(AND(AG85=1,AF86=0),1,0)</f>
        <v>0</v>
      </c>
      <c r="AH87" s="23">
        <f>IF(AND(AH85=1,AG86=0),1,0)</f>
        <v>0</v>
      </c>
      <c r="AI87" s="23">
        <f>IF(AND(AI85=1,AH86=0),1,0)</f>
        <v>0</v>
      </c>
      <c r="AJ87" s="23">
        <f>IF(AND(AJ85=1,AI86=0),1,0)</f>
        <v>0</v>
      </c>
      <c r="AK87" s="23">
        <f>IF(AND(AK85=1,AJ86=0),1,0)</f>
        <v>0</v>
      </c>
      <c r="AL87" s="23">
        <f>IF(AND(AL85=1,AK86=0),1,0)</f>
        <v>0</v>
      </c>
      <c r="AM87" s="23">
        <f>IF(AND(AM85=1,AL86=0),1,0)</f>
        <v>0</v>
      </c>
      <c r="AN87" s="23">
        <f>IF(AND(AN85=1,AM86=0),1,0)</f>
        <v>0</v>
      </c>
      <c r="AO87" s="23">
        <f>IF(AND(AO85=1,AN86=0),1,0)</f>
        <v>0</v>
      </c>
      <c r="AP87" s="23">
        <f>IF(AND(AP85=1,AO86=0),1,0)</f>
        <v>0</v>
      </c>
      <c r="AQ87" s="23">
        <f>IF(AND(AQ85=1,AP86=0),1,0)</f>
        <v>0</v>
      </c>
      <c r="AR87" s="23">
        <f>IF(AND(AR85=1,AQ86=0),1,0)</f>
        <v>0</v>
      </c>
      <c r="AS87" s="23">
        <f>IF(AND(AS85=1,AR86=0),1,0)</f>
        <v>0</v>
      </c>
      <c r="AT87" s="23">
        <f>IF(AND(AT85=1,AS86=0),1,0)</f>
        <v>0</v>
      </c>
      <c r="AU87" s="23">
        <f>IF(AND(AU85=1,AT86=0),1,0)</f>
        <v>1</v>
      </c>
      <c r="AV87" s="23">
        <f>IF(AND(AV85=1,AU86=0),1,0)</f>
        <v>0</v>
      </c>
      <c r="AW87" s="23">
        <f>IF(AND(AW85=1,AV86=0),1,0)</f>
        <v>0</v>
      </c>
      <c r="AX87" s="23">
        <f>IF(AND(AX85=1,AW86=0),1,0)</f>
        <v>0</v>
      </c>
    </row>
    <row r="88">
      <c r="A88" s="6" t="inlineStr">
        <is>
          <t xml:space="preserve">Date the cumulative flow reaches zero</t>
        </is>
      </c>
      <c r="F88" s="27">
        <f>IF(F87=1,E7+(F7-E7)*(-E84)/F79,0)</f>
        <v>0</v>
      </c>
      <c r="G88" s="27">
        <f>IF(G87=1,F7+(G7-F7)*(-F84)/G79,0)</f>
        <v>0</v>
      </c>
      <c r="H88" s="27">
        <f>IF(H87=1,G7+(H7-G7)*(-G84)/H79,0)</f>
        <v>0</v>
      </c>
      <c r="I88" s="27">
        <f>IF(I87=1,H7+(I7-H7)*(-H84)/I79,0)</f>
        <v>0</v>
      </c>
      <c r="J88" s="27">
        <f>IF(J87=1,I7+(J7-I7)*(-I84)/J79,0)</f>
        <v>0</v>
      </c>
      <c r="K88" s="27">
        <f>IF(K87=1,J7+(K7-J7)*(-J84)/K79,0)</f>
        <v>0</v>
      </c>
      <c r="L88" s="27">
        <f>IF(L87=1,K7+(L7-K7)*(-K84)/L79,0)</f>
        <v>0</v>
      </c>
      <c r="M88" s="27">
        <f>IF(M87=1,L7+(M7-L7)*(-L84)/M79,0)</f>
        <v>0</v>
      </c>
      <c r="N88" s="27">
        <f>IF(N87=1,M7+(N7-M7)*(-M84)/N79,0)</f>
        <v>0</v>
      </c>
      <c r="O88" s="27">
        <f>IF(O87=1,N7+(O7-N7)*(-N84)/O79,0)</f>
        <v>0</v>
      </c>
      <c r="P88" s="27">
        <f>IF(P87=1,O7+(P7-O7)*(-O84)/P79,0)</f>
        <v>0</v>
      </c>
      <c r="Q88" s="27">
        <f>IF(Q87=1,P7+(Q7-P7)*(-P84)/Q79,0)</f>
        <v>0</v>
      </c>
      <c r="R88" s="27">
        <f>IF(R87=1,Q7+(R7-Q7)*(-Q84)/R79,0)</f>
        <v>0</v>
      </c>
      <c r="S88" s="27">
        <f>IF(S87=1,R7+(S7-R7)*(-R84)/S79,0)</f>
        <v>0</v>
      </c>
      <c r="T88" s="27">
        <f>IF(T87=1,S7+(T7-S7)*(-S84)/T79,0)</f>
        <v>0</v>
      </c>
      <c r="U88" s="27">
        <f>IF(U87=1,T7+(U7-T7)*(-T84)/U79,0)</f>
        <v>0</v>
      </c>
      <c r="V88" s="27">
        <f>IF(V87=1,U7+(V7-U7)*(-U84)/V79,0)</f>
        <v>0</v>
      </c>
      <c r="W88" s="27">
        <f>IF(W87=1,V7+(W7-V7)*(-V84)/W79,0)</f>
        <v>0</v>
      </c>
      <c r="X88" s="27">
        <f>IF(X87=1,W7+(X7-W7)*(-W84)/X79,0)</f>
        <v>0</v>
      </c>
      <c r="Y88" s="27">
        <f>IF(Y87=1,X7+(Y7-X7)*(-X84)/Y79,0)</f>
        <v>0</v>
      </c>
      <c r="Z88" s="27">
        <f>IF(Z87=1,Y7+(Z7-Y7)*(-Y84)/Z79,0)</f>
        <v>0</v>
      </c>
      <c r="AA88" s="27">
        <f>IF(AA87=1,Z7+(AA7-Z7)*(-Z84)/AA79,0)</f>
        <v>0</v>
      </c>
      <c r="AB88" s="27">
        <f>IF(AB87=1,AA7+(AB7-AA7)*(-AA84)/AB79,0)</f>
        <v>0</v>
      </c>
      <c r="AC88" s="27">
        <f>IF(AC87=1,AB7+(AC7-AB7)*(-AB84)/AC79,0)</f>
        <v>0</v>
      </c>
      <c r="AD88" s="27">
        <f>IF(AD87=1,AC7+(AD7-AC7)*(-AC84)/AD79,0)</f>
        <v>0</v>
      </c>
      <c r="AE88" s="27">
        <f>IF(AE87=1,AD7+(AE7-AD7)*(-AD84)/AE79,0)</f>
        <v>0</v>
      </c>
      <c r="AF88" s="27">
        <f>IF(AF87=1,AE7+(AF7-AE7)*(-AE84)/AF79,0)</f>
        <v>0</v>
      </c>
      <c r="AG88" s="27">
        <f>IF(AG87=1,AF7+(AG7-AF7)*(-AF84)/AG79,0)</f>
        <v>0</v>
      </c>
      <c r="AH88" s="27">
        <f>IF(AH87=1,AG7+(AH7-AG7)*(-AG84)/AH79,0)</f>
        <v>0</v>
      </c>
      <c r="AI88" s="27">
        <f>IF(AI87=1,AH7+(AI7-AH7)*(-AH84)/AI79,0)</f>
        <v>0</v>
      </c>
      <c r="AJ88" s="27">
        <f>IF(AJ87=1,AI7+(AJ7-AI7)*(-AI84)/AJ79,0)</f>
        <v>0</v>
      </c>
      <c r="AK88" s="27">
        <f>IF(AK87=1,AJ7+(AK7-AJ7)*(-AJ84)/AK79,0)</f>
        <v>0</v>
      </c>
      <c r="AL88" s="27">
        <f>IF(AL87=1,AK7+(AL7-AK7)*(-AK84)/AL79,0)</f>
        <v>0</v>
      </c>
      <c r="AM88" s="27">
        <f>IF(AM87=1,AL7+(AM7-AL7)*(-AL84)/AM79,0)</f>
        <v>0</v>
      </c>
      <c r="AN88" s="27">
        <f>IF(AN87=1,AM7+(AN7-AM7)*(-AM84)/AN79,0)</f>
        <v>0</v>
      </c>
      <c r="AO88" s="27">
        <f>IF(AO87=1,AN7+(AO7-AN7)*(-AN84)/AO79,0)</f>
        <v>0</v>
      </c>
      <c r="AP88" s="27">
        <f>IF(AP87=1,AO7+(AP7-AO7)*(-AO84)/AP79,0)</f>
        <v>0</v>
      </c>
      <c r="AQ88" s="27">
        <f>IF(AQ87=1,AP7+(AQ7-AP7)*(-AP84)/AQ79,0)</f>
        <v>0</v>
      </c>
      <c r="AR88" s="27">
        <f>IF(AR87=1,AQ7+(AR7-AQ7)*(-AQ84)/AR79,0)</f>
        <v>0</v>
      </c>
      <c r="AS88" s="27">
        <f>IF(AS87=1,AR7+(AS7-AR7)*(-AR84)/AS79,0)</f>
        <v>0</v>
      </c>
      <c r="AT88" s="27">
        <f>IF(AT87=1,AS7+(AT7-AS7)*(-AS84)/AT79,0)</f>
        <v>0</v>
      </c>
      <c r="AU88" s="27">
        <f>IF(AU87=1,AT7+(AU7-AT7)*(-AT84)/AU79,0)</f>
        <v>55127.475103214834</v>
      </c>
      <c r="AV88" s="27">
        <f>IF(AV87=1,AU7+(AV7-AU7)*(-AU84)/AV79,0)</f>
        <v>0</v>
      </c>
      <c r="AW88" s="27">
        <f>IF(AW87=1,AV7+(AW7-AV7)*(-AV84)/AW79,0)</f>
        <v>0</v>
      </c>
      <c r="AX88" s="27">
        <f>IF(AX87=1,AW7+(AX7-AW7)*(-AW84)/AX79,0)</f>
        <v>0</v>
      </c>
    </row>
    <row r="89">
      <c r="A89" s="6" t="inlineStr">
        <is>
          <t xml:space="preserve">Start value for XIRR (the website's result)</t>
        </is>
      </c>
      <c r="C89" s="48">
        <v>0.011618441429773113</v>
      </c>
    </row>
    <row r="90">
      <c r="A90" s="6" t="inlineStr">
        <is>
          <t xml:space="preserve">Start value for the project XIRR before tax (website)</t>
        </is>
      </c>
      <c r="C90" s="48">
        <v>0.024757956057828732</v>
      </c>
    </row>
    <row r="91">
      <c r="A91" s="6" t="inlineStr">
        <is>
          <t xml:space="preserve">Start value for the project XIRR after tax (website)</t>
        </is>
      </c>
      <c r="C91" s="48">
        <v>0.02215789734286768</v>
      </c>
    </row>
    <row r="92">
      <c r="A92" s="6" t="inlineStr">
        <is>
          <t xml:space="preserve">Funding: the company never runs out of cash (otherwise the owners' returns are n.m.)</t>
        </is>
      </c>
      <c r="C92" s="7" t="str">
        <f>IF(MIN(Waterfall!$F$121:$AE$121)&gt;-1,"funded","not funded")</f>
        <v>funded</v>
      </c>
    </row>
    <row r="93">
      <c r="A93" s="41" t="inlineStr">
        <is>
          <t xml:space="preserve">Equity IRR</t>
        </is>
      </c>
      <c r="C93" s="49">
        <f>IF($C$92="funded",$C$108,"n.m.")</f>
        <v>0.011618441429773113</v>
      </c>
    </row>
    <row r="94">
      <c r="A94" s="41" t="inlineStr">
        <is>
          <t xml:space="preserve">Equity NPV at the cost of equity, at financial close</t>
        </is>
      </c>
      <c r="B94" s="10" t="inlineStr">
        <is>
          <t xml:space="preserve">€</t>
        </is>
      </c>
      <c r="C94" s="42">
        <f>IF($C$92="funded",$C$109,"n.m.")</f>
        <v>-21514199.112949178</v>
      </c>
    </row>
    <row r="95">
      <c r="A95" s="41" t="inlineStr">
        <is>
          <t xml:space="preserve">Project IRR before tax</t>
        </is>
      </c>
      <c r="C95" s="49">
        <f>IFERROR(IF(SUMPRODUCT($G$80:$AX$80/(1+XIRR($G$80:$AX$80,$G$7:$AX$7,$C$90)-Inputs!$C$160)^(($G$7:$AX$7-MIN($G$7:$AX$7))/Inputs!$C$147))*SUMPRODUCT($G$80:$AX$80/(1+XIRR($G$80:$AX$80,$G$7:$AX$7,$C$90)+Inputs!$C$160)^(($G$7:$AX$7-MIN($G$7:$AX$7))/Inputs!$C$147))&lt;=0,XIRR($G$80:$AX$80,$G$7:$AX$7,$C$90),NA()),IFERROR(IF(SUMPRODUCT($G$80:$AX$80/(1+XIRR($G$80:$AX$80,$G$7:$AX$7,$C$90-Inputs!$C$161)-Inputs!$C$160)^(($G$7:$AX$7-MIN($G$7:$AX$7))/Inputs!$C$147))*SUMPRODUCT($G$80:$AX$80/(1+XIRR($G$80:$AX$80,$G$7:$AX$7,$C$90-Inputs!$C$161)+Inputs!$C$160)^(($G$7:$AX$7-MIN($G$7:$AX$7))/Inputs!$C$147))&lt;=0,XIRR($G$80:$AX$80,$G$7:$AX$7,$C$90-Inputs!$C$161),NA()),IFERROR(IF(SUMPRODUCT($G$80:$AX$80/(1+XIRR($G$80:$AX$80,$G$7:$AX$7,$C$90+Inputs!$C$161)-Inputs!$C$160)^(($G$7:$AX$7-MIN($G$7:$AX$7))/Inputs!$C$147))*SUMPRODUCT($G$80:$AX$80/(1+XIRR($G$80:$AX$80,$G$7:$AX$7,$C$90+Inputs!$C$161)+Inputs!$C$160)^(($G$7:$AX$7-MIN($G$7:$AX$7))/Inputs!$C$147))&lt;=0,XIRR($G$80:$AX$80,$G$7:$AX$7,$C$90+Inputs!$C$161),NA()),IFERROR(IF(SUMPRODUCT($G$80:$AX$80/(1+XIRR($G$80:$AX$80,$G$7:$AX$7,Inputs!$C$162)-Inputs!$C$160)^(($G$7:$AX$7-MIN($G$7:$AX$7))/Inputs!$C$147))*SUMPRODUCT($G$80:$AX$80/(1+XIRR($G$80:$AX$80,$G$7:$AX$7,Inputs!$C$162)+Inputs!$C$160)^(($G$7:$AX$7-MIN($G$7:$AX$7))/Inputs!$C$147))&lt;=0,XIRR($G$80:$AX$80,$G$7:$AX$7,Inputs!$C$162),NA()),IFERROR(IF(SUMPRODUCT($G$80:$AX$80/(1+XIRR($G$80:$AX$80,$G$7:$AX$7,Inputs!$C$163)-Inputs!$C$160)^(($G$7:$AX$7-MIN($G$7:$AX$7))/Inputs!$C$147))*SUMPRODUCT($G$80:$AX$80/(1+XIRR($G$80:$AX$80,$G$7:$AX$7,Inputs!$C$163)+Inputs!$C$160)^(($G$7:$AX$7-MIN($G$7:$AX$7))/Inputs!$C$147))&lt;=0,XIRR($G$80:$AX$80,$G$7:$AX$7,Inputs!$C$163),NA()),"n/a")))))</f>
        <v>0.024757956057828732</v>
      </c>
    </row>
    <row r="96">
      <c r="A96" s="41" t="inlineStr">
        <is>
          <t xml:space="preserve">Project IRR after tax</t>
        </is>
      </c>
      <c r="C96" s="49">
        <f>IFERROR(IF(SUMPRODUCT($G$81:$AX$81/(1+XIRR($G$81:$AX$81,$G$7:$AX$7,$C$91)-Inputs!$C$160)^(($G$7:$AX$7-MIN($G$7:$AX$7))/Inputs!$C$147))*SUMPRODUCT($G$81:$AX$81/(1+XIRR($G$81:$AX$81,$G$7:$AX$7,$C$91)+Inputs!$C$160)^(($G$7:$AX$7-MIN($G$7:$AX$7))/Inputs!$C$147))&lt;=0,XIRR($G$81:$AX$81,$G$7:$AX$7,$C$91),NA()),IFERROR(IF(SUMPRODUCT($G$81:$AX$81/(1+XIRR($G$81:$AX$81,$G$7:$AX$7,$C$91-Inputs!$C$161)-Inputs!$C$160)^(($G$7:$AX$7-MIN($G$7:$AX$7))/Inputs!$C$147))*SUMPRODUCT($G$81:$AX$81/(1+XIRR($G$81:$AX$81,$G$7:$AX$7,$C$91-Inputs!$C$161)+Inputs!$C$160)^(($G$7:$AX$7-MIN($G$7:$AX$7))/Inputs!$C$147))&lt;=0,XIRR($G$81:$AX$81,$G$7:$AX$7,$C$91-Inputs!$C$161),NA()),IFERROR(IF(SUMPRODUCT($G$81:$AX$81/(1+XIRR($G$81:$AX$81,$G$7:$AX$7,$C$91+Inputs!$C$161)-Inputs!$C$160)^(($G$7:$AX$7-MIN($G$7:$AX$7))/Inputs!$C$147))*SUMPRODUCT($G$81:$AX$81/(1+XIRR($G$81:$AX$81,$G$7:$AX$7,$C$91+Inputs!$C$161)+Inputs!$C$160)^(($G$7:$AX$7-MIN($G$7:$AX$7))/Inputs!$C$147))&lt;=0,XIRR($G$81:$AX$81,$G$7:$AX$7,$C$91+Inputs!$C$161),NA()),IFERROR(IF(SUMPRODUCT($G$81:$AX$81/(1+XIRR($G$81:$AX$81,$G$7:$AX$7,Inputs!$C$162)-Inputs!$C$160)^(($G$7:$AX$7-MIN($G$7:$AX$7))/Inputs!$C$147))*SUMPRODUCT($G$81:$AX$81/(1+XIRR($G$81:$AX$81,$G$7:$AX$7,Inputs!$C$162)+Inputs!$C$160)^(($G$7:$AX$7-MIN($G$7:$AX$7))/Inputs!$C$147))&lt;=0,XIRR($G$81:$AX$81,$G$7:$AX$7,Inputs!$C$162),NA()),IFERROR(IF(SUMPRODUCT($G$81:$AX$81/(1+XIRR($G$81:$AX$81,$G$7:$AX$7,Inputs!$C$163)-Inputs!$C$160)^(($G$7:$AX$7-MIN($G$7:$AX$7))/Inputs!$C$147))*SUMPRODUCT($G$81:$AX$81/(1+XIRR($G$81:$AX$81,$G$7:$AX$7,Inputs!$C$163)+Inputs!$C$160)^(($G$7:$AX$7-MIN($G$7:$AX$7))/Inputs!$C$147))&lt;=0,XIRR($G$81:$AX$81,$G$7:$AX$7,Inputs!$C$163),NA()),"n/a")))))</f>
        <v>0.02215789734286768</v>
      </c>
    </row>
    <row r="97">
      <c r="A97" s="41" t="inlineStr">
        <is>
          <t xml:space="preserve">Project NPV at the nominal WACC</t>
        </is>
      </c>
      <c r="B97" s="10" t="inlineStr">
        <is>
          <t xml:space="preserve">€</t>
        </is>
      </c>
      <c r="C97" s="42">
        <f>XNPV(Inputs!$C$103,$F$81:$AX$81,$F$7:$AX$7)</f>
        <v>-17920300.88570276</v>
      </c>
    </row>
    <row r="98">
      <c r="A98" s="41" t="inlineStr">
        <is>
          <t xml:space="preserve">LCOE, real 2026 money (in the style of Fraunhofer ISE)</t>
        </is>
      </c>
      <c r="B98" s="10" t="inlineStr">
        <is>
          <t xml:space="preserve">ct/kWh</t>
        </is>
      </c>
      <c r="C98" s="50">
        <f>SUMPRODUCT($F$82:$AX$82/$F$8:$AX$8/$F$9:$AX$9)/SUMPRODUCT($F$83:$AX$83/$F$9:$AX$9)*100</f>
        <v>8.20538409774287</v>
      </c>
    </row>
    <row r="99">
      <c r="A99" s="41" t="inlineStr">
        <is>
          <t xml:space="preserve">LCOE, nominal</t>
        </is>
      </c>
      <c r="B99" s="10" t="inlineStr">
        <is>
          <t xml:space="preserve">ct/kWh</t>
        </is>
      </c>
      <c r="C99" s="50">
        <f>SUMPRODUCT($F$82:$AX$82/$F$10:$AX$10)/SUMPRODUCT($F$83:$AX$83/$F$10:$AX$10)*100</f>
        <v>10.433768036011786</v>
      </c>
    </row>
    <row r="100">
      <c r="A100" s="41" t="inlineStr">
        <is>
          <t xml:space="preserve">Minimum DSCR</t>
        </is>
      </c>
      <c r="C100" s="47">
        <f>IF(COUNT(Waterfall!$F$107:$AE$107)=0,"n/a",MIN(Waterfall!$F$107:$AE$107))</f>
        <v>1.1980879164040674</v>
      </c>
    </row>
    <row r="101">
      <c r="A101" s="41" t="inlineStr">
        <is>
          <t xml:space="preserve">Year of the minimum DSCR</t>
        </is>
      </c>
      <c r="C101" s="51">
        <f>IFERROR(INDEX(Timing!$F$59:$AE$59,MATCH($C$100,Waterfall!$F$107:$AE$107,0)),"n/a")</f>
        <v>2030</v>
      </c>
    </row>
    <row r="102">
      <c r="A102" s="41" t="inlineStr">
        <is>
          <t xml:space="preserve">Average DSCR over the repayment years</t>
        </is>
      </c>
      <c r="C102" s="47">
        <f>IFERROR(AVERAGEIFS(Waterfall!$F$107:$AE$107,Debt!$F$11:$AE$11,"&gt;0"),"n/a")</f>
        <v>1.8304462686505052</v>
      </c>
    </row>
    <row r="103">
      <c r="A103" s="41" t="inlineStr">
        <is>
          <t xml:space="preserve">LLCR at COD (reserves not counted)</t>
        </is>
      </c>
      <c r="C103" s="47">
        <f>IF(Debt!$C$6=0,"n/a",SUMPRODUCT(Timing!$F$83:$AE$83*Tax!$F$109:$AE$109/(1+Inputs!$C$74)^((Timing!$F$84:$AE$84-Timing!$C$7)/Inputs!$C$147))/Debt!$C$6)</f>
        <v>1.7254557760527258</v>
      </c>
    </row>
    <row r="104">
      <c r="A104" s="41" t="inlineStr">
        <is>
          <t xml:space="preserve">Payback: years from COD until the owners' cumulative cash flow turns positive</t>
        </is>
      </c>
      <c r="B104" s="10" t="inlineStr">
        <is>
          <t xml:space="preserve">years</t>
        </is>
      </c>
      <c r="C104" s="50">
        <f>IF(SUM($F$87:$AX$87)=0,"n/a",MAX(0,(SUM($F$88:$AX$88)-Timing!$C$7)/Inputs!$C$148))</f>
        <v>22.429774409896876</v>
      </c>
    </row>
    <row r="105">
      <c r="A105" s="41" t="inlineStr">
        <is>
          <t xml:space="preserve">Total uses</t>
        </is>
      </c>
      <c r="B105" s="10" t="inlineStr">
        <is>
          <t xml:space="preserve">€</t>
        </is>
      </c>
      <c r="C105" s="42">
        <f>Construction!$C$43</f>
        <v>59303606.70605988</v>
      </c>
    </row>
    <row r="106">
      <c r="A106" s="41" t="inlineStr">
        <is>
          <t xml:space="preserve">Equity paid in</t>
        </is>
      </c>
      <c r="B106" s="10" t="inlineStr">
        <is>
          <t xml:space="preserve">€</t>
        </is>
      </c>
      <c r="C106" s="42">
        <f>Construction!$C$45</f>
        <v>38671265.02302264</v>
      </c>
    </row>
    <row r="107">
      <c r="A107" s="41" t="inlineStr">
        <is>
          <t xml:space="preserve">Gearing (loan ÷ total uses)</t>
        </is>
      </c>
      <c r="C107" s="49">
        <f>Debt!$C$6/$C$105</f>
        <v>0.3479104025713334</v>
      </c>
    </row>
    <row r="108">
      <c r="A108" s="6" t="inlineStr">
        <is>
          <t xml:space="preserve">Equity IRR as calculated, whether funded or not (XIRR, checked to be a root)</t>
        </is>
      </c>
      <c r="C108" s="22">
        <f>IFERROR(IF(SUMPRODUCT($G$79:$AX$79/(1+XIRR($G$79:$AX$79,$G$7:$AX$7,$C$89)-Inputs!$C$160)^(($G$7:$AX$7-MIN($G$7:$AX$7))/Inputs!$C$147))*SUMPRODUCT($G$79:$AX$79/(1+XIRR($G$79:$AX$79,$G$7:$AX$7,$C$89)+Inputs!$C$160)^(($G$7:$AX$7-MIN($G$7:$AX$7))/Inputs!$C$147))&lt;=0,XIRR($G$79:$AX$79,$G$7:$AX$7,$C$89),NA()),IFERROR(IF(SUMPRODUCT($G$79:$AX$79/(1+XIRR($G$79:$AX$79,$G$7:$AX$7,$C$89-Inputs!$C$161)-Inputs!$C$160)^(($G$7:$AX$7-MIN($G$7:$AX$7))/Inputs!$C$147))*SUMPRODUCT($G$79:$AX$79/(1+XIRR($G$79:$AX$79,$G$7:$AX$7,$C$89-Inputs!$C$161)+Inputs!$C$160)^(($G$7:$AX$7-MIN($G$7:$AX$7))/Inputs!$C$147))&lt;=0,XIRR($G$79:$AX$79,$G$7:$AX$7,$C$89-Inputs!$C$161),NA()),IFERROR(IF(SUMPRODUCT($G$79:$AX$79/(1+XIRR($G$79:$AX$79,$G$7:$AX$7,$C$89+Inputs!$C$161)-Inputs!$C$160)^(($G$7:$AX$7-MIN($G$7:$AX$7))/Inputs!$C$147))*SUMPRODUCT($G$79:$AX$79/(1+XIRR($G$79:$AX$79,$G$7:$AX$7,$C$89+Inputs!$C$161)+Inputs!$C$160)^(($G$7:$AX$7-MIN($G$7:$AX$7))/Inputs!$C$147))&lt;=0,XIRR($G$79:$AX$79,$G$7:$AX$7,$C$89+Inputs!$C$161),NA()),IFERROR(IF(SUMPRODUCT($G$79:$AX$79/(1+XIRR($G$79:$AX$79,$G$7:$AX$7,Inputs!$C$162)-Inputs!$C$160)^(($G$7:$AX$7-MIN($G$7:$AX$7))/Inputs!$C$147))*SUMPRODUCT($G$79:$AX$79/(1+XIRR($G$79:$AX$79,$G$7:$AX$7,Inputs!$C$162)+Inputs!$C$160)^(($G$7:$AX$7-MIN($G$7:$AX$7))/Inputs!$C$147))&lt;=0,XIRR($G$79:$AX$79,$G$7:$AX$7,Inputs!$C$162),NA()),IFERROR(IF(SUMPRODUCT($G$79:$AX$79/(1+XIRR($G$79:$AX$79,$G$7:$AX$7,Inputs!$C$163)-Inputs!$C$160)^(($G$7:$AX$7-MIN($G$7:$AX$7))/Inputs!$C$147))*SUMPRODUCT($G$79:$AX$79/(1+XIRR($G$79:$AX$79,$G$7:$AX$7,Inputs!$C$163)+Inputs!$C$160)^(($G$7:$AX$7-MIN($G$7:$AX$7))/Inputs!$C$147))&lt;=0,XIRR($G$79:$AX$79,$G$7:$AX$7,Inputs!$C$163),NA()),"n/a")))))</f>
        <v>0.011618441429773113</v>
      </c>
    </row>
    <row r="109">
      <c r="A109" s="6" t="inlineStr">
        <is>
          <t xml:space="preserve">Equity NPV as calculated, whether funded or not</t>
        </is>
      </c>
      <c r="B109" s="10" t="inlineStr">
        <is>
          <t xml:space="preserve">€</t>
        </is>
      </c>
      <c r="C109" s="23">
        <f>XNPV(Inputs!$C$102,$F$79:$AX$79,$F$7:$AX$7)</f>
        <v>-21514199.112949178</v>
      </c>
    </row>
    <row r="111">
      <c r="A111" s="5" t="inlineStr">
        <is>
          <t xml:space="preserve">Downside</t>
        </is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>
      <c r="A112" s="6" t="inlineStr">
        <is>
          <t xml:space="preserve">Owners' cash flow</t>
        </is>
      </c>
      <c r="B112" s="10" t="inlineStr">
        <is>
          <t xml:space="preserve">€</t>
        </is>
      </c>
      <c r="F112" s="23">
        <f>IF(F6=0,0,IF(F6&lt;=Inputs!$C$11,-INDEX(Construction!$F$75:$W$75,F6),INDEX(Waterfall!$F$162:$AE$162,F6-Inputs!$C$11)))</f>
        <v>0</v>
      </c>
      <c r="G112" s="23">
        <f>IF(G6=0,0,IF(G6&lt;=Inputs!$C$11,-INDEX(Construction!$F$75:$W$75,G6),INDEX(Waterfall!$F$162:$AE$162,G6-Inputs!$C$11)))</f>
        <v>-7722565.81153542</v>
      </c>
      <c r="H112" s="23">
        <f>IF(H6=0,0,IF(H6&lt;=Inputs!$C$11,-INDEX(Construction!$F$75:$W$75,H6),INDEX(Waterfall!$F$162:$AE$162,H6-Inputs!$C$11)))</f>
        <v>-658270.7698196573</v>
      </c>
      <c r="I112" s="23">
        <f>IF(I6=0,0,IF(I6&lt;=Inputs!$C$11,-INDEX(Construction!$F$75:$W$75,I6),INDEX(Waterfall!$F$162:$AE$162,I6-Inputs!$C$11)))</f>
        <v>-659872.4728769532</v>
      </c>
      <c r="J112" s="23">
        <f>IF(J6=0,0,IF(J6&lt;=Inputs!$C$11,-INDEX(Construction!$F$75:$W$75,J6),INDEX(Waterfall!$F$162:$AE$162,J6-Inputs!$C$11)))</f>
        <v>-654030.8800775902</v>
      </c>
      <c r="K112" s="23">
        <f>IF(K6=0,0,IF(K6&lt;=Inputs!$C$11,-INDEX(Construction!$F$75:$W$75,K6),INDEX(Waterfall!$F$162:$AE$162,K6-Inputs!$C$11)))</f>
        <v>-654998.6335620177</v>
      </c>
      <c r="L112" s="23">
        <f>IF(L6=0,0,IF(L6&lt;=Inputs!$C$11,-INDEX(Construction!$F$75:$W$75,L6),INDEX(Waterfall!$F$162:$AE$162,L6-Inputs!$C$11)))</f>
        <v>-655967.8190075883</v>
      </c>
      <c r="M112" s="23">
        <f>IF(M6=0,0,IF(M6&lt;=Inputs!$C$11,-INDEX(Construction!$F$75:$W$75,M6),INDEX(Waterfall!$F$162:$AE$162,M6-Inputs!$C$11)))</f>
        <v>-672136.4311371985</v>
      </c>
      <c r="N112" s="23">
        <f>IF(N6=0,0,IF(N6&lt;=Inputs!$C$11,-INDEX(Construction!$F$75:$W$75,N6),INDEX(Waterfall!$F$162:$AE$162,N6-Inputs!$C$11)))</f>
        <v>-672796.3620866021</v>
      </c>
      <c r="O112" s="23">
        <f>IF(O6=0,0,IF(O6&lt;=Inputs!$C$11,-INDEX(Construction!$F$75:$W$75,O6),INDEX(Waterfall!$F$162:$AE$162,O6-Inputs!$C$11)))</f>
        <v>-673456.9409831157</v>
      </c>
      <c r="P112" s="23">
        <f>IF(P6=0,0,IF(P6&lt;=Inputs!$C$11,-INDEX(Construction!$F$75:$W$75,P6),INDEX(Waterfall!$F$162:$AE$162,P6-Inputs!$C$11)))</f>
        <v>-674118.1684629201</v>
      </c>
      <c r="Q112" s="23">
        <f>IF(Q6=0,0,IF(Q6&lt;=Inputs!$C$11,-INDEX(Construction!$F$75:$W$75,Q6),INDEX(Waterfall!$F$162:$AE$162,Q6-Inputs!$C$11)))</f>
        <v>-674780.0451628207</v>
      </c>
      <c r="R112" s="23">
        <f>IF(R6=0,0,IF(R6&lt;=Inputs!$C$11,-INDEX(Construction!$F$75:$W$75,R6),INDEX(Waterfall!$F$162:$AE$162,R6-Inputs!$C$11)))</f>
        <v>-675442.5717202483</v>
      </c>
      <c r="S112" s="23">
        <f>IF(S6=0,0,IF(S6&lt;=Inputs!$C$11,-INDEX(Construction!$F$75:$W$75,S6),INDEX(Waterfall!$F$162:$AE$162,S6-Inputs!$C$11)))</f>
        <v>-425664.6541341084</v>
      </c>
      <c r="T112" s="23">
        <f>IF(T6=0,0,IF(T6&lt;=Inputs!$C$11,-INDEX(Construction!$F$75:$W$75,T6),INDEX(Waterfall!$F$162:$AE$162,T6-Inputs!$C$11)))</f>
        <v>-425836.7393702448</v>
      </c>
      <c r="U112" s="23">
        <f>IF(U6=0,0,IF(U6&lt;=Inputs!$C$11,-INDEX(Construction!$F$75:$W$75,U6),INDEX(Waterfall!$F$162:$AE$162,U6-Inputs!$C$11)))</f>
        <v>-6422600.027264707</v>
      </c>
      <c r="V112" s="23">
        <f>IF(V6=0,0,IF(V6&lt;=Inputs!$C$11,-INDEX(Construction!$F$75:$W$75,V6),INDEX(Waterfall!$F$162:$AE$162,V6-Inputs!$C$11)))</f>
        <v>-6434792.651336152</v>
      </c>
      <c r="W112" s="23">
        <f>IF(W6=0,0,IF(W6&lt;=Inputs!$C$11,-INDEX(Construction!$F$75:$W$75,W6),INDEX(Waterfall!$F$162:$AE$162,W6-Inputs!$C$11)))</f>
        <v>-6446997.246622974</v>
      </c>
      <c r="X112" s="23">
        <f>IF(X6=0,0,IF(X6&lt;=Inputs!$C$11,-INDEX(Construction!$F$75:$W$75,X6),INDEX(Waterfall!$F$162:$AE$162,X6-Inputs!$C$11)))</f>
        <v>-6329565.358111546</v>
      </c>
      <c r="Y112" s="23">
        <f>IF(Y6=0,0,IF(Y6&lt;=Inputs!$C$11,-INDEX(Construction!$F$75:$W$75,Y6),INDEX(Waterfall!$F$162:$AE$162,Y6-Inputs!$C$11)))</f>
        <v>901699.9722832558</v>
      </c>
      <c r="Z112" s="23">
        <f>IF(Z6=0,0,IF(Z6&lt;=Inputs!$C$11,-INDEX(Construction!$F$75:$W$75,Z6),INDEX(Waterfall!$F$162:$AE$162,Z6-Inputs!$C$11)))</f>
        <v>830613.6391600878</v>
      </c>
      <c r="AA112" s="23">
        <f>IF(AA6=0,0,IF(AA6&lt;=Inputs!$C$11,-INDEX(Construction!$F$75:$W$75,AA6),INDEX(Waterfall!$F$162:$AE$162,AA6-Inputs!$C$11)))</f>
        <v>875006.4521841349</v>
      </c>
      <c r="AB112" s="23">
        <f>IF(AB6=0,0,IF(AB6&lt;=Inputs!$C$11,-INDEX(Construction!$F$75:$W$75,AB6),INDEX(Waterfall!$F$162:$AE$162,AB6-Inputs!$C$11)))</f>
        <v>471545.61738297914</v>
      </c>
      <c r="AC112" s="23">
        <f>IF(AC6=0,0,IF(AC6&lt;=Inputs!$C$11,-INDEX(Construction!$F$75:$W$75,AC6),INDEX(Waterfall!$F$162:$AE$162,AC6-Inputs!$C$11)))</f>
        <v>411463.4682168497</v>
      </c>
      <c r="AD112" s="23">
        <f>IF(AD6=0,0,IF(AD6&lt;=Inputs!$C$11,-INDEX(Construction!$F$75:$W$75,AD6),INDEX(Waterfall!$F$162:$AE$162,AD6-Inputs!$C$11)))</f>
        <v>420304.407147547</v>
      </c>
      <c r="AE112" s="23">
        <f>IF(AE6=0,0,IF(AE6&lt;=Inputs!$C$11,-INDEX(Construction!$F$75:$W$75,AE6),INDEX(Waterfall!$F$162:$AE$162,AE6-Inputs!$C$11)))</f>
        <v>2321116.506333708</v>
      </c>
      <c r="AF112" s="23">
        <f>IF(AF6=0,0,IF(AF6&lt;=Inputs!$C$11,-INDEX(Construction!$F$75:$W$75,AF6),INDEX(Waterfall!$F$162:$AE$162,AF6-Inputs!$C$11)))</f>
        <v>804577.3800403487</v>
      </c>
      <c r="AG112" s="23">
        <f>IF(AG6=0,0,IF(AG6&lt;=Inputs!$C$11,-INDEX(Construction!$F$75:$W$75,AG6),INDEX(Waterfall!$F$162:$AE$162,AG6-Inputs!$C$11)))</f>
        <v>841697.5001661718</v>
      </c>
      <c r="AH112" s="23">
        <f>IF(AH6=0,0,IF(AH6&lt;=Inputs!$C$11,-INDEX(Construction!$F$75:$W$75,AH6),INDEX(Waterfall!$F$162:$AE$162,AH6-Inputs!$C$11)))</f>
        <v>875809.5447550251</v>
      </c>
      <c r="AI112" s="23">
        <f>IF(AI6=0,0,IF(AI6&lt;=Inputs!$C$11,-INDEX(Construction!$F$75:$W$75,AI6),INDEX(Waterfall!$F$162:$AE$162,AI6-Inputs!$C$11)))</f>
        <v>771341.4233709753</v>
      </c>
      <c r="AJ112" s="23">
        <f>IF(AJ6=0,0,IF(AJ6&lt;=Inputs!$C$11,-INDEX(Construction!$F$75:$W$75,AJ6),INDEX(Waterfall!$F$162:$AE$162,AJ6-Inputs!$C$11)))</f>
        <v>794205.5540520693</v>
      </c>
      <c r="AK112" s="23">
        <f>IF(AK6=0,0,IF(AK6&lt;=Inputs!$C$11,-INDEX(Construction!$F$75:$W$75,AK6),INDEX(Waterfall!$F$162:$AE$162,AK6-Inputs!$C$11)))</f>
        <v>817343.5101552745</v>
      </c>
      <c r="AL112" s="23">
        <f>IF(AL6=0,0,IF(AL6&lt;=Inputs!$C$11,-INDEX(Construction!$F$75:$W$75,AL6),INDEX(Waterfall!$F$162:$AE$162,AL6-Inputs!$C$11)))</f>
        <v>837016.8628405959</v>
      </c>
      <c r="AM112" s="23">
        <f>IF(AM6=0,0,IF(AM6&lt;=Inputs!$C$11,-INDEX(Construction!$F$75:$W$75,AM6),INDEX(Waterfall!$F$162:$AE$162,AM6-Inputs!$C$11)))</f>
        <v>858799.1171596092</v>
      </c>
      <c r="AN112" s="23">
        <f>IF(AN6=0,0,IF(AN6&lt;=Inputs!$C$11,-INDEX(Construction!$F$75:$W$75,AN6),INDEX(Waterfall!$F$162:$AE$162,AN6-Inputs!$C$11)))</f>
        <v>878951.2974429952</v>
      </c>
      <c r="AO112" s="23">
        <f>IF(AO6=0,0,IF(AO6&lt;=Inputs!$C$11,-INDEX(Construction!$F$75:$W$75,AO6),INDEX(Waterfall!$F$162:$AE$162,AO6-Inputs!$C$11)))</f>
        <v>899390.1919270896</v>
      </c>
      <c r="AP112" s="23">
        <f>IF(AP6=0,0,IF(AP6&lt;=Inputs!$C$11,-INDEX(Construction!$F$75:$W$75,AP6),INDEX(Waterfall!$F$162:$AE$162,AP6-Inputs!$C$11)))</f>
        <v>851221.4276640929</v>
      </c>
      <c r="AQ112" s="23">
        <f>IF(AQ6=0,0,IF(AQ6&lt;=Inputs!$C$11,-INDEX(Construction!$F$75:$W$75,AQ6),INDEX(Waterfall!$F$162:$AE$162,AQ6-Inputs!$C$11)))</f>
        <v>1271273.7080522352</v>
      </c>
      <c r="AR112" s="23">
        <f>IF(AR6=0,0,IF(AR6&lt;=Inputs!$C$11,-INDEX(Construction!$F$75:$W$75,AR6),INDEX(Waterfall!$F$162:$AE$162,AR6-Inputs!$C$11)))</f>
        <v>2248314.5406976775</v>
      </c>
      <c r="AS112" s="23">
        <f>IF(AS6=0,0,IF(AS6&lt;=Inputs!$C$11,-INDEX(Construction!$F$75:$W$75,AS6),INDEX(Waterfall!$F$162:$AE$162,AS6-Inputs!$C$11)))</f>
        <v>1753693.6733787223</v>
      </c>
      <c r="AT112" s="23">
        <f>IF(AT6=0,0,IF(AT6&lt;=Inputs!$C$11,-INDEX(Construction!$F$75:$W$75,AT6),INDEX(Waterfall!$F$162:$AE$162,AT6-Inputs!$C$11)))</f>
        <v>1789266.6650370844</v>
      </c>
      <c r="AU112" s="23">
        <f>IF(AU6=0,0,IF(AU6&lt;=Inputs!$C$11,-INDEX(Construction!$F$75:$W$75,AU6),INDEX(Waterfall!$F$162:$AE$162,AU6-Inputs!$C$11)))</f>
        <v>1828763.1693963567</v>
      </c>
      <c r="AV112" s="23">
        <f>IF(AV6=0,0,IF(AV6&lt;=Inputs!$C$11,-INDEX(Construction!$F$75:$W$75,AV6),INDEX(Waterfall!$F$162:$AE$162,AV6-Inputs!$C$11)))</f>
        <v>1867883.315654066</v>
      </c>
      <c r="AW112" s="23">
        <f>IF(AW6=0,0,IF(AW6&lt;=Inputs!$C$11,-INDEX(Construction!$F$75:$W$75,AW6),INDEX(Waterfall!$F$162:$AE$162,AW6-Inputs!$C$11)))</f>
        <v>1912727.0271623516</v>
      </c>
      <c r="AX112" s="23">
        <f>IF(AX6=0,0,IF(AX6&lt;=Inputs!$C$11,-INDEX(Construction!$F$75:$W$75,AX6),INDEX(Waterfall!$F$162:$AE$162,AX6-Inputs!$C$11)))</f>
        <v>1191684.6336207793</v>
      </c>
    </row>
    <row r="113">
      <c r="A113" s="6" t="inlineStr">
        <is>
          <t xml:space="preserve">Project cash flow before tax</t>
        </is>
      </c>
      <c r="B113" s="10" t="inlineStr">
        <is>
          <t xml:space="preserve">€</t>
        </is>
      </c>
      <c r="F113" s="23">
        <f>IF(F6=0,0,IF(F6&lt;=Inputs!$C$11,-INDEX(Construction!$F$61:$W$61,F6)-INDEX(Construction!$F$72:$W$72,F6),INDEX(Waterfall!$F$163:$AE$163,F6-Inputs!$C$11)))</f>
        <v>0</v>
      </c>
      <c r="G113" s="23">
        <f>IF(G6=0,0,IF(G6&lt;=Inputs!$C$11,-INDEX(Construction!$F$61:$W$61,G6)-INDEX(Construction!$F$72:$W$72,G6),INDEX(Waterfall!$F$163:$AE$163,G6-Inputs!$C$11)))</f>
        <v>-11352497.625</v>
      </c>
      <c r="H113" s="23">
        <f>IF(H6=0,0,IF(H6&lt;=Inputs!$C$11,-INDEX(Construction!$F$61:$W$61,H6)-INDEX(Construction!$F$72:$W$72,H6),INDEX(Waterfall!$F$163:$AE$163,H6-Inputs!$C$11)))</f>
        <v>-957025.125</v>
      </c>
      <c r="I113" s="23">
        <f>IF(I6=0,0,IF(I6&lt;=Inputs!$C$11,-INDEX(Construction!$F$61:$W$61,I6)-INDEX(Construction!$F$72:$W$72,I6),INDEX(Waterfall!$F$163:$AE$163,I6-Inputs!$C$11)))</f>
        <v>-957025.125</v>
      </c>
      <c r="J113" s="23">
        <f>IF(J6=0,0,IF(J6&lt;=Inputs!$C$11,-INDEX(Construction!$F$61:$W$61,J6)-INDEX(Construction!$F$72:$W$72,J6),INDEX(Waterfall!$F$163:$AE$163,J6-Inputs!$C$11)))</f>
        <v>-957025.125</v>
      </c>
      <c r="K113" s="23">
        <f>IF(K6=0,0,IF(K6&lt;=Inputs!$C$11,-INDEX(Construction!$F$61:$W$61,K6)-INDEX(Construction!$F$72:$W$72,K6),INDEX(Waterfall!$F$163:$AE$163,K6-Inputs!$C$11)))</f>
        <v>-957025.125</v>
      </c>
      <c r="L113" s="23">
        <f>IF(L6=0,0,IF(L6&lt;=Inputs!$C$11,-INDEX(Construction!$F$61:$W$61,L6)-INDEX(Construction!$F$72:$W$72,L6),INDEX(Waterfall!$F$163:$AE$163,L6-Inputs!$C$11)))</f>
        <v>-957025.125</v>
      </c>
      <c r="M113" s="23">
        <f>IF(M6=0,0,IF(M6&lt;=Inputs!$C$11,-INDEX(Construction!$F$61:$W$61,M6)-INDEX(Construction!$F$72:$W$72,M6),INDEX(Waterfall!$F$163:$AE$163,M6-Inputs!$C$11)))</f>
        <v>-957025.125</v>
      </c>
      <c r="N113" s="23">
        <f>IF(N6=0,0,IF(N6&lt;=Inputs!$C$11,-INDEX(Construction!$F$61:$W$61,N6)-INDEX(Construction!$F$72:$W$72,N6),INDEX(Waterfall!$F$163:$AE$163,N6-Inputs!$C$11)))</f>
        <v>-957025.125</v>
      </c>
      <c r="O113" s="23">
        <f>IF(O6=0,0,IF(O6&lt;=Inputs!$C$11,-INDEX(Construction!$F$61:$W$61,O6)-INDEX(Construction!$F$72:$W$72,O6),INDEX(Waterfall!$F$163:$AE$163,O6-Inputs!$C$11)))</f>
        <v>-957025.125</v>
      </c>
      <c r="P113" s="23">
        <f>IF(P6=0,0,IF(P6&lt;=Inputs!$C$11,-INDEX(Construction!$F$61:$W$61,P6)-INDEX(Construction!$F$72:$W$72,P6),INDEX(Waterfall!$F$163:$AE$163,P6-Inputs!$C$11)))</f>
        <v>-957025.125</v>
      </c>
      <c r="Q113" s="23">
        <f>IF(Q6=0,0,IF(Q6&lt;=Inputs!$C$11,-INDEX(Construction!$F$61:$W$61,Q6)-INDEX(Construction!$F$72:$W$72,Q6),INDEX(Waterfall!$F$163:$AE$163,Q6-Inputs!$C$11)))</f>
        <v>-957025.125</v>
      </c>
      <c r="R113" s="23">
        <f>IF(R6=0,0,IF(R6&lt;=Inputs!$C$11,-INDEX(Construction!$F$61:$W$61,R6)-INDEX(Construction!$F$72:$W$72,R6),INDEX(Waterfall!$F$163:$AE$163,R6-Inputs!$C$11)))</f>
        <v>-957025.125</v>
      </c>
      <c r="S113" s="23">
        <f>IF(S6=0,0,IF(S6&lt;=Inputs!$C$11,-INDEX(Construction!$F$61:$W$61,S6)-INDEX(Construction!$F$72:$W$72,S6),INDEX(Waterfall!$F$163:$AE$163,S6-Inputs!$C$11)))</f>
        <v>-582175.125</v>
      </c>
      <c r="T113" s="23">
        <f>IF(T6=0,0,IF(T6&lt;=Inputs!$C$11,-INDEX(Construction!$F$61:$W$61,T6)-INDEX(Construction!$F$72:$W$72,T6),INDEX(Waterfall!$F$163:$AE$163,T6-Inputs!$C$11)))</f>
        <v>-582175.125</v>
      </c>
      <c r="U113" s="23">
        <f>IF(U6=0,0,IF(U6&lt;=Inputs!$C$11,-INDEX(Construction!$F$61:$W$61,U6)-INDEX(Construction!$F$72:$W$72,U6),INDEX(Waterfall!$F$163:$AE$163,U6-Inputs!$C$11)))</f>
        <v>-9557627.624999998</v>
      </c>
      <c r="V113" s="23">
        <f>IF(V6=0,0,IF(V6&lt;=Inputs!$C$11,-INDEX(Construction!$F$61:$W$61,V6)-INDEX(Construction!$F$72:$W$72,V6),INDEX(Waterfall!$F$163:$AE$163,V6-Inputs!$C$11)))</f>
        <v>-9557627.624999998</v>
      </c>
      <c r="W113" s="23">
        <f>IF(W6=0,0,IF(W6&lt;=Inputs!$C$11,-INDEX(Construction!$F$61:$W$61,W6)-INDEX(Construction!$F$72:$W$72,W6),INDEX(Waterfall!$F$163:$AE$163,W6-Inputs!$C$11)))</f>
        <v>-9557627.624999998</v>
      </c>
      <c r="X113" s="23">
        <f>IF(X6=0,0,IF(X6&lt;=Inputs!$C$11,-INDEX(Construction!$F$61:$W$61,X6)-INDEX(Construction!$F$72:$W$72,X6),INDEX(Waterfall!$F$163:$AE$163,X6-Inputs!$C$11)))</f>
        <v>-8773469.125828104</v>
      </c>
      <c r="Y113" s="23">
        <f>IF(Y6=0,0,IF(Y6&lt;=Inputs!$C$11,-INDEX(Construction!$F$61:$W$61,Y6)-INDEX(Construction!$F$72:$W$72,Y6),INDEX(Waterfall!$F$163:$AE$163,Y6-Inputs!$C$11)))</f>
        <v>1453615.112304504</v>
      </c>
      <c r="Z113" s="23">
        <f>IF(Z6=0,0,IF(Z6&lt;=Inputs!$C$11,-INDEX(Construction!$F$61:$W$61,Z6)-INDEX(Construction!$F$72:$W$72,Z6),INDEX(Waterfall!$F$163:$AE$163,Z6-Inputs!$C$11)))</f>
        <v>1934443.9192025843</v>
      </c>
      <c r="AA113" s="23">
        <f>IF(AA6=0,0,IF(AA6&lt;=Inputs!$C$11,-INDEX(Construction!$F$61:$W$61,AA6)-INDEX(Construction!$F$72:$W$72,AA6),INDEX(Waterfall!$F$163:$AE$163,AA6-Inputs!$C$11)))</f>
        <v>3151921.8944625584</v>
      </c>
      <c r="AB113" s="23">
        <f>IF(AB6=0,0,IF(AB6&lt;=Inputs!$C$11,-INDEX(Construction!$F$61:$W$61,AB6)-INDEX(Construction!$F$72:$W$72,AB6),INDEX(Waterfall!$F$163:$AE$163,AB6-Inputs!$C$11)))</f>
        <v>2683529.8667177265</v>
      </c>
      <c r="AC113" s="23">
        <f>IF(AC6=0,0,IF(AC6&lt;=Inputs!$C$11,-INDEX(Construction!$F$61:$W$61,AC6)-INDEX(Construction!$F$72:$W$72,AC6),INDEX(Waterfall!$F$163:$AE$163,AC6-Inputs!$C$11)))</f>
        <v>2558516.524607921</v>
      </c>
      <c r="AD113" s="23">
        <f>IF(AD6=0,0,IF(AD6&lt;=Inputs!$C$11,-INDEX(Construction!$F$61:$W$61,AD6)-INDEX(Construction!$F$72:$W$72,AD6),INDEX(Waterfall!$F$163:$AE$163,AD6-Inputs!$C$11)))</f>
        <v>2502426.270594942</v>
      </c>
      <c r="AE113" s="23">
        <f>IF(AE6=0,0,IF(AE6&lt;=Inputs!$C$11,-INDEX(Construction!$F$61:$W$61,AE6)-INDEX(Construction!$F$72:$W$72,AE6),INDEX(Waterfall!$F$163:$AE$163,AE6-Inputs!$C$11)))</f>
        <v>4338307.176837427</v>
      </c>
      <c r="AF113" s="23">
        <f>IF(AF6=0,0,IF(AF6&lt;=Inputs!$C$11,-INDEX(Construction!$F$61:$W$61,AF6)-INDEX(Construction!$F$72:$W$72,AF6),INDEX(Waterfall!$F$163:$AE$163,AF6-Inputs!$C$11)))</f>
        <v>2756836.8576003914</v>
      </c>
      <c r="AG113" s="23">
        <f>IF(AG6=0,0,IF(AG6&lt;=Inputs!$C$11,-INDEX(Construction!$F$61:$W$61,AG6)-INDEX(Construction!$F$72:$W$72,AG6),INDEX(Waterfall!$F$163:$AE$163,AG6-Inputs!$C$11)))</f>
        <v>2729025.784782538</v>
      </c>
      <c r="AH113" s="23">
        <f>IF(AH6=0,0,IF(AH6&lt;=Inputs!$C$11,-INDEX(Construction!$F$61:$W$61,AH6)-INDEX(Construction!$F$72:$W$72,AH6),INDEX(Waterfall!$F$163:$AE$163,AH6-Inputs!$C$11)))</f>
        <v>2698206.6364277154</v>
      </c>
      <c r="AI113" s="23">
        <f>IF(AI6=0,0,IF(AI6&lt;=Inputs!$C$11,-INDEX(Construction!$F$61:$W$61,AI6)-INDEX(Construction!$F$72:$W$72,AI6),INDEX(Waterfall!$F$163:$AE$163,AI6-Inputs!$C$11)))</f>
        <v>2528807.3220999893</v>
      </c>
      <c r="AJ113" s="23">
        <f>IF(AJ6=0,0,IF(AJ6&lt;=Inputs!$C$11,-INDEX(Construction!$F$61:$W$61,AJ6)-INDEX(Construction!$F$72:$W$72,AJ6),INDEX(Waterfall!$F$163:$AE$163,AJ6-Inputs!$C$11)))</f>
        <v>2486740.259837407</v>
      </c>
      <c r="AK113" s="23">
        <f>IF(AK6=0,0,IF(AK6&lt;=Inputs!$C$11,-INDEX(Construction!$F$61:$W$61,AK6)-INDEX(Construction!$F$72:$W$72,AK6),INDEX(Waterfall!$F$163:$AE$163,AK6-Inputs!$C$11)))</f>
        <v>2444947.022996936</v>
      </c>
      <c r="AL113" s="23">
        <f>IF(AL6=0,0,IF(AL6&lt;=Inputs!$C$11,-INDEX(Construction!$F$61:$W$61,AL6)-INDEX(Construction!$F$72:$W$72,AL6),INDEX(Waterfall!$F$163:$AE$163,AL6-Inputs!$C$11)))</f>
        <v>2399689.182738581</v>
      </c>
      <c r="AM113" s="23">
        <f>IF(AM6=0,0,IF(AM6&lt;=Inputs!$C$11,-INDEX(Construction!$F$61:$W$61,AM6)-INDEX(Construction!$F$72:$W$72,AM6),INDEX(Waterfall!$F$163:$AE$163,AM6-Inputs!$C$11)))</f>
        <v>2356540.2441139184</v>
      </c>
      <c r="AN113" s="23">
        <f>IF(AN6=0,0,IF(AN6&lt;=Inputs!$C$11,-INDEX(Construction!$F$61:$W$61,AN6)-INDEX(Construction!$F$72:$W$72,AN6),INDEX(Waterfall!$F$163:$AE$163,AN6-Inputs!$C$11)))</f>
        <v>2311761.2314536283</v>
      </c>
      <c r="AO113" s="23">
        <f>IF(AO6=0,0,IF(AO6&lt;=Inputs!$C$11,-INDEX(Construction!$F$61:$W$61,AO6)-INDEX(Construction!$F$72:$W$72,AO6),INDEX(Waterfall!$F$163:$AE$163,AO6-Inputs!$C$11)))</f>
        <v>2267268.9329940462</v>
      </c>
      <c r="AP113" s="23">
        <f>IF(AP6=0,0,IF(AP6&lt;=Inputs!$C$11,-INDEX(Construction!$F$61:$W$61,AP6)-INDEX(Construction!$F$72:$W$72,AP6),INDEX(Waterfall!$F$163:$AE$163,AP6-Inputs!$C$11)))</f>
        <v>2208964.9757873775</v>
      </c>
      <c r="AQ113" s="23">
        <f>IF(AQ6=0,0,IF(AQ6&lt;=Inputs!$C$11,-INDEX(Construction!$F$61:$W$61,AQ6)-INDEX(Construction!$F$72:$W$72,AQ6),INDEX(Waterfall!$F$163:$AE$163,AQ6-Inputs!$C$11)))</f>
        <v>2270900.57311389</v>
      </c>
      <c r="AR113" s="23">
        <f>IF(AR6=0,0,IF(AR6&lt;=Inputs!$C$11,-INDEX(Construction!$F$61:$W$61,AR6)-INDEX(Construction!$F$72:$W$72,AR6),INDEX(Waterfall!$F$163:$AE$163,AR6-Inputs!$C$11)))</f>
        <v>2310320.5406976775</v>
      </c>
      <c r="AS113" s="23">
        <f>IF(AS6=0,0,IF(AS6&lt;=Inputs!$C$11,-INDEX(Construction!$F$61:$W$61,AS6)-INDEX(Construction!$F$72:$W$72,AS6),INDEX(Waterfall!$F$163:$AE$163,AS6-Inputs!$C$11)))</f>
        <v>2262721.992413605</v>
      </c>
      <c r="AT113" s="23">
        <f>IF(AT6=0,0,IF(AT6&lt;=Inputs!$C$11,-INDEX(Construction!$F$61:$W$61,AT6)-INDEX(Construction!$F$72:$W$72,AT6),INDEX(Waterfall!$F$163:$AE$163,AT6-Inputs!$C$11)))</f>
        <v>2299470.984071967</v>
      </c>
      <c r="AU113" s="23">
        <f>IF(AU6=0,0,IF(AU6&lt;=Inputs!$C$11,-INDEX(Construction!$F$61:$W$61,AU6)-INDEX(Construction!$F$72:$W$72,AU6),INDEX(Waterfall!$F$163:$AE$163,AU6-Inputs!$C$11)))</f>
        <v>2340045.4884312395</v>
      </c>
      <c r="AV113" s="23">
        <f>IF(AV6=0,0,IF(AV6&lt;=Inputs!$C$11,-INDEX(Construction!$F$61:$W$61,AV6)-INDEX(Construction!$F$72:$W$72,AV6),INDEX(Waterfall!$F$163:$AE$163,AV6-Inputs!$C$11)))</f>
        <v>2380159.6346889487</v>
      </c>
      <c r="AW113" s="23">
        <f>IF(AW6=0,0,IF(AW6&lt;=Inputs!$C$11,-INDEX(Construction!$F$61:$W$61,AW6)-INDEX(Construction!$F$72:$W$72,AW6),INDEX(Waterfall!$F$163:$AE$163,AW6-Inputs!$C$11)))</f>
        <v>2422049.3461972345</v>
      </c>
      <c r="AX113" s="23">
        <f>IF(AX6=0,0,IF(AX6&lt;=Inputs!$C$11,-INDEX(Construction!$F$61:$W$61,AX6)-INDEX(Construction!$F$72:$W$72,AX6),INDEX(Waterfall!$F$163:$AE$163,AX6-Inputs!$C$11)))</f>
        <v>-1058532.9615536353</v>
      </c>
    </row>
    <row r="114">
      <c r="A114" s="6" t="inlineStr">
        <is>
          <t xml:space="preserve">Project cash flow after tax</t>
        </is>
      </c>
      <c r="B114" s="10" t="inlineStr">
        <is>
          <t xml:space="preserve">€</t>
        </is>
      </c>
      <c r="F114" s="23">
        <f>IF(F6=0,0,IF(F6&lt;=Inputs!$C$11,-INDEX(Construction!$F$61:$W$61,F6)-INDEX(Construction!$F$72:$W$72,F6),INDEX(Waterfall!$F$164:$AE$164,F6-Inputs!$C$11)))</f>
        <v>0</v>
      </c>
      <c r="G114" s="23">
        <f>IF(G6=0,0,IF(G6&lt;=Inputs!$C$11,-INDEX(Construction!$F$61:$W$61,G6)-INDEX(Construction!$F$72:$W$72,G6),INDEX(Waterfall!$F$164:$AE$164,G6-Inputs!$C$11)))</f>
        <v>-11352497.625</v>
      </c>
      <c r="H114" s="23">
        <f>IF(H6=0,0,IF(H6&lt;=Inputs!$C$11,-INDEX(Construction!$F$61:$W$61,H6)-INDEX(Construction!$F$72:$W$72,H6),INDEX(Waterfall!$F$164:$AE$164,H6-Inputs!$C$11)))</f>
        <v>-957025.125</v>
      </c>
      <c r="I114" s="23">
        <f>IF(I6=0,0,IF(I6&lt;=Inputs!$C$11,-INDEX(Construction!$F$61:$W$61,I6)-INDEX(Construction!$F$72:$W$72,I6),INDEX(Waterfall!$F$164:$AE$164,I6-Inputs!$C$11)))</f>
        <v>-957025.125</v>
      </c>
      <c r="J114" s="23">
        <f>IF(J6=0,0,IF(J6&lt;=Inputs!$C$11,-INDEX(Construction!$F$61:$W$61,J6)-INDEX(Construction!$F$72:$W$72,J6),INDEX(Waterfall!$F$164:$AE$164,J6-Inputs!$C$11)))</f>
        <v>-957025.125</v>
      </c>
      <c r="K114" s="23">
        <f>IF(K6=0,0,IF(K6&lt;=Inputs!$C$11,-INDEX(Construction!$F$61:$W$61,K6)-INDEX(Construction!$F$72:$W$72,K6),INDEX(Waterfall!$F$164:$AE$164,K6-Inputs!$C$11)))</f>
        <v>-957025.125</v>
      </c>
      <c r="L114" s="23">
        <f>IF(L6=0,0,IF(L6&lt;=Inputs!$C$11,-INDEX(Construction!$F$61:$W$61,L6)-INDEX(Construction!$F$72:$W$72,L6),INDEX(Waterfall!$F$164:$AE$164,L6-Inputs!$C$11)))</f>
        <v>-957025.125</v>
      </c>
      <c r="M114" s="23">
        <f>IF(M6=0,0,IF(M6&lt;=Inputs!$C$11,-INDEX(Construction!$F$61:$W$61,M6)-INDEX(Construction!$F$72:$W$72,M6),INDEX(Waterfall!$F$164:$AE$164,M6-Inputs!$C$11)))</f>
        <v>-957025.125</v>
      </c>
      <c r="N114" s="23">
        <f>IF(N6=0,0,IF(N6&lt;=Inputs!$C$11,-INDEX(Construction!$F$61:$W$61,N6)-INDEX(Construction!$F$72:$W$72,N6),INDEX(Waterfall!$F$164:$AE$164,N6-Inputs!$C$11)))</f>
        <v>-957025.125</v>
      </c>
      <c r="O114" s="23">
        <f>IF(O6=0,0,IF(O6&lt;=Inputs!$C$11,-INDEX(Construction!$F$61:$W$61,O6)-INDEX(Construction!$F$72:$W$72,O6),INDEX(Waterfall!$F$164:$AE$164,O6-Inputs!$C$11)))</f>
        <v>-957025.125</v>
      </c>
      <c r="P114" s="23">
        <f>IF(P6=0,0,IF(P6&lt;=Inputs!$C$11,-INDEX(Construction!$F$61:$W$61,P6)-INDEX(Construction!$F$72:$W$72,P6),INDEX(Waterfall!$F$164:$AE$164,P6-Inputs!$C$11)))</f>
        <v>-957025.125</v>
      </c>
      <c r="Q114" s="23">
        <f>IF(Q6=0,0,IF(Q6&lt;=Inputs!$C$11,-INDEX(Construction!$F$61:$W$61,Q6)-INDEX(Construction!$F$72:$W$72,Q6),INDEX(Waterfall!$F$164:$AE$164,Q6-Inputs!$C$11)))</f>
        <v>-957025.125</v>
      </c>
      <c r="R114" s="23">
        <f>IF(R6=0,0,IF(R6&lt;=Inputs!$C$11,-INDEX(Construction!$F$61:$W$61,R6)-INDEX(Construction!$F$72:$W$72,R6),INDEX(Waterfall!$F$164:$AE$164,R6-Inputs!$C$11)))</f>
        <v>-957025.125</v>
      </c>
      <c r="S114" s="23">
        <f>IF(S6=0,0,IF(S6&lt;=Inputs!$C$11,-INDEX(Construction!$F$61:$W$61,S6)-INDEX(Construction!$F$72:$W$72,S6),INDEX(Waterfall!$F$164:$AE$164,S6-Inputs!$C$11)))</f>
        <v>-582175.125</v>
      </c>
      <c r="T114" s="23">
        <f>IF(T6=0,0,IF(T6&lt;=Inputs!$C$11,-INDEX(Construction!$F$61:$W$61,T6)-INDEX(Construction!$F$72:$W$72,T6),INDEX(Waterfall!$F$164:$AE$164,T6-Inputs!$C$11)))</f>
        <v>-582175.125</v>
      </c>
      <c r="U114" s="23">
        <f>IF(U6=0,0,IF(U6&lt;=Inputs!$C$11,-INDEX(Construction!$F$61:$W$61,U6)-INDEX(Construction!$F$72:$W$72,U6),INDEX(Waterfall!$F$164:$AE$164,U6-Inputs!$C$11)))</f>
        <v>-9557627.624999998</v>
      </c>
      <c r="V114" s="23">
        <f>IF(V6=0,0,IF(V6&lt;=Inputs!$C$11,-INDEX(Construction!$F$61:$W$61,V6)-INDEX(Construction!$F$72:$W$72,V6),INDEX(Waterfall!$F$164:$AE$164,V6-Inputs!$C$11)))</f>
        <v>-9557627.624999998</v>
      </c>
      <c r="W114" s="23">
        <f>IF(W6=0,0,IF(W6&lt;=Inputs!$C$11,-INDEX(Construction!$F$61:$W$61,W6)-INDEX(Construction!$F$72:$W$72,W6),INDEX(Waterfall!$F$164:$AE$164,W6-Inputs!$C$11)))</f>
        <v>-9557627.624999998</v>
      </c>
      <c r="X114" s="23">
        <f>IF(X6=0,0,IF(X6&lt;=Inputs!$C$11,-INDEX(Construction!$F$61:$W$61,X6)-INDEX(Construction!$F$72:$W$72,X6),INDEX(Waterfall!$F$164:$AE$164,X6-Inputs!$C$11)))</f>
        <v>-8773469.125828104</v>
      </c>
      <c r="Y114" s="23">
        <f>IF(Y6=0,0,IF(Y6&lt;=Inputs!$C$11,-INDEX(Construction!$F$61:$W$61,Y6)-INDEX(Construction!$F$72:$W$72,Y6),INDEX(Waterfall!$F$164:$AE$164,Y6-Inputs!$C$11)))</f>
        <v>1453615.112304504</v>
      </c>
      <c r="Z114" s="23">
        <f>IF(Z6=0,0,IF(Z6&lt;=Inputs!$C$11,-INDEX(Construction!$F$61:$W$61,Z6)-INDEX(Construction!$F$72:$W$72,Z6),INDEX(Waterfall!$F$164:$AE$164,Z6-Inputs!$C$11)))</f>
        <v>1934443.9192025843</v>
      </c>
      <c r="AA114" s="23">
        <f>IF(AA6=0,0,IF(AA6&lt;=Inputs!$C$11,-INDEX(Construction!$F$61:$W$61,AA6)-INDEX(Construction!$F$72:$W$72,AA6),INDEX(Waterfall!$F$164:$AE$164,AA6-Inputs!$C$11)))</f>
        <v>3151921.8944625584</v>
      </c>
      <c r="AB114" s="23">
        <f>IF(AB6=0,0,IF(AB6&lt;=Inputs!$C$11,-INDEX(Construction!$F$61:$W$61,AB6)-INDEX(Construction!$F$72:$W$72,AB6),INDEX(Waterfall!$F$164:$AE$164,AB6-Inputs!$C$11)))</f>
        <v>2683529.8667177265</v>
      </c>
      <c r="AC114" s="23">
        <f>IF(AC6=0,0,IF(AC6&lt;=Inputs!$C$11,-INDEX(Construction!$F$61:$W$61,AC6)-INDEX(Construction!$F$72:$W$72,AC6),INDEX(Waterfall!$F$164:$AE$164,AC6-Inputs!$C$11)))</f>
        <v>2558516.524607921</v>
      </c>
      <c r="AD114" s="23">
        <f>IF(AD6=0,0,IF(AD6&lt;=Inputs!$C$11,-INDEX(Construction!$F$61:$W$61,AD6)-INDEX(Construction!$F$72:$W$72,AD6),INDEX(Waterfall!$F$164:$AE$164,AD6-Inputs!$C$11)))</f>
        <v>2502426.270594942</v>
      </c>
      <c r="AE114" s="23">
        <f>IF(AE6=0,0,IF(AE6&lt;=Inputs!$C$11,-INDEX(Construction!$F$61:$W$61,AE6)-INDEX(Construction!$F$72:$W$72,AE6),INDEX(Waterfall!$F$164:$AE$164,AE6-Inputs!$C$11)))</f>
        <v>4338307.176837427</v>
      </c>
      <c r="AF114" s="23">
        <f>IF(AF6=0,0,IF(AF6&lt;=Inputs!$C$11,-INDEX(Construction!$F$61:$W$61,AF6)-INDEX(Construction!$F$72:$W$72,AF6),INDEX(Waterfall!$F$164:$AE$164,AF6-Inputs!$C$11)))</f>
        <v>2756836.8576003914</v>
      </c>
      <c r="AG114" s="23">
        <f>IF(AG6=0,0,IF(AG6&lt;=Inputs!$C$11,-INDEX(Construction!$F$61:$W$61,AG6)-INDEX(Construction!$F$72:$W$72,AG6),INDEX(Waterfall!$F$164:$AE$164,AG6-Inputs!$C$11)))</f>
        <v>2729025.784782538</v>
      </c>
      <c r="AH114" s="23">
        <f>IF(AH6=0,0,IF(AH6&lt;=Inputs!$C$11,-INDEX(Construction!$F$61:$W$61,AH6)-INDEX(Construction!$F$72:$W$72,AH6),INDEX(Waterfall!$F$164:$AE$164,AH6-Inputs!$C$11)))</f>
        <v>2698206.6364277154</v>
      </c>
      <c r="AI114" s="23">
        <f>IF(AI6=0,0,IF(AI6&lt;=Inputs!$C$11,-INDEX(Construction!$F$61:$W$61,AI6)-INDEX(Construction!$F$72:$W$72,AI6),INDEX(Waterfall!$F$164:$AE$164,AI6-Inputs!$C$11)))</f>
        <v>2528807.3220999893</v>
      </c>
      <c r="AJ114" s="23">
        <f>IF(AJ6=0,0,IF(AJ6&lt;=Inputs!$C$11,-INDEX(Construction!$F$61:$W$61,AJ6)-INDEX(Construction!$F$72:$W$72,AJ6),INDEX(Waterfall!$F$164:$AE$164,AJ6-Inputs!$C$11)))</f>
        <v>2486740.259837407</v>
      </c>
      <c r="AK114" s="23">
        <f>IF(AK6=0,0,IF(AK6&lt;=Inputs!$C$11,-INDEX(Construction!$F$61:$W$61,AK6)-INDEX(Construction!$F$72:$W$72,AK6),INDEX(Waterfall!$F$164:$AE$164,AK6-Inputs!$C$11)))</f>
        <v>2444947.022996936</v>
      </c>
      <c r="AL114" s="23">
        <f>IF(AL6=0,0,IF(AL6&lt;=Inputs!$C$11,-INDEX(Construction!$F$61:$W$61,AL6)-INDEX(Construction!$F$72:$W$72,AL6),INDEX(Waterfall!$F$164:$AE$164,AL6-Inputs!$C$11)))</f>
        <v>2399689.182738581</v>
      </c>
      <c r="AM114" s="23">
        <f>IF(AM6=0,0,IF(AM6&lt;=Inputs!$C$11,-INDEX(Construction!$F$61:$W$61,AM6)-INDEX(Construction!$F$72:$W$72,AM6),INDEX(Waterfall!$F$164:$AE$164,AM6-Inputs!$C$11)))</f>
        <v>2356540.2441139184</v>
      </c>
      <c r="AN114" s="23">
        <f>IF(AN6=0,0,IF(AN6&lt;=Inputs!$C$11,-INDEX(Construction!$F$61:$W$61,AN6)-INDEX(Construction!$F$72:$W$72,AN6),INDEX(Waterfall!$F$164:$AE$164,AN6-Inputs!$C$11)))</f>
        <v>2311761.2314536283</v>
      </c>
      <c r="AO114" s="23">
        <f>IF(AO6=0,0,IF(AO6&lt;=Inputs!$C$11,-INDEX(Construction!$F$61:$W$61,AO6)-INDEX(Construction!$F$72:$W$72,AO6),INDEX(Waterfall!$F$164:$AE$164,AO6-Inputs!$C$11)))</f>
        <v>2267268.9329940462</v>
      </c>
      <c r="AP114" s="23">
        <f>IF(AP6=0,0,IF(AP6&lt;=Inputs!$C$11,-INDEX(Construction!$F$61:$W$61,AP6)-INDEX(Construction!$F$72:$W$72,AP6),INDEX(Waterfall!$F$164:$AE$164,AP6-Inputs!$C$11)))</f>
        <v>2149744.9757873775</v>
      </c>
      <c r="AQ114" s="23">
        <f>IF(AQ6=0,0,IF(AQ6&lt;=Inputs!$C$11,-INDEX(Construction!$F$61:$W$61,AQ6)-INDEX(Construction!$F$72:$W$72,AQ6),INDEX(Waterfall!$F$164:$AE$164,AQ6-Inputs!$C$11)))</f>
        <v>2210266.57311389</v>
      </c>
      <c r="AR114" s="23">
        <f>IF(AR6=0,0,IF(AR6&lt;=Inputs!$C$11,-INDEX(Construction!$F$61:$W$61,AR6)-INDEX(Construction!$F$72:$W$72,AR6),INDEX(Waterfall!$F$164:$AE$164,AR6-Inputs!$C$11)))</f>
        <v>2248314.5406976775</v>
      </c>
      <c r="AS114" s="23">
        <f>IF(AS6=0,0,IF(AS6&lt;=Inputs!$C$11,-INDEX(Construction!$F$61:$W$61,AS6)-INDEX(Construction!$F$72:$W$72,AS6),INDEX(Waterfall!$F$164:$AE$164,AS6-Inputs!$C$11)))</f>
        <v>2204383.992413605</v>
      </c>
      <c r="AT114" s="23">
        <f>IF(AT6=0,0,IF(AT6&lt;=Inputs!$C$11,-INDEX(Construction!$F$61:$W$61,AT6)-INDEX(Construction!$F$72:$W$72,AT6),INDEX(Waterfall!$F$164:$AE$164,AT6-Inputs!$C$11)))</f>
        <v>2239956.984071967</v>
      </c>
      <c r="AU114" s="23">
        <f>IF(AU6=0,0,IF(AU6&lt;=Inputs!$C$11,-INDEX(Construction!$F$61:$W$61,AU6)-INDEX(Construction!$F$72:$W$72,AU6),INDEX(Waterfall!$F$164:$AE$164,AU6-Inputs!$C$11)))</f>
        <v>2279453.4884312395</v>
      </c>
      <c r="AV114" s="23">
        <f>IF(AV6=0,0,IF(AV6&lt;=Inputs!$C$11,-INDEX(Construction!$F$61:$W$61,AV6)-INDEX(Construction!$F$72:$W$72,AV6),INDEX(Waterfall!$F$164:$AE$164,AV6-Inputs!$C$11)))</f>
        <v>2318573.6346889487</v>
      </c>
      <c r="AW114" s="23">
        <f>IF(AW6=0,0,IF(AW6&lt;=Inputs!$C$11,-INDEX(Construction!$F$61:$W$61,AW6)-INDEX(Construction!$F$72:$W$72,AW6),INDEX(Waterfall!$F$164:$AE$164,AW6-Inputs!$C$11)))</f>
        <v>2363417.3461972345</v>
      </c>
      <c r="AX114" s="23">
        <f>IF(AX6=0,0,IF(AX6&lt;=Inputs!$C$11,-INDEX(Construction!$F$61:$W$61,AX6)-INDEX(Construction!$F$72:$W$72,AX6),INDEX(Waterfall!$F$164:$AE$164,AX6-Inputs!$C$11)))</f>
        <v>-1061766.9615536353</v>
      </c>
    </row>
    <row r="115">
      <c r="A115" s="6" t="inlineStr">
        <is>
          <t xml:space="preserve">LCOE costs: capex, opex net of the § 6 refund, decommissioning</t>
        </is>
      </c>
      <c r="B115" s="10" t="inlineStr">
        <is>
          <t xml:space="preserve">€</t>
        </is>
      </c>
      <c r="F115" s="23">
        <f>IF(F6=0,0,IF(F6&lt;=Inputs!$C$11,INDEX(Construction!$F$61:$W$61,F6),INDEX(Operations!$F$215:$AE$215,F6-Inputs!$C$11)-INDEX(Operations!$F$216:$AE$216,F6-Inputs!$C$11)+INDEX(Waterfall!$F$146:$AE$146,F6-Inputs!$C$11)))</f>
        <v>0</v>
      </c>
      <c r="G115" s="23">
        <f>IF(G6=0,0,IF(G6&lt;=Inputs!$C$11,INDEX(Construction!$F$61:$W$61,G6),INDEX(Operations!$F$215:$AE$215,G6-Inputs!$C$11)-INDEX(Operations!$F$216:$AE$216,G6-Inputs!$C$11)+INDEX(Waterfall!$F$146:$AE$146,G6-Inputs!$C$11)))</f>
        <v>11352497.625</v>
      </c>
      <c r="H115" s="23">
        <f>IF(H6=0,0,IF(H6&lt;=Inputs!$C$11,INDEX(Construction!$F$61:$W$61,H6),INDEX(Operations!$F$215:$AE$215,H6-Inputs!$C$11)-INDEX(Operations!$F$216:$AE$216,H6-Inputs!$C$11)+INDEX(Waterfall!$F$146:$AE$146,H6-Inputs!$C$11)))</f>
        <v>957025.125</v>
      </c>
      <c r="I115" s="23">
        <f>IF(I6=0,0,IF(I6&lt;=Inputs!$C$11,INDEX(Construction!$F$61:$W$61,I6),INDEX(Operations!$F$215:$AE$215,I6-Inputs!$C$11)-INDEX(Operations!$F$216:$AE$216,I6-Inputs!$C$11)+INDEX(Waterfall!$F$146:$AE$146,I6-Inputs!$C$11)))</f>
        <v>957025.125</v>
      </c>
      <c r="J115" s="23">
        <f>IF(J6=0,0,IF(J6&lt;=Inputs!$C$11,INDEX(Construction!$F$61:$W$61,J6),INDEX(Operations!$F$215:$AE$215,J6-Inputs!$C$11)-INDEX(Operations!$F$216:$AE$216,J6-Inputs!$C$11)+INDEX(Waterfall!$F$146:$AE$146,J6-Inputs!$C$11)))</f>
        <v>957025.125</v>
      </c>
      <c r="K115" s="23">
        <f>IF(K6=0,0,IF(K6&lt;=Inputs!$C$11,INDEX(Construction!$F$61:$W$61,K6),INDEX(Operations!$F$215:$AE$215,K6-Inputs!$C$11)-INDEX(Operations!$F$216:$AE$216,K6-Inputs!$C$11)+INDEX(Waterfall!$F$146:$AE$146,K6-Inputs!$C$11)))</f>
        <v>957025.125</v>
      </c>
      <c r="L115" s="23">
        <f>IF(L6=0,0,IF(L6&lt;=Inputs!$C$11,INDEX(Construction!$F$61:$W$61,L6),INDEX(Operations!$F$215:$AE$215,L6-Inputs!$C$11)-INDEX(Operations!$F$216:$AE$216,L6-Inputs!$C$11)+INDEX(Waterfall!$F$146:$AE$146,L6-Inputs!$C$11)))</f>
        <v>957025.125</v>
      </c>
      <c r="M115" s="23">
        <f>IF(M6=0,0,IF(M6&lt;=Inputs!$C$11,INDEX(Construction!$F$61:$W$61,M6),INDEX(Operations!$F$215:$AE$215,M6-Inputs!$C$11)-INDEX(Operations!$F$216:$AE$216,M6-Inputs!$C$11)+INDEX(Waterfall!$F$146:$AE$146,M6-Inputs!$C$11)))</f>
        <v>957025.125</v>
      </c>
      <c r="N115" s="23">
        <f>IF(N6=0,0,IF(N6&lt;=Inputs!$C$11,INDEX(Construction!$F$61:$W$61,N6),INDEX(Operations!$F$215:$AE$215,N6-Inputs!$C$11)-INDEX(Operations!$F$216:$AE$216,N6-Inputs!$C$11)+INDEX(Waterfall!$F$146:$AE$146,N6-Inputs!$C$11)))</f>
        <v>957025.125</v>
      </c>
      <c r="O115" s="23">
        <f>IF(O6=0,0,IF(O6&lt;=Inputs!$C$11,INDEX(Construction!$F$61:$W$61,O6),INDEX(Operations!$F$215:$AE$215,O6-Inputs!$C$11)-INDEX(Operations!$F$216:$AE$216,O6-Inputs!$C$11)+INDEX(Waterfall!$F$146:$AE$146,O6-Inputs!$C$11)))</f>
        <v>957025.125</v>
      </c>
      <c r="P115" s="23">
        <f>IF(P6=0,0,IF(P6&lt;=Inputs!$C$11,INDEX(Construction!$F$61:$W$61,P6),INDEX(Operations!$F$215:$AE$215,P6-Inputs!$C$11)-INDEX(Operations!$F$216:$AE$216,P6-Inputs!$C$11)+INDEX(Waterfall!$F$146:$AE$146,P6-Inputs!$C$11)))</f>
        <v>957025.125</v>
      </c>
      <c r="Q115" s="23">
        <f>IF(Q6=0,0,IF(Q6&lt;=Inputs!$C$11,INDEX(Construction!$F$61:$W$61,Q6),INDEX(Operations!$F$215:$AE$215,Q6-Inputs!$C$11)-INDEX(Operations!$F$216:$AE$216,Q6-Inputs!$C$11)+INDEX(Waterfall!$F$146:$AE$146,Q6-Inputs!$C$11)))</f>
        <v>957025.125</v>
      </c>
      <c r="R115" s="23">
        <f>IF(R6=0,0,IF(R6&lt;=Inputs!$C$11,INDEX(Construction!$F$61:$W$61,R6),INDEX(Operations!$F$215:$AE$215,R6-Inputs!$C$11)-INDEX(Operations!$F$216:$AE$216,R6-Inputs!$C$11)+INDEX(Waterfall!$F$146:$AE$146,R6-Inputs!$C$11)))</f>
        <v>957025.125</v>
      </c>
      <c r="S115" s="23">
        <f>IF(S6=0,0,IF(S6&lt;=Inputs!$C$11,INDEX(Construction!$F$61:$W$61,S6),INDEX(Operations!$F$215:$AE$215,S6-Inputs!$C$11)-INDEX(Operations!$F$216:$AE$216,S6-Inputs!$C$11)+INDEX(Waterfall!$F$146:$AE$146,S6-Inputs!$C$11)))</f>
        <v>582175.125</v>
      </c>
      <c r="T115" s="23">
        <f>IF(T6=0,0,IF(T6&lt;=Inputs!$C$11,INDEX(Construction!$F$61:$W$61,T6),INDEX(Operations!$F$215:$AE$215,T6-Inputs!$C$11)-INDEX(Operations!$F$216:$AE$216,T6-Inputs!$C$11)+INDEX(Waterfall!$F$146:$AE$146,T6-Inputs!$C$11)))</f>
        <v>582175.125</v>
      </c>
      <c r="U115" s="23">
        <f>IF(U6=0,0,IF(U6&lt;=Inputs!$C$11,INDEX(Construction!$F$61:$W$61,U6),INDEX(Operations!$F$215:$AE$215,U6-Inputs!$C$11)-INDEX(Operations!$F$216:$AE$216,U6-Inputs!$C$11)+INDEX(Waterfall!$F$146:$AE$146,U6-Inputs!$C$11)))</f>
        <v>9557627.624999998</v>
      </c>
      <c r="V115" s="23">
        <f>IF(V6=0,0,IF(V6&lt;=Inputs!$C$11,INDEX(Construction!$F$61:$W$61,V6),INDEX(Operations!$F$215:$AE$215,V6-Inputs!$C$11)-INDEX(Operations!$F$216:$AE$216,V6-Inputs!$C$11)+INDEX(Waterfall!$F$146:$AE$146,V6-Inputs!$C$11)))</f>
        <v>9557627.624999998</v>
      </c>
      <c r="W115" s="23">
        <f>IF(W6=0,0,IF(W6&lt;=Inputs!$C$11,INDEX(Construction!$F$61:$W$61,W6),INDEX(Operations!$F$215:$AE$215,W6-Inputs!$C$11)-INDEX(Operations!$F$216:$AE$216,W6-Inputs!$C$11)+INDEX(Waterfall!$F$146:$AE$146,W6-Inputs!$C$11)))</f>
        <v>9557627.624999998</v>
      </c>
      <c r="X115" s="23">
        <f>IF(X6=0,0,IF(X6&lt;=Inputs!$C$11,INDEX(Construction!$F$61:$W$61,X6),INDEX(Operations!$F$215:$AE$215,X6-Inputs!$C$11)-INDEX(Operations!$F$216:$AE$216,X6-Inputs!$C$11)+INDEX(Waterfall!$F$146:$AE$146,X6-Inputs!$C$11)))</f>
        <v>8275420.125000001</v>
      </c>
      <c r="Y115" s="23">
        <f>IF(Y6=0,0,IF(Y6&lt;=Inputs!$C$11,INDEX(Construction!$F$61:$W$61,Y6),INDEX(Operations!$F$215:$AE$215,Y6-Inputs!$C$11)-INDEX(Operations!$F$216:$AE$216,Y6-Inputs!$C$11)+INDEX(Waterfall!$F$146:$AE$146,Y6-Inputs!$C$11)))</f>
        <v>819762.898680207</v>
      </c>
      <c r="Z115" s="23">
        <f>IF(Z6=0,0,IF(Z6&lt;=Inputs!$C$11,INDEX(Construction!$F$61:$W$61,Z6),INDEX(Operations!$F$215:$AE$215,Z6-Inputs!$C$11)-INDEX(Operations!$F$216:$AE$216,Z6-Inputs!$C$11)+INDEX(Waterfall!$F$146:$AE$146,Z6-Inputs!$C$11)))</f>
        <v>1518889.987033483</v>
      </c>
      <c r="AA115" s="23">
        <f>IF(AA6=0,0,IF(AA6&lt;=Inputs!$C$11,INDEX(Construction!$F$61:$W$61,AA6),INDEX(Operations!$F$215:$AE$215,AA6-Inputs!$C$11)-INDEX(Operations!$F$216:$AE$216,AA6-Inputs!$C$11)+INDEX(Waterfall!$F$146:$AE$146,AA6-Inputs!$C$11)))</f>
        <v>1539268.8405368915</v>
      </c>
      <c r="AB115" s="23">
        <f>IF(AB6=0,0,IF(AB6&lt;=Inputs!$C$11,INDEX(Construction!$F$61:$W$61,AB6),INDEX(Operations!$F$215:$AE$215,AB6-Inputs!$C$11)-INDEX(Operations!$F$216:$AE$216,AB6-Inputs!$C$11)+INDEX(Waterfall!$F$146:$AE$146,AB6-Inputs!$C$11)))</f>
        <v>1560649.9567569692</v>
      </c>
      <c r="AC115" s="23">
        <f>IF(AC6=0,0,IF(AC6&lt;=Inputs!$C$11,INDEX(Construction!$F$61:$W$61,AC6),INDEX(Operations!$F$215:$AE$215,AC6-Inputs!$C$11)-INDEX(Operations!$F$216:$AE$216,AC6-Inputs!$C$11)+INDEX(Waterfall!$F$146:$AE$146,AC6-Inputs!$C$11)))</f>
        <v>1582470.8060214045</v>
      </c>
      <c r="AD115" s="23">
        <f>IF(AD6=0,0,IF(AD6&lt;=Inputs!$C$11,INDEX(Construction!$F$61:$W$61,AD6),INDEX(Operations!$F$215:$AE$215,AD6-Inputs!$C$11)-INDEX(Operations!$F$216:$AE$216,AD6-Inputs!$C$11)+INDEX(Waterfall!$F$146:$AE$146,AD6-Inputs!$C$11)))</f>
        <v>1777160.7525287454</v>
      </c>
      <c r="AE115" s="23">
        <f>IF(AE6=0,0,IF(AE6&lt;=Inputs!$C$11,INDEX(Construction!$F$61:$W$61,AE6),INDEX(Operations!$F$215:$AE$215,AE6-Inputs!$C$11)-INDEX(Operations!$F$216:$AE$216,AE6-Inputs!$C$11)+INDEX(Waterfall!$F$146:$AE$146,AE6-Inputs!$C$11)))</f>
        <v>1658758.094846455</v>
      </c>
      <c r="AF115" s="23">
        <f>IF(AF6=0,0,IF(AF6&lt;=Inputs!$C$11,INDEX(Construction!$F$61:$W$61,AF6),INDEX(Operations!$F$215:$AE$215,AF6-Inputs!$C$11)-INDEX(Operations!$F$216:$AE$216,AF6-Inputs!$C$11)+INDEX(Waterfall!$F$146:$AE$146,AF6-Inputs!$C$11)))</f>
        <v>1681888.1927266482</v>
      </c>
      <c r="AG115" s="23">
        <f>IF(AG6=0,0,IF(AG6&lt;=Inputs!$C$11,INDEX(Construction!$F$61:$W$61,AG6),INDEX(Operations!$F$215:$AE$215,AG6-Inputs!$C$11)-INDEX(Operations!$F$216:$AE$216,AG6-Inputs!$C$11)+INDEX(Waterfall!$F$146:$AE$146,AG6-Inputs!$C$11)))</f>
        <v>1705493.8199375514</v>
      </c>
      <c r="AH115" s="23">
        <f>IF(AH6=0,0,IF(AH6&lt;=Inputs!$C$11,INDEX(Construction!$F$61:$W$61,AH6),INDEX(Operations!$F$215:$AE$215,AH6-Inputs!$C$11)-INDEX(Operations!$F$216:$AE$216,AH6-Inputs!$C$11)+INDEX(Waterfall!$F$146:$AE$146,AH6-Inputs!$C$11)))</f>
        <v>1729584.3397070547</v>
      </c>
      <c r="AI115" s="23">
        <f>IF(AI6=0,0,IF(AI6&lt;=Inputs!$C$11,INDEX(Construction!$F$61:$W$61,AI6),INDEX(Operations!$F$215:$AE$215,AI6-Inputs!$C$11)-INDEX(Operations!$F$216:$AE$216,AI6-Inputs!$C$11)+INDEX(Waterfall!$F$146:$AE$146,AI6-Inputs!$C$11)))</f>
        <v>1894936.23724421</v>
      </c>
      <c r="AJ115" s="23">
        <f>IF(AJ6=0,0,IF(AJ6&lt;=Inputs!$C$11,INDEX(Construction!$F$61:$W$61,AJ6),INDEX(Operations!$F$215:$AE$215,AJ6-Inputs!$C$11)-INDEX(Operations!$F$216:$AE$216,AJ6-Inputs!$C$11)+INDEX(Waterfall!$F$146:$AE$146,AJ6-Inputs!$C$11)))</f>
        <v>1932169.3017612149</v>
      </c>
      <c r="AK115" s="23">
        <f>IF(AK6=0,0,IF(AK6&lt;=Inputs!$C$11,INDEX(Construction!$F$61:$W$61,AK6),INDEX(Operations!$F$215:$AE$215,AK6-Inputs!$C$11)-INDEX(Operations!$F$216:$AE$216,AK6-Inputs!$C$11)+INDEX(Waterfall!$F$146:$AE$146,AK6-Inputs!$C$11)))</f>
        <v>1970141.5115801329</v>
      </c>
      <c r="AL115" s="23">
        <f>IF(AL6=0,0,IF(AL6&lt;=Inputs!$C$11,INDEX(Construction!$F$61:$W$61,AL6),INDEX(Operations!$F$215:$AE$215,AL6-Inputs!$C$11)-INDEX(Operations!$F$216:$AE$216,AL6-Inputs!$C$11)+INDEX(Waterfall!$F$146:$AE$146,AL6-Inputs!$C$11)))</f>
        <v>2008867.5448004103</v>
      </c>
      <c r="AM115" s="23">
        <f>IF(AM6=0,0,IF(AM6&lt;=Inputs!$C$11,INDEX(Construction!$F$61:$W$61,AM6),INDEX(Operations!$F$215:$AE$215,AM6-Inputs!$C$11)-INDEX(Operations!$F$216:$AE$216,AM6-Inputs!$C$11)+INDEX(Waterfall!$F$146:$AE$146,AM6-Inputs!$C$11)))</f>
        <v>2048362.3712126378</v>
      </c>
      <c r="AN115" s="23">
        <f>IF(AN6=0,0,IF(AN6&lt;=Inputs!$C$11,INDEX(Construction!$F$61:$W$61,AN6),INDEX(Operations!$F$215:$AE$215,AN6-Inputs!$C$11)-INDEX(Operations!$F$216:$AE$216,AN6-Inputs!$C$11)+INDEX(Waterfall!$F$146:$AE$146,AN6-Inputs!$C$11)))</f>
        <v>2088641.258098744</v>
      </c>
      <c r="AO115" s="23">
        <f>IF(AO6=0,0,IF(AO6&lt;=Inputs!$C$11,INDEX(Construction!$F$61:$W$61,AO6),INDEX(Operations!$F$215:$AE$215,AO6-Inputs!$C$11)-INDEX(Operations!$F$216:$AE$216,AO6-Inputs!$C$11)+INDEX(Waterfall!$F$146:$AE$146,AO6-Inputs!$C$11)))</f>
        <v>2252405.2216251204</v>
      </c>
      <c r="AP115" s="23">
        <f>IF(AP6=0,0,IF(AP6&lt;=Inputs!$C$11,INDEX(Construction!$F$61:$W$61,AP6),INDEX(Operations!$F$215:$AE$215,AP6-Inputs!$C$11)-INDEX(Operations!$F$216:$AE$216,AP6-Inputs!$C$11)+INDEX(Waterfall!$F$146:$AE$146,AP6-Inputs!$C$11)))</f>
        <v>2294053.8800748796</v>
      </c>
      <c r="AQ115" s="23">
        <f>IF(AQ6=0,0,IF(AQ6&lt;=Inputs!$C$11,INDEX(Construction!$F$61:$W$61,AQ6),INDEX(Operations!$F$215:$AE$215,AQ6-Inputs!$C$11)-INDEX(Operations!$F$216:$AE$216,AQ6-Inputs!$C$11)+INDEX(Waterfall!$F$146:$AE$146,AQ6-Inputs!$C$11)))</f>
        <v>2336534.73628096</v>
      </c>
      <c r="AR115" s="23">
        <f>IF(AR6=0,0,IF(AR6&lt;=Inputs!$C$11,INDEX(Construction!$F$61:$W$61,AR6),INDEX(Operations!$F$215:$AE$215,AR6-Inputs!$C$11)-INDEX(Operations!$F$216:$AE$216,AR6-Inputs!$C$11)+INDEX(Waterfall!$F$146:$AE$146,AR6-Inputs!$C$11)))</f>
        <v>2379864.306853903</v>
      </c>
      <c r="AS115" s="23">
        <f>IF(AS6=0,0,IF(AS6&lt;=Inputs!$C$11,INDEX(Construction!$F$61:$W$61,AS6),INDEX(Operations!$F$215:$AE$215,AS6-Inputs!$C$11)-INDEX(Operations!$F$216:$AE$216,AS6-Inputs!$C$11)+INDEX(Waterfall!$F$146:$AE$146,AS6-Inputs!$C$11)))</f>
        <v>2512772.312728657</v>
      </c>
      <c r="AT115" s="23">
        <f>IF(AT6=0,0,IF(AT6&lt;=Inputs!$C$11,INDEX(Construction!$F$61:$W$61,AT6),INDEX(Operations!$F$215:$AE$215,AT6-Inputs!$C$11)-INDEX(Operations!$F$216:$AE$216,AT6-Inputs!$C$11)+INDEX(Waterfall!$F$146:$AE$146,AT6-Inputs!$C$11)))</f>
        <v>2559624.4390037325</v>
      </c>
      <c r="AU115" s="23">
        <f>IF(AU6=0,0,IF(AU6&lt;=Inputs!$C$11,INDEX(Construction!$F$61:$W$61,AU6),INDEX(Operations!$F$215:$AE$215,AU6-Inputs!$C$11)-INDEX(Operations!$F$216:$AE$216,AU6-Inputs!$C$11)+INDEX(Waterfall!$F$146:$AE$146,AU6-Inputs!$C$11)))</f>
        <v>2607412.3105011615</v>
      </c>
      <c r="AV115" s="23">
        <f>IF(AV6=0,0,IF(AV6&lt;=Inputs!$C$11,INDEX(Construction!$F$61:$W$61,AV6),INDEX(Operations!$F$215:$AE$215,AV6-Inputs!$C$11)-INDEX(Operations!$F$216:$AE$216,AV6-Inputs!$C$11)+INDEX(Waterfall!$F$146:$AE$146,AV6-Inputs!$C$11)))</f>
        <v>2656154.5063122795</v>
      </c>
      <c r="AW115" s="23">
        <f>IF(AW6=0,0,IF(AW6&lt;=Inputs!$C$11,INDEX(Construction!$F$61:$W$61,AW6),INDEX(Operations!$F$215:$AE$215,AW6-Inputs!$C$11)-INDEX(Operations!$F$216:$AE$216,AW6-Inputs!$C$11)+INDEX(Waterfall!$F$146:$AE$146,AW6-Inputs!$C$11)))</f>
        <v>2705869.9748960715</v>
      </c>
      <c r="AX115" s="23">
        <f>IF(AX6=0,0,IF(AX6&lt;=Inputs!$C$11,INDEX(Construction!$F$61:$W$61,AX6),INDEX(Operations!$F$215:$AE$215,AX6-Inputs!$C$11)-INDEX(Operations!$F$216:$AE$216,AX6-Inputs!$C$11)+INDEX(Waterfall!$F$146:$AE$146,AX6-Inputs!$C$11)))</f>
        <v>4071102.5320124812</v>
      </c>
    </row>
    <row r="116">
      <c r="A116" s="6" t="inlineStr">
        <is>
          <t xml:space="preserve">LCOE output: output sold</t>
        </is>
      </c>
      <c r="B116" s="10" t="inlineStr">
        <is>
          <t xml:space="preserve">kWh</t>
        </is>
      </c>
      <c r="F116" s="23">
        <f>IF(F6=0,0,IF(F6&lt;=Inputs!$C$11,0,INDEX(Operations!$F$185:$AE$185,F6-Inputs!$C$11)))</f>
        <v>0</v>
      </c>
      <c r="G116" s="23">
        <f>IF(G6=0,0,IF(G6&lt;=Inputs!$C$11,0,INDEX(Operations!$F$185:$AE$185,G6-Inputs!$C$11)))</f>
        <v>0</v>
      </c>
      <c r="H116" s="23">
        <f>IF(H6=0,0,IF(H6&lt;=Inputs!$C$11,0,INDEX(Operations!$F$185:$AE$185,H6-Inputs!$C$11)))</f>
        <v>0</v>
      </c>
      <c r="I116" s="23">
        <f>IF(I6=0,0,IF(I6&lt;=Inputs!$C$11,0,INDEX(Operations!$F$185:$AE$185,I6-Inputs!$C$11)))</f>
        <v>0</v>
      </c>
      <c r="J116" s="23">
        <f>IF(J6=0,0,IF(J6&lt;=Inputs!$C$11,0,INDEX(Operations!$F$185:$AE$185,J6-Inputs!$C$11)))</f>
        <v>0</v>
      </c>
      <c r="K116" s="23">
        <f>IF(K6=0,0,IF(K6&lt;=Inputs!$C$11,0,INDEX(Operations!$F$185:$AE$185,K6-Inputs!$C$11)))</f>
        <v>0</v>
      </c>
      <c r="L116" s="23">
        <f>IF(L6=0,0,IF(L6&lt;=Inputs!$C$11,0,INDEX(Operations!$F$185:$AE$185,L6-Inputs!$C$11)))</f>
        <v>0</v>
      </c>
      <c r="M116" s="23">
        <f>IF(M6=0,0,IF(M6&lt;=Inputs!$C$11,0,INDEX(Operations!$F$185:$AE$185,M6-Inputs!$C$11)))</f>
        <v>0</v>
      </c>
      <c r="N116" s="23">
        <f>IF(N6=0,0,IF(N6&lt;=Inputs!$C$11,0,INDEX(Operations!$F$185:$AE$185,N6-Inputs!$C$11)))</f>
        <v>0</v>
      </c>
      <c r="O116" s="23">
        <f>IF(O6=0,0,IF(O6&lt;=Inputs!$C$11,0,INDEX(Operations!$F$185:$AE$185,O6-Inputs!$C$11)))</f>
        <v>0</v>
      </c>
      <c r="P116" s="23">
        <f>IF(P6=0,0,IF(P6&lt;=Inputs!$C$11,0,INDEX(Operations!$F$185:$AE$185,P6-Inputs!$C$11)))</f>
        <v>0</v>
      </c>
      <c r="Q116" s="23">
        <f>IF(Q6=0,0,IF(Q6&lt;=Inputs!$C$11,0,INDEX(Operations!$F$185:$AE$185,Q6-Inputs!$C$11)))</f>
        <v>0</v>
      </c>
      <c r="R116" s="23">
        <f>IF(R6=0,0,IF(R6&lt;=Inputs!$C$11,0,INDEX(Operations!$F$185:$AE$185,R6-Inputs!$C$11)))</f>
        <v>0</v>
      </c>
      <c r="S116" s="23">
        <f>IF(S6=0,0,IF(S6&lt;=Inputs!$C$11,0,INDEX(Operations!$F$185:$AE$185,S6-Inputs!$C$11)))</f>
        <v>0</v>
      </c>
      <c r="T116" s="23">
        <f>IF(T6=0,0,IF(T6&lt;=Inputs!$C$11,0,INDEX(Operations!$F$185:$AE$185,T6-Inputs!$C$11)))</f>
        <v>0</v>
      </c>
      <c r="U116" s="23">
        <f>IF(U6=0,0,IF(U6&lt;=Inputs!$C$11,0,INDEX(Operations!$F$185:$AE$185,U6-Inputs!$C$11)))</f>
        <v>0</v>
      </c>
      <c r="V116" s="23">
        <f>IF(V6=0,0,IF(V6&lt;=Inputs!$C$11,0,INDEX(Operations!$F$185:$AE$185,V6-Inputs!$C$11)))</f>
        <v>0</v>
      </c>
      <c r="W116" s="23">
        <f>IF(W6=0,0,IF(W6&lt;=Inputs!$C$11,0,INDEX(Operations!$F$185:$AE$185,W6-Inputs!$C$11)))</f>
        <v>0</v>
      </c>
      <c r="X116" s="23">
        <f>IF(X6=0,0,IF(X6&lt;=Inputs!$C$11,0,INDEX(Operations!$F$185:$AE$185,X6-Inputs!$C$11)))</f>
        <v>0</v>
      </c>
      <c r="Y116" s="23">
        <f>IF(Y6=0,0,IF(Y6&lt;=Inputs!$C$11,0,INDEX(Operations!$F$185:$AE$185,Y6-Inputs!$C$11)))</f>
        <v>31842790.940285973</v>
      </c>
      <c r="Z116" s="23">
        <f>IF(Z6=0,0,IF(Z6&lt;=Inputs!$C$11,0,INDEX(Operations!$F$185:$AE$185,Z6-Inputs!$C$11)))</f>
        <v>63212785.658567265</v>
      </c>
      <c r="AA116" s="23">
        <f>IF(AA6=0,0,IF(AA6&lt;=Inputs!$C$11,0,INDEX(Operations!$F$185:$AE$185,AA6-Inputs!$C$11)))</f>
        <v>63086360.08725013</v>
      </c>
      <c r="AB116" s="23">
        <f>IF(AB6=0,0,IF(AB6&lt;=Inputs!$C$11,0,INDEX(Operations!$F$185:$AE$185,AB6-Inputs!$C$11)))</f>
        <v>62960187.36707564</v>
      </c>
      <c r="AC116" s="23">
        <f>IF(AC6=0,0,IF(AC6&lt;=Inputs!$C$11,0,INDEX(Operations!$F$185:$AE$185,AC6-Inputs!$C$11)))</f>
        <v>62834266.99234148</v>
      </c>
      <c r="AD116" s="23">
        <f>IF(AD6=0,0,IF(AD6&lt;=Inputs!$C$11,0,INDEX(Operations!$F$185:$AE$185,AD6-Inputs!$C$11)))</f>
        <v>62708598.4583568</v>
      </c>
      <c r="AE116" s="23">
        <f>IF(AE6=0,0,IF(AE6&lt;=Inputs!$C$11,0,INDEX(Operations!$F$185:$AE$185,AE6-Inputs!$C$11)))</f>
        <v>62583181.26144008</v>
      </c>
      <c r="AF116" s="23">
        <f>IF(AF6=0,0,IF(AF6&lt;=Inputs!$C$11,0,INDEX(Operations!$F$185:$AE$185,AF6-Inputs!$C$11)))</f>
        <v>62458014.8989172</v>
      </c>
      <c r="AG116" s="23">
        <f>IF(AG6=0,0,IF(AG6&lt;=Inputs!$C$11,0,INDEX(Operations!$F$185:$AE$185,AG6-Inputs!$C$11)))</f>
        <v>62333098.86911936</v>
      </c>
      <c r="AH116" s="23">
        <f>IF(AH6=0,0,IF(AH6&lt;=Inputs!$C$11,0,INDEX(Operations!$F$185:$AE$185,AH6-Inputs!$C$11)))</f>
        <v>62208432.67138114</v>
      </c>
      <c r="AI116" s="23">
        <f>IF(AI6=0,0,IF(AI6&lt;=Inputs!$C$11,0,INDEX(Operations!$F$185:$AE$185,AI6-Inputs!$C$11)))</f>
        <v>62084015.806038365</v>
      </c>
      <c r="AJ116" s="23">
        <f>IF(AJ6=0,0,IF(AJ6&lt;=Inputs!$C$11,0,INDEX(Operations!$F$185:$AE$185,AJ6-Inputs!$C$11)))</f>
        <v>61959847.77442629</v>
      </c>
      <c r="AK116" s="23">
        <f>IF(AK6=0,0,IF(AK6&lt;=Inputs!$C$11,0,INDEX(Operations!$F$185:$AE$185,AK6-Inputs!$C$11)))</f>
        <v>61835928.07887744</v>
      </c>
      <c r="AL116" s="23">
        <f>IF(AL6=0,0,IF(AL6&lt;=Inputs!$C$11,0,INDEX(Operations!$F$185:$AE$185,AL6-Inputs!$C$11)))</f>
        <v>61712256.22271969</v>
      </c>
      <c r="AM116" s="23">
        <f>IF(AM6=0,0,IF(AM6&lt;=Inputs!$C$11,0,INDEX(Operations!$F$185:$AE$185,AM6-Inputs!$C$11)))</f>
        <v>61588831.710274234</v>
      </c>
      <c r="AN116" s="23">
        <f>IF(AN6=0,0,IF(AN6&lt;=Inputs!$C$11,0,INDEX(Operations!$F$185:$AE$185,AN6-Inputs!$C$11)))</f>
        <v>61465654.0468537</v>
      </c>
      <c r="AO116" s="23">
        <f>IF(AO6=0,0,IF(AO6&lt;=Inputs!$C$11,0,INDEX(Operations!$F$185:$AE$185,AO6-Inputs!$C$11)))</f>
        <v>61342722.73875999</v>
      </c>
      <c r="AP116" s="23">
        <f>IF(AP6=0,0,IF(AP6&lt;=Inputs!$C$11,0,INDEX(Operations!$F$185:$AE$185,AP6-Inputs!$C$11)))</f>
        <v>61220037.293282464</v>
      </c>
      <c r="AQ116" s="23">
        <f>IF(AQ6=0,0,IF(AQ6&lt;=Inputs!$C$11,0,INDEX(Operations!$F$185:$AE$185,AQ6-Inputs!$C$11)))</f>
        <v>61097597.2186959</v>
      </c>
      <c r="AR116" s="23">
        <f>IF(AR6=0,0,IF(AR6&lt;=Inputs!$C$11,0,INDEX(Operations!$F$185:$AE$185,AR6-Inputs!$C$11)))</f>
        <v>60975402.02425851</v>
      </c>
      <c r="AS116" s="23">
        <f>IF(AS6=0,0,IF(AS6&lt;=Inputs!$C$11,0,INDEX(Operations!$F$185:$AE$185,AS6-Inputs!$C$11)))</f>
        <v>60853451.22020999</v>
      </c>
      <c r="AT116" s="23">
        <f>IF(AT6=0,0,IF(AT6&lt;=Inputs!$C$11,0,INDEX(Operations!$F$185:$AE$185,AT6-Inputs!$C$11)))</f>
        <v>60731744.31776957</v>
      </c>
      <c r="AU116" s="23">
        <f>IF(AU6=0,0,IF(AU6&lt;=Inputs!$C$11,0,INDEX(Operations!$F$185:$AE$185,AU6-Inputs!$C$11)))</f>
        <v>60610280.82913403</v>
      </c>
      <c r="AV116" s="23">
        <f>IF(AV6=0,0,IF(AV6&lt;=Inputs!$C$11,0,INDEX(Operations!$F$185:$AE$185,AV6-Inputs!$C$11)))</f>
        <v>60489060.26747577</v>
      </c>
      <c r="AW116" s="23">
        <f>IF(AW6=0,0,IF(AW6&lt;=Inputs!$C$11,0,INDEX(Operations!$F$185:$AE$185,AW6-Inputs!$C$11)))</f>
        <v>60368082.14694082</v>
      </c>
      <c r="AX116" s="23">
        <f>IF(AX6=0,0,IF(AX6&lt;=Inputs!$C$11,0,INDEX(Operations!$F$185:$AE$185,AX6-Inputs!$C$11)))</f>
        <v>29876081.15851807</v>
      </c>
    </row>
    <row r="117">
      <c r="A117" s="6" t="inlineStr">
        <is>
          <t xml:space="preserve">Owners' cash flow to date</t>
        </is>
      </c>
      <c r="B117" s="10" t="inlineStr">
        <is>
          <t xml:space="preserve">€</t>
        </is>
      </c>
      <c r="E117" s="9">
        <v>0</v>
      </c>
      <c r="F117" s="23">
        <f>E117+F112</f>
        <v>0</v>
      </c>
      <c r="G117" s="23">
        <f>F117+G112</f>
        <v>-7722565.81153542</v>
      </c>
      <c r="H117" s="23">
        <f>G117+H112</f>
        <v>-8380836.581355077</v>
      </c>
      <c r="I117" s="23">
        <f>H117+I112</f>
        <v>-9040709.054232031</v>
      </c>
      <c r="J117" s="23">
        <f>I117+J112</f>
        <v>-9694739.93430962</v>
      </c>
      <c r="K117" s="23">
        <f>J117+K112</f>
        <v>-10349738.567871638</v>
      </c>
      <c r="L117" s="23">
        <f>K117+L112</f>
        <v>-11005706.386879226</v>
      </c>
      <c r="M117" s="23">
        <f>L117+M112</f>
        <v>-11677842.818016425</v>
      </c>
      <c r="N117" s="23">
        <f>M117+N112</f>
        <v>-12350639.180103026</v>
      </c>
      <c r="O117" s="23">
        <f>N117+O112</f>
        <v>-13024096.121086143</v>
      </c>
      <c r="P117" s="23">
        <f>O117+P112</f>
        <v>-13698214.289549064</v>
      </c>
      <c r="Q117" s="23">
        <f>P117+Q112</f>
        <v>-14372994.334711885</v>
      </c>
      <c r="R117" s="23">
        <f>Q117+R112</f>
        <v>-15048436.906432133</v>
      </c>
      <c r="S117" s="23">
        <f>R117+S112</f>
        <v>-15474101.56056624</v>
      </c>
      <c r="T117" s="23">
        <f>S117+T112</f>
        <v>-15899938.299936486</v>
      </c>
      <c r="U117" s="23">
        <f>T117+U112</f>
        <v>-22322538.327201195</v>
      </c>
      <c r="V117" s="23">
        <f>U117+V112</f>
        <v>-28757330.978537347</v>
      </c>
      <c r="W117" s="23">
        <f>V117+W112</f>
        <v>-35204328.22516032</v>
      </c>
      <c r="X117" s="23">
        <f>W117+X112</f>
        <v>-41533893.58327187</v>
      </c>
      <c r="Y117" s="23">
        <f>X117+Y112</f>
        <v>-40632193.61098861</v>
      </c>
      <c r="Z117" s="23">
        <f>Y117+Z112</f>
        <v>-39801579.97182852</v>
      </c>
      <c r="AA117" s="23">
        <f>Z117+AA112</f>
        <v>-38926573.51964439</v>
      </c>
      <c r="AB117" s="23">
        <f>AA117+AB112</f>
        <v>-38455027.902261406</v>
      </c>
      <c r="AC117" s="23">
        <f>AB117+AC112</f>
        <v>-38043564.434044555</v>
      </c>
      <c r="AD117" s="23">
        <f>AC117+AD112</f>
        <v>-37623260.026897006</v>
      </c>
      <c r="AE117" s="23">
        <f>AD117+AE112</f>
        <v>-35302143.5205633</v>
      </c>
      <c r="AF117" s="23">
        <f>AE117+AF112</f>
        <v>-34497566.14052295</v>
      </c>
      <c r="AG117" s="23">
        <f>AF117+AG112</f>
        <v>-33655868.64035678</v>
      </c>
      <c r="AH117" s="23">
        <f>AG117+AH112</f>
        <v>-32780059.095601752</v>
      </c>
      <c r="AI117" s="23">
        <f>AH117+AI112</f>
        <v>-32008717.672230776</v>
      </c>
      <c r="AJ117" s="23">
        <f>AI117+AJ112</f>
        <v>-31214512.118178707</v>
      </c>
      <c r="AK117" s="23">
        <f>AJ117+AK112</f>
        <v>-30397168.60802343</v>
      </c>
      <c r="AL117" s="23">
        <f>AK117+AL112</f>
        <v>-29560151.745182835</v>
      </c>
      <c r="AM117" s="23">
        <f>AL117+AM112</f>
        <v>-28701352.628023226</v>
      </c>
      <c r="AN117" s="23">
        <f>AM117+AN112</f>
        <v>-27822401.33058023</v>
      </c>
      <c r="AO117" s="23">
        <f>AN117+AO112</f>
        <v>-26923011.13865314</v>
      </c>
      <c r="AP117" s="23">
        <f>AO117+AP112</f>
        <v>-26071789.710989047</v>
      </c>
      <c r="AQ117" s="23">
        <f>AP117+AQ112</f>
        <v>-24800516.00293681</v>
      </c>
      <c r="AR117" s="23">
        <f>AQ117+AR112</f>
        <v>-22552201.46223913</v>
      </c>
      <c r="AS117" s="23">
        <f>AR117+AS112</f>
        <v>-20798507.78886041</v>
      </c>
      <c r="AT117" s="23">
        <f>AS117+AT112</f>
        <v>-19009241.123823326</v>
      </c>
      <c r="AU117" s="23">
        <f>AT117+AU112</f>
        <v>-17180477.95442697</v>
      </c>
      <c r="AV117" s="23">
        <f>AU117+AV112</f>
        <v>-15312594.638772905</v>
      </c>
      <c r="AW117" s="23">
        <f>AV117+AW112</f>
        <v>-13399867.611610554</v>
      </c>
      <c r="AX117" s="23">
        <f>AW117+AX112</f>
        <v>-12208182.977989774</v>
      </c>
    </row>
    <row r="118">
      <c r="A118" s="6" t="inlineStr">
        <is>
          <t xml:space="preserve">Turns non-negative here (1 = yes)</t>
        </is>
      </c>
      <c r="F118" s="23">
        <f>IF(AND(E117&lt;0,F117&gt;=0,F112&gt;0),1,0)</f>
        <v>0</v>
      </c>
      <c r="G118" s="23">
        <f>IF(AND(F117&lt;0,G117&gt;=0,G112&gt;0),1,0)</f>
        <v>0</v>
      </c>
      <c r="H118" s="23">
        <f>IF(AND(G117&lt;0,H117&gt;=0,H112&gt;0),1,0)</f>
        <v>0</v>
      </c>
      <c r="I118" s="23">
        <f>IF(AND(H117&lt;0,I117&gt;=0,I112&gt;0),1,0)</f>
        <v>0</v>
      </c>
      <c r="J118" s="23">
        <f>IF(AND(I117&lt;0,J117&gt;=0,J112&gt;0),1,0)</f>
        <v>0</v>
      </c>
      <c r="K118" s="23">
        <f>IF(AND(J117&lt;0,K117&gt;=0,K112&gt;0),1,0)</f>
        <v>0</v>
      </c>
      <c r="L118" s="23">
        <f>IF(AND(K117&lt;0,L117&gt;=0,L112&gt;0),1,0)</f>
        <v>0</v>
      </c>
      <c r="M118" s="23">
        <f>IF(AND(L117&lt;0,M117&gt;=0,M112&gt;0),1,0)</f>
        <v>0</v>
      </c>
      <c r="N118" s="23">
        <f>IF(AND(M117&lt;0,N117&gt;=0,N112&gt;0),1,0)</f>
        <v>0</v>
      </c>
      <c r="O118" s="23">
        <f>IF(AND(N117&lt;0,O117&gt;=0,O112&gt;0),1,0)</f>
        <v>0</v>
      </c>
      <c r="P118" s="23">
        <f>IF(AND(O117&lt;0,P117&gt;=0,P112&gt;0),1,0)</f>
        <v>0</v>
      </c>
      <c r="Q118" s="23">
        <f>IF(AND(P117&lt;0,Q117&gt;=0,Q112&gt;0),1,0)</f>
        <v>0</v>
      </c>
      <c r="R118" s="23">
        <f>IF(AND(Q117&lt;0,R117&gt;=0,R112&gt;0),1,0)</f>
        <v>0</v>
      </c>
      <c r="S118" s="23">
        <f>IF(AND(R117&lt;0,S117&gt;=0,S112&gt;0),1,0)</f>
        <v>0</v>
      </c>
      <c r="T118" s="23">
        <f>IF(AND(S117&lt;0,T117&gt;=0,T112&gt;0),1,0)</f>
        <v>0</v>
      </c>
      <c r="U118" s="23">
        <f>IF(AND(T117&lt;0,U117&gt;=0,U112&gt;0),1,0)</f>
        <v>0</v>
      </c>
      <c r="V118" s="23">
        <f>IF(AND(U117&lt;0,V117&gt;=0,V112&gt;0),1,0)</f>
        <v>0</v>
      </c>
      <c r="W118" s="23">
        <f>IF(AND(V117&lt;0,W117&gt;=0,W112&gt;0),1,0)</f>
        <v>0</v>
      </c>
      <c r="X118" s="23">
        <f>IF(AND(W117&lt;0,X117&gt;=0,X112&gt;0),1,0)</f>
        <v>0</v>
      </c>
      <c r="Y118" s="23">
        <f>IF(AND(X117&lt;0,Y117&gt;=0,Y112&gt;0),1,0)</f>
        <v>0</v>
      </c>
      <c r="Z118" s="23">
        <f>IF(AND(Y117&lt;0,Z117&gt;=0,Z112&gt;0),1,0)</f>
        <v>0</v>
      </c>
      <c r="AA118" s="23">
        <f>IF(AND(Z117&lt;0,AA117&gt;=0,AA112&gt;0),1,0)</f>
        <v>0</v>
      </c>
      <c r="AB118" s="23">
        <f>IF(AND(AA117&lt;0,AB117&gt;=0,AB112&gt;0),1,0)</f>
        <v>0</v>
      </c>
      <c r="AC118" s="23">
        <f>IF(AND(AB117&lt;0,AC117&gt;=0,AC112&gt;0),1,0)</f>
        <v>0</v>
      </c>
      <c r="AD118" s="23">
        <f>IF(AND(AC117&lt;0,AD117&gt;=0,AD112&gt;0),1,0)</f>
        <v>0</v>
      </c>
      <c r="AE118" s="23">
        <f>IF(AND(AD117&lt;0,AE117&gt;=0,AE112&gt;0),1,0)</f>
        <v>0</v>
      </c>
      <c r="AF118" s="23">
        <f>IF(AND(AE117&lt;0,AF117&gt;=0,AF112&gt;0),1,0)</f>
        <v>0</v>
      </c>
      <c r="AG118" s="23">
        <f>IF(AND(AF117&lt;0,AG117&gt;=0,AG112&gt;0),1,0)</f>
        <v>0</v>
      </c>
      <c r="AH118" s="23">
        <f>IF(AND(AG117&lt;0,AH117&gt;=0,AH112&gt;0),1,0)</f>
        <v>0</v>
      </c>
      <c r="AI118" s="23">
        <f>IF(AND(AH117&lt;0,AI117&gt;=0,AI112&gt;0),1,0)</f>
        <v>0</v>
      </c>
      <c r="AJ118" s="23">
        <f>IF(AND(AI117&lt;0,AJ117&gt;=0,AJ112&gt;0),1,0)</f>
        <v>0</v>
      </c>
      <c r="AK118" s="23">
        <f>IF(AND(AJ117&lt;0,AK117&gt;=0,AK112&gt;0),1,0)</f>
        <v>0</v>
      </c>
      <c r="AL118" s="23">
        <f>IF(AND(AK117&lt;0,AL117&gt;=0,AL112&gt;0),1,0)</f>
        <v>0</v>
      </c>
      <c r="AM118" s="23">
        <f>IF(AND(AL117&lt;0,AM117&gt;=0,AM112&gt;0),1,0)</f>
        <v>0</v>
      </c>
      <c r="AN118" s="23">
        <f>IF(AND(AM117&lt;0,AN117&gt;=0,AN112&gt;0),1,0)</f>
        <v>0</v>
      </c>
      <c r="AO118" s="23">
        <f>IF(AND(AN117&lt;0,AO117&gt;=0,AO112&gt;0),1,0)</f>
        <v>0</v>
      </c>
      <c r="AP118" s="23">
        <f>IF(AND(AO117&lt;0,AP117&gt;=0,AP112&gt;0),1,0)</f>
        <v>0</v>
      </c>
      <c r="AQ118" s="23">
        <f>IF(AND(AP117&lt;0,AQ117&gt;=0,AQ112&gt;0),1,0)</f>
        <v>0</v>
      </c>
      <c r="AR118" s="23">
        <f>IF(AND(AQ117&lt;0,AR117&gt;=0,AR112&gt;0),1,0)</f>
        <v>0</v>
      </c>
      <c r="AS118" s="23">
        <f>IF(AND(AR117&lt;0,AS117&gt;=0,AS112&gt;0),1,0)</f>
        <v>0</v>
      </c>
      <c r="AT118" s="23">
        <f>IF(AND(AS117&lt;0,AT117&gt;=0,AT112&gt;0),1,0)</f>
        <v>0</v>
      </c>
      <c r="AU118" s="23">
        <f>IF(AND(AT117&lt;0,AU117&gt;=0,AU112&gt;0),1,0)</f>
        <v>0</v>
      </c>
      <c r="AV118" s="23">
        <f>IF(AND(AU117&lt;0,AV117&gt;=0,AV112&gt;0),1,0)</f>
        <v>0</v>
      </c>
      <c r="AW118" s="23">
        <f>IF(AND(AV117&lt;0,AW117&gt;=0,AW112&gt;0),1,0)</f>
        <v>0</v>
      </c>
      <c r="AX118" s="23">
        <f>IF(AND(AW117&lt;0,AX117&gt;=0,AX112&gt;0),1,0)</f>
        <v>0</v>
      </c>
    </row>
    <row r="119">
      <c r="A119" s="6" t="inlineStr">
        <is>
          <t xml:space="preserve">Crossings to date</t>
        </is>
      </c>
      <c r="E119" s="9">
        <v>0</v>
      </c>
      <c r="F119" s="23">
        <f>E119+F118</f>
        <v>0</v>
      </c>
      <c r="G119" s="23">
        <f>F119+G118</f>
        <v>0</v>
      </c>
      <c r="H119" s="23">
        <f>G119+H118</f>
        <v>0</v>
      </c>
      <c r="I119" s="23">
        <f>H119+I118</f>
        <v>0</v>
      </c>
      <c r="J119" s="23">
        <f>I119+J118</f>
        <v>0</v>
      </c>
      <c r="K119" s="23">
        <f>J119+K118</f>
        <v>0</v>
      </c>
      <c r="L119" s="23">
        <f>K119+L118</f>
        <v>0</v>
      </c>
      <c r="M119" s="23">
        <f>L119+M118</f>
        <v>0</v>
      </c>
      <c r="N119" s="23">
        <f>M119+N118</f>
        <v>0</v>
      </c>
      <c r="O119" s="23">
        <f>N119+O118</f>
        <v>0</v>
      </c>
      <c r="P119" s="23">
        <f>O119+P118</f>
        <v>0</v>
      </c>
      <c r="Q119" s="23">
        <f>P119+Q118</f>
        <v>0</v>
      </c>
      <c r="R119" s="23">
        <f>Q119+R118</f>
        <v>0</v>
      </c>
      <c r="S119" s="23">
        <f>R119+S118</f>
        <v>0</v>
      </c>
      <c r="T119" s="23">
        <f>S119+T118</f>
        <v>0</v>
      </c>
      <c r="U119" s="23">
        <f>T119+U118</f>
        <v>0</v>
      </c>
      <c r="V119" s="23">
        <f>U119+V118</f>
        <v>0</v>
      </c>
      <c r="W119" s="23">
        <f>V119+W118</f>
        <v>0</v>
      </c>
      <c r="X119" s="23">
        <f>W119+X118</f>
        <v>0</v>
      </c>
      <c r="Y119" s="23">
        <f>X119+Y118</f>
        <v>0</v>
      </c>
      <c r="Z119" s="23">
        <f>Y119+Z118</f>
        <v>0</v>
      </c>
      <c r="AA119" s="23">
        <f>Z119+AA118</f>
        <v>0</v>
      </c>
      <c r="AB119" s="23">
        <f>AA119+AB118</f>
        <v>0</v>
      </c>
      <c r="AC119" s="23">
        <f>AB119+AC118</f>
        <v>0</v>
      </c>
      <c r="AD119" s="23">
        <f>AC119+AD118</f>
        <v>0</v>
      </c>
      <c r="AE119" s="23">
        <f>AD119+AE118</f>
        <v>0</v>
      </c>
      <c r="AF119" s="23">
        <f>AE119+AF118</f>
        <v>0</v>
      </c>
      <c r="AG119" s="23">
        <f>AF119+AG118</f>
        <v>0</v>
      </c>
      <c r="AH119" s="23">
        <f>AG119+AH118</f>
        <v>0</v>
      </c>
      <c r="AI119" s="23">
        <f>AH119+AI118</f>
        <v>0</v>
      </c>
      <c r="AJ119" s="23">
        <f>AI119+AJ118</f>
        <v>0</v>
      </c>
      <c r="AK119" s="23">
        <f>AJ119+AK118</f>
        <v>0</v>
      </c>
      <c r="AL119" s="23">
        <f>AK119+AL118</f>
        <v>0</v>
      </c>
      <c r="AM119" s="23">
        <f>AL119+AM118</f>
        <v>0</v>
      </c>
      <c r="AN119" s="23">
        <f>AM119+AN118</f>
        <v>0</v>
      </c>
      <c r="AO119" s="23">
        <f>AN119+AO118</f>
        <v>0</v>
      </c>
      <c r="AP119" s="23">
        <f>AO119+AP118</f>
        <v>0</v>
      </c>
      <c r="AQ119" s="23">
        <f>AP119+AQ118</f>
        <v>0</v>
      </c>
      <c r="AR119" s="23">
        <f>AQ119+AR118</f>
        <v>0</v>
      </c>
      <c r="AS119" s="23">
        <f>AR119+AS118</f>
        <v>0</v>
      </c>
      <c r="AT119" s="23">
        <f>AS119+AT118</f>
        <v>0</v>
      </c>
      <c r="AU119" s="23">
        <f>AT119+AU118</f>
        <v>0</v>
      </c>
      <c r="AV119" s="23">
        <f>AU119+AV118</f>
        <v>0</v>
      </c>
      <c r="AW119" s="23">
        <f>AV119+AW118</f>
        <v>0</v>
      </c>
      <c r="AX119" s="23">
        <f>AW119+AX118</f>
        <v>0</v>
      </c>
    </row>
    <row r="120">
      <c r="A120" s="6" t="inlineStr">
        <is>
          <t xml:space="preserve">First crossing (1 = yes)</t>
        </is>
      </c>
      <c r="F120" s="23">
        <f>IF(AND(F118=1,E119=0),1,0)</f>
        <v>0</v>
      </c>
      <c r="G120" s="23">
        <f>IF(AND(G118=1,F119=0),1,0)</f>
        <v>0</v>
      </c>
      <c r="H120" s="23">
        <f>IF(AND(H118=1,G119=0),1,0)</f>
        <v>0</v>
      </c>
      <c r="I120" s="23">
        <f>IF(AND(I118=1,H119=0),1,0)</f>
        <v>0</v>
      </c>
      <c r="J120" s="23">
        <f>IF(AND(J118=1,I119=0),1,0)</f>
        <v>0</v>
      </c>
      <c r="K120" s="23">
        <f>IF(AND(K118=1,J119=0),1,0)</f>
        <v>0</v>
      </c>
      <c r="L120" s="23">
        <f>IF(AND(L118=1,K119=0),1,0)</f>
        <v>0</v>
      </c>
      <c r="M120" s="23">
        <f>IF(AND(M118=1,L119=0),1,0)</f>
        <v>0</v>
      </c>
      <c r="N120" s="23">
        <f>IF(AND(N118=1,M119=0),1,0)</f>
        <v>0</v>
      </c>
      <c r="O120" s="23">
        <f>IF(AND(O118=1,N119=0),1,0)</f>
        <v>0</v>
      </c>
      <c r="P120" s="23">
        <f>IF(AND(P118=1,O119=0),1,0)</f>
        <v>0</v>
      </c>
      <c r="Q120" s="23">
        <f>IF(AND(Q118=1,P119=0),1,0)</f>
        <v>0</v>
      </c>
      <c r="R120" s="23">
        <f>IF(AND(R118=1,Q119=0),1,0)</f>
        <v>0</v>
      </c>
      <c r="S120" s="23">
        <f>IF(AND(S118=1,R119=0),1,0)</f>
        <v>0</v>
      </c>
      <c r="T120" s="23">
        <f>IF(AND(T118=1,S119=0),1,0)</f>
        <v>0</v>
      </c>
      <c r="U120" s="23">
        <f>IF(AND(U118=1,T119=0),1,0)</f>
        <v>0</v>
      </c>
      <c r="V120" s="23">
        <f>IF(AND(V118=1,U119=0),1,0)</f>
        <v>0</v>
      </c>
      <c r="W120" s="23">
        <f>IF(AND(W118=1,V119=0),1,0)</f>
        <v>0</v>
      </c>
      <c r="X120" s="23">
        <f>IF(AND(X118=1,W119=0),1,0)</f>
        <v>0</v>
      </c>
      <c r="Y120" s="23">
        <f>IF(AND(Y118=1,X119=0),1,0)</f>
        <v>0</v>
      </c>
      <c r="Z120" s="23">
        <f>IF(AND(Z118=1,Y119=0),1,0)</f>
        <v>0</v>
      </c>
      <c r="AA120" s="23">
        <f>IF(AND(AA118=1,Z119=0),1,0)</f>
        <v>0</v>
      </c>
      <c r="AB120" s="23">
        <f>IF(AND(AB118=1,AA119=0),1,0)</f>
        <v>0</v>
      </c>
      <c r="AC120" s="23">
        <f>IF(AND(AC118=1,AB119=0),1,0)</f>
        <v>0</v>
      </c>
      <c r="AD120" s="23">
        <f>IF(AND(AD118=1,AC119=0),1,0)</f>
        <v>0</v>
      </c>
      <c r="AE120" s="23">
        <f>IF(AND(AE118=1,AD119=0),1,0)</f>
        <v>0</v>
      </c>
      <c r="AF120" s="23">
        <f>IF(AND(AF118=1,AE119=0),1,0)</f>
        <v>0</v>
      </c>
      <c r="AG120" s="23">
        <f>IF(AND(AG118=1,AF119=0),1,0)</f>
        <v>0</v>
      </c>
      <c r="AH120" s="23">
        <f>IF(AND(AH118=1,AG119=0),1,0)</f>
        <v>0</v>
      </c>
      <c r="AI120" s="23">
        <f>IF(AND(AI118=1,AH119=0),1,0)</f>
        <v>0</v>
      </c>
      <c r="AJ120" s="23">
        <f>IF(AND(AJ118=1,AI119=0),1,0)</f>
        <v>0</v>
      </c>
      <c r="AK120" s="23">
        <f>IF(AND(AK118=1,AJ119=0),1,0)</f>
        <v>0</v>
      </c>
      <c r="AL120" s="23">
        <f>IF(AND(AL118=1,AK119=0),1,0)</f>
        <v>0</v>
      </c>
      <c r="AM120" s="23">
        <f>IF(AND(AM118=1,AL119=0),1,0)</f>
        <v>0</v>
      </c>
      <c r="AN120" s="23">
        <f>IF(AND(AN118=1,AM119=0),1,0)</f>
        <v>0</v>
      </c>
      <c r="AO120" s="23">
        <f>IF(AND(AO118=1,AN119=0),1,0)</f>
        <v>0</v>
      </c>
      <c r="AP120" s="23">
        <f>IF(AND(AP118=1,AO119=0),1,0)</f>
        <v>0</v>
      </c>
      <c r="AQ120" s="23">
        <f>IF(AND(AQ118=1,AP119=0),1,0)</f>
        <v>0</v>
      </c>
      <c r="AR120" s="23">
        <f>IF(AND(AR118=1,AQ119=0),1,0)</f>
        <v>0</v>
      </c>
      <c r="AS120" s="23">
        <f>IF(AND(AS118=1,AR119=0),1,0)</f>
        <v>0</v>
      </c>
      <c r="AT120" s="23">
        <f>IF(AND(AT118=1,AS119=0),1,0)</f>
        <v>0</v>
      </c>
      <c r="AU120" s="23">
        <f>IF(AND(AU118=1,AT119=0),1,0)</f>
        <v>0</v>
      </c>
      <c r="AV120" s="23">
        <f>IF(AND(AV118=1,AU119=0),1,0)</f>
        <v>0</v>
      </c>
      <c r="AW120" s="23">
        <f>IF(AND(AW118=1,AV119=0),1,0)</f>
        <v>0</v>
      </c>
      <c r="AX120" s="23">
        <f>IF(AND(AX118=1,AW119=0),1,0)</f>
        <v>0</v>
      </c>
    </row>
    <row r="121">
      <c r="A121" s="6" t="inlineStr">
        <is>
          <t xml:space="preserve">Date the cumulative flow reaches zero</t>
        </is>
      </c>
      <c r="F121" s="27">
        <f>IF(F120=1,E7+(F7-E7)*(-E117)/F112,0)</f>
        <v>0</v>
      </c>
      <c r="G121" s="27">
        <f>IF(G120=1,F7+(G7-F7)*(-F117)/G112,0)</f>
        <v>0</v>
      </c>
      <c r="H121" s="27">
        <f>IF(H120=1,G7+(H7-G7)*(-G117)/H112,0)</f>
        <v>0</v>
      </c>
      <c r="I121" s="27">
        <f>IF(I120=1,H7+(I7-H7)*(-H117)/I112,0)</f>
        <v>0</v>
      </c>
      <c r="J121" s="27">
        <f>IF(J120=1,I7+(J7-I7)*(-I117)/J112,0)</f>
        <v>0</v>
      </c>
      <c r="K121" s="27">
        <f>IF(K120=1,J7+(K7-J7)*(-J117)/K112,0)</f>
        <v>0</v>
      </c>
      <c r="L121" s="27">
        <f>IF(L120=1,K7+(L7-K7)*(-K117)/L112,0)</f>
        <v>0</v>
      </c>
      <c r="M121" s="27">
        <f>IF(M120=1,L7+(M7-L7)*(-L117)/M112,0)</f>
        <v>0</v>
      </c>
      <c r="N121" s="27">
        <f>IF(N120=1,M7+(N7-M7)*(-M117)/N112,0)</f>
        <v>0</v>
      </c>
      <c r="O121" s="27">
        <f>IF(O120=1,N7+(O7-N7)*(-N117)/O112,0)</f>
        <v>0</v>
      </c>
      <c r="P121" s="27">
        <f>IF(P120=1,O7+(P7-O7)*(-O117)/P112,0)</f>
        <v>0</v>
      </c>
      <c r="Q121" s="27">
        <f>IF(Q120=1,P7+(Q7-P7)*(-P117)/Q112,0)</f>
        <v>0</v>
      </c>
      <c r="R121" s="27">
        <f>IF(R120=1,Q7+(R7-Q7)*(-Q117)/R112,0)</f>
        <v>0</v>
      </c>
      <c r="S121" s="27">
        <f>IF(S120=1,R7+(S7-R7)*(-R117)/S112,0)</f>
        <v>0</v>
      </c>
      <c r="T121" s="27">
        <f>IF(T120=1,S7+(T7-S7)*(-S117)/T112,0)</f>
        <v>0</v>
      </c>
      <c r="U121" s="27">
        <f>IF(U120=1,T7+(U7-T7)*(-T117)/U112,0)</f>
        <v>0</v>
      </c>
      <c r="V121" s="27">
        <f>IF(V120=1,U7+(V7-U7)*(-U117)/V112,0)</f>
        <v>0</v>
      </c>
      <c r="W121" s="27">
        <f>IF(W120=1,V7+(W7-V7)*(-V117)/W112,0)</f>
        <v>0</v>
      </c>
      <c r="X121" s="27">
        <f>IF(X120=1,W7+(X7-W7)*(-W117)/X112,0)</f>
        <v>0</v>
      </c>
      <c r="Y121" s="27">
        <f>IF(Y120=1,X7+(Y7-X7)*(-X117)/Y112,0)</f>
        <v>0</v>
      </c>
      <c r="Z121" s="27">
        <f>IF(Z120=1,Y7+(Z7-Y7)*(-Y117)/Z112,0)</f>
        <v>0</v>
      </c>
      <c r="AA121" s="27">
        <f>IF(AA120=1,Z7+(AA7-Z7)*(-Z117)/AA112,0)</f>
        <v>0</v>
      </c>
      <c r="AB121" s="27">
        <f>IF(AB120=1,AA7+(AB7-AA7)*(-AA117)/AB112,0)</f>
        <v>0</v>
      </c>
      <c r="AC121" s="27">
        <f>IF(AC120=1,AB7+(AC7-AB7)*(-AB117)/AC112,0)</f>
        <v>0</v>
      </c>
      <c r="AD121" s="27">
        <f>IF(AD120=1,AC7+(AD7-AC7)*(-AC117)/AD112,0)</f>
        <v>0</v>
      </c>
      <c r="AE121" s="27">
        <f>IF(AE120=1,AD7+(AE7-AD7)*(-AD117)/AE112,0)</f>
        <v>0</v>
      </c>
      <c r="AF121" s="27">
        <f>IF(AF120=1,AE7+(AF7-AE7)*(-AE117)/AF112,0)</f>
        <v>0</v>
      </c>
      <c r="AG121" s="27">
        <f>IF(AG120=1,AF7+(AG7-AF7)*(-AF117)/AG112,0)</f>
        <v>0</v>
      </c>
      <c r="AH121" s="27">
        <f>IF(AH120=1,AG7+(AH7-AG7)*(-AG117)/AH112,0)</f>
        <v>0</v>
      </c>
      <c r="AI121" s="27">
        <f>IF(AI120=1,AH7+(AI7-AH7)*(-AH117)/AI112,0)</f>
        <v>0</v>
      </c>
      <c r="AJ121" s="27">
        <f>IF(AJ120=1,AI7+(AJ7-AI7)*(-AI117)/AJ112,0)</f>
        <v>0</v>
      </c>
      <c r="AK121" s="27">
        <f>IF(AK120=1,AJ7+(AK7-AJ7)*(-AJ117)/AK112,0)</f>
        <v>0</v>
      </c>
      <c r="AL121" s="27">
        <f>IF(AL120=1,AK7+(AL7-AK7)*(-AK117)/AL112,0)</f>
        <v>0</v>
      </c>
      <c r="AM121" s="27">
        <f>IF(AM120=1,AL7+(AM7-AL7)*(-AL117)/AM112,0)</f>
        <v>0</v>
      </c>
      <c r="AN121" s="27">
        <f>IF(AN120=1,AM7+(AN7-AM7)*(-AM117)/AN112,0)</f>
        <v>0</v>
      </c>
      <c r="AO121" s="27">
        <f>IF(AO120=1,AN7+(AO7-AN7)*(-AN117)/AO112,0)</f>
        <v>0</v>
      </c>
      <c r="AP121" s="27">
        <f>IF(AP120=1,AO7+(AP7-AO7)*(-AO117)/AP112,0)</f>
        <v>0</v>
      </c>
      <c r="AQ121" s="27">
        <f>IF(AQ120=1,AP7+(AQ7-AP7)*(-AP117)/AQ112,0)</f>
        <v>0</v>
      </c>
      <c r="AR121" s="27">
        <f>IF(AR120=1,AQ7+(AR7-AQ7)*(-AQ117)/AR112,0)</f>
        <v>0</v>
      </c>
      <c r="AS121" s="27">
        <f>IF(AS120=1,AR7+(AS7-AR7)*(-AR117)/AS112,0)</f>
        <v>0</v>
      </c>
      <c r="AT121" s="27">
        <f>IF(AT120=1,AS7+(AT7-AS7)*(-AS117)/AT112,0)</f>
        <v>0</v>
      </c>
      <c r="AU121" s="27">
        <f>IF(AU120=1,AT7+(AU7-AT7)*(-AT117)/AU112,0)</f>
        <v>0</v>
      </c>
      <c r="AV121" s="27">
        <f>IF(AV120=1,AU7+(AV7-AU7)*(-AU117)/AV112,0)</f>
        <v>0</v>
      </c>
      <c r="AW121" s="27">
        <f>IF(AW120=1,AV7+(AW7-AV7)*(-AV117)/AW112,0)</f>
        <v>0</v>
      </c>
      <c r="AX121" s="27">
        <f>IF(AX120=1,AW7+(AX7-AW7)*(-AW117)/AX112,0)</f>
        <v>0</v>
      </c>
    </row>
    <row r="122">
      <c r="A122" s="6" t="inlineStr">
        <is>
          <t xml:space="preserve">Start value for XIRR (the website's result)</t>
        </is>
      </c>
      <c r="C122" s="48">
        <v>-0.02117618786648568</v>
      </c>
    </row>
    <row r="123">
      <c r="A123" s="6" t="inlineStr">
        <is>
          <t xml:space="preserve">Start value for the project XIRR before tax (website)</t>
        </is>
      </c>
      <c r="C123" s="48">
        <v>0.0007217807362303146</v>
      </c>
    </row>
    <row r="124">
      <c r="A124" s="6" t="inlineStr">
        <is>
          <t xml:space="preserve">Start value for the project XIRR after tax (website)</t>
        </is>
      </c>
      <c r="C124" s="48">
        <v>0.00008556126197613869</v>
      </c>
    </row>
    <row r="125">
      <c r="A125" s="6" t="inlineStr">
        <is>
          <t xml:space="preserve">Funding: the company never runs out of cash (otherwise the owners' returns are n.m.)</t>
        </is>
      </c>
      <c r="C125" s="7" t="str">
        <f>IF(MIN(Waterfall!$F$161:$AE$161)&gt;-1,"funded","not funded")</f>
        <v>funded</v>
      </c>
    </row>
    <row r="126">
      <c r="A126" s="41" t="inlineStr">
        <is>
          <t xml:space="preserve">Equity IRR</t>
        </is>
      </c>
      <c r="C126" s="49">
        <f>IF($C$125="funded",$C$141,"n.m.")</f>
        <v>-0.02117618786648568</v>
      </c>
    </row>
    <row r="127">
      <c r="A127" s="41" t="inlineStr">
        <is>
          <t xml:space="preserve">Equity NPV at the cost of equity, at financial close</t>
        </is>
      </c>
      <c r="B127" s="10" t="inlineStr">
        <is>
          <t xml:space="preserve">€</t>
        </is>
      </c>
      <c r="C127" s="42">
        <f>IF($C$125="funded",$C$142,"n.m.")</f>
        <v>-28838676.658876445</v>
      </c>
    </row>
    <row r="128">
      <c r="A128" s="41" t="inlineStr">
        <is>
          <t xml:space="preserve">Project IRR before tax</t>
        </is>
      </c>
      <c r="C128" s="49">
        <f>IFERROR(IF(SUMPRODUCT($G$113:$AX$113/(1+XIRR($G$113:$AX$113,$G$7:$AX$7,$C$123)-Inputs!$C$160)^(($G$7:$AX$7-MIN($G$7:$AX$7))/Inputs!$C$147))*SUMPRODUCT($G$113:$AX$113/(1+XIRR($G$113:$AX$113,$G$7:$AX$7,$C$123)+Inputs!$C$160)^(($G$7:$AX$7-MIN($G$7:$AX$7))/Inputs!$C$147))&lt;=0,XIRR($G$113:$AX$113,$G$7:$AX$7,$C$123),NA()),IFERROR(IF(SUMPRODUCT($G$113:$AX$113/(1+XIRR($G$113:$AX$113,$G$7:$AX$7,$C$123-Inputs!$C$161)-Inputs!$C$160)^(($G$7:$AX$7-MIN($G$7:$AX$7))/Inputs!$C$147))*SUMPRODUCT($G$113:$AX$113/(1+XIRR($G$113:$AX$113,$G$7:$AX$7,$C$123-Inputs!$C$161)+Inputs!$C$160)^(($G$7:$AX$7-MIN($G$7:$AX$7))/Inputs!$C$147))&lt;=0,XIRR($G$113:$AX$113,$G$7:$AX$7,$C$123-Inputs!$C$161),NA()),IFERROR(IF(SUMPRODUCT($G$113:$AX$113/(1+XIRR($G$113:$AX$113,$G$7:$AX$7,$C$123+Inputs!$C$161)-Inputs!$C$160)^(($G$7:$AX$7-MIN($G$7:$AX$7))/Inputs!$C$147))*SUMPRODUCT($G$113:$AX$113/(1+XIRR($G$113:$AX$113,$G$7:$AX$7,$C$123+Inputs!$C$161)+Inputs!$C$160)^(($G$7:$AX$7-MIN($G$7:$AX$7))/Inputs!$C$147))&lt;=0,XIRR($G$113:$AX$113,$G$7:$AX$7,$C$123+Inputs!$C$161),NA()),IFERROR(IF(SUMPRODUCT($G$113:$AX$113/(1+XIRR($G$113:$AX$113,$G$7:$AX$7,Inputs!$C$162)-Inputs!$C$160)^(($G$7:$AX$7-MIN($G$7:$AX$7))/Inputs!$C$147))*SUMPRODUCT($G$113:$AX$113/(1+XIRR($G$113:$AX$113,$G$7:$AX$7,Inputs!$C$162)+Inputs!$C$160)^(($G$7:$AX$7-MIN($G$7:$AX$7))/Inputs!$C$147))&lt;=0,XIRR($G$113:$AX$113,$G$7:$AX$7,Inputs!$C$162),NA()),IFERROR(IF(SUMPRODUCT($G$113:$AX$113/(1+XIRR($G$113:$AX$113,$G$7:$AX$7,Inputs!$C$163)-Inputs!$C$160)^(($G$7:$AX$7-MIN($G$7:$AX$7))/Inputs!$C$147))*SUMPRODUCT($G$113:$AX$113/(1+XIRR($G$113:$AX$113,$G$7:$AX$7,Inputs!$C$163)+Inputs!$C$160)^(($G$7:$AX$7-MIN($G$7:$AX$7))/Inputs!$C$147))&lt;=0,XIRR($G$113:$AX$113,$G$7:$AX$7,Inputs!$C$163),NA()),"n/a")))))</f>
        <v>0.0007217807362303146</v>
      </c>
    </row>
    <row r="129">
      <c r="A129" s="41" t="inlineStr">
        <is>
          <t xml:space="preserve">Project IRR after tax</t>
        </is>
      </c>
      <c r="C129" s="49">
        <f>IFERROR(IF(SUMPRODUCT($G$114:$AX$114/(1+XIRR($G$114:$AX$114,$G$7:$AX$7,$C$124)-Inputs!$C$160)^(($G$7:$AX$7-MIN($G$7:$AX$7))/Inputs!$C$147))*SUMPRODUCT($G$114:$AX$114/(1+XIRR($G$114:$AX$114,$G$7:$AX$7,$C$124)+Inputs!$C$160)^(($G$7:$AX$7-MIN($G$7:$AX$7))/Inputs!$C$147))&lt;=0,XIRR($G$114:$AX$114,$G$7:$AX$7,$C$124),NA()),IFERROR(IF(SUMPRODUCT($G$114:$AX$114/(1+XIRR($G$114:$AX$114,$G$7:$AX$7,$C$124-Inputs!$C$161)-Inputs!$C$160)^(($G$7:$AX$7-MIN($G$7:$AX$7))/Inputs!$C$147))*SUMPRODUCT($G$114:$AX$114/(1+XIRR($G$114:$AX$114,$G$7:$AX$7,$C$124-Inputs!$C$161)+Inputs!$C$160)^(($G$7:$AX$7-MIN($G$7:$AX$7))/Inputs!$C$147))&lt;=0,XIRR($G$114:$AX$114,$G$7:$AX$7,$C$124-Inputs!$C$161),NA()),IFERROR(IF(SUMPRODUCT($G$114:$AX$114/(1+XIRR($G$114:$AX$114,$G$7:$AX$7,$C$124+Inputs!$C$161)-Inputs!$C$160)^(($G$7:$AX$7-MIN($G$7:$AX$7))/Inputs!$C$147))*SUMPRODUCT($G$114:$AX$114/(1+XIRR($G$114:$AX$114,$G$7:$AX$7,$C$124+Inputs!$C$161)+Inputs!$C$160)^(($G$7:$AX$7-MIN($G$7:$AX$7))/Inputs!$C$147))&lt;=0,XIRR($G$114:$AX$114,$G$7:$AX$7,$C$124+Inputs!$C$161),NA()),IFERROR(IF(SUMPRODUCT($G$114:$AX$114/(1+XIRR($G$114:$AX$114,$G$7:$AX$7,Inputs!$C$162)-Inputs!$C$160)^(($G$7:$AX$7-MIN($G$7:$AX$7))/Inputs!$C$147))*SUMPRODUCT($G$114:$AX$114/(1+XIRR($G$114:$AX$114,$G$7:$AX$7,Inputs!$C$162)+Inputs!$C$160)^(($G$7:$AX$7-MIN($G$7:$AX$7))/Inputs!$C$147))&lt;=0,XIRR($G$114:$AX$114,$G$7:$AX$7,Inputs!$C$162),NA()),IFERROR(IF(SUMPRODUCT($G$114:$AX$114/(1+XIRR($G$114:$AX$114,$G$7:$AX$7,Inputs!$C$163)-Inputs!$C$160)^(($G$7:$AX$7-MIN($G$7:$AX$7))/Inputs!$C$147))*SUMPRODUCT($G$114:$AX$114/(1+XIRR($G$114:$AX$114,$G$7:$AX$7,Inputs!$C$163)+Inputs!$C$160)^(($G$7:$AX$7-MIN($G$7:$AX$7))/Inputs!$C$147))&lt;=0,XIRR($G$114:$AX$114,$G$7:$AX$7,Inputs!$C$163),NA()),"n/a")))))</f>
        <v>0.00008556126197613869</v>
      </c>
    </row>
    <row r="130">
      <c r="A130" s="41" t="inlineStr">
        <is>
          <t xml:space="preserve">Project NPV at the nominal WACC</t>
        </is>
      </c>
      <c r="B130" s="10" t="inlineStr">
        <is>
          <t xml:space="preserve">€</t>
        </is>
      </c>
      <c r="C130" s="42">
        <f>XNPV(Inputs!$C$103,$F$114:$AX$114,$F$7:$AX$7)</f>
        <v>-26710450.78773144</v>
      </c>
    </row>
    <row r="131">
      <c r="A131" s="41" t="inlineStr">
        <is>
          <t xml:space="preserve">LCOE, real 2026 money (in the style of Fraunhofer ISE)</t>
        </is>
      </c>
      <c r="B131" s="10" t="inlineStr">
        <is>
          <t xml:space="preserve">ct/kWh</t>
        </is>
      </c>
      <c r="C131" s="50">
        <f>SUMPRODUCT($F$115:$AX$115/$F$8:$AX$8/$F$9:$AX$9)/SUMPRODUCT($F$116:$AX$116/$F$9:$AX$9)*100</f>
        <v>8.469240888339396</v>
      </c>
    </row>
    <row r="132">
      <c r="A132" s="41" t="inlineStr">
        <is>
          <t xml:space="preserve">LCOE, nominal</t>
        </is>
      </c>
      <c r="B132" s="10" t="inlineStr">
        <is>
          <t xml:space="preserve">ct/kWh</t>
        </is>
      </c>
      <c r="C132" s="50">
        <f>SUMPRODUCT($F$115:$AX$115/$F$10:$AX$10)/SUMPRODUCT($F$116:$AX$116/$F$10:$AX$10)*100</f>
        <v>10.769313098356026</v>
      </c>
    </row>
    <row r="133">
      <c r="A133" s="41" t="inlineStr">
        <is>
          <t xml:space="preserve">Minimum DSCR</t>
        </is>
      </c>
      <c r="C133" s="47">
        <f>IF(COUNT(Waterfall!$F$147:$AE$147)=0,"n/a",MIN(Waterfall!$F$147:$AE$147))</f>
        <v>1.1826992346552736</v>
      </c>
    </row>
    <row r="134">
      <c r="A134" s="41" t="inlineStr">
        <is>
          <t xml:space="preserve">Year of the minimum DSCR</t>
        </is>
      </c>
      <c r="C134" s="51">
        <f>IFERROR(INDEX(Timing!$F$59:$AE$59,MATCH($C$133,Waterfall!$F$147:$AE$147,0)),"n/a")</f>
        <v>2032</v>
      </c>
    </row>
    <row r="135">
      <c r="A135" s="41" t="inlineStr">
        <is>
          <t xml:space="preserve">Average DSCR over the repayment years</t>
        </is>
      </c>
      <c r="C135" s="47">
        <f>IFERROR(AVERAGEIFS(Waterfall!$F$147:$AE$147,Debt!$F$11:$AE$11,"&gt;0"),"n/a")</f>
        <v>1.4978780126130973</v>
      </c>
    </row>
    <row r="136">
      <c r="A136" s="41" t="inlineStr">
        <is>
          <t xml:space="preserve">LLCR at COD (reserves not counted)</t>
        </is>
      </c>
      <c r="C136" s="47">
        <f>IF(Debt!$C$6=0,"n/a",SUMPRODUCT(Timing!$F$83:$AE$83*Tax!$F$142:$AE$142/(1+Inputs!$C$74)^((Timing!$F$84:$AE$84-Timing!$C$7)/Inputs!$C$147))/Debt!$C$6)</f>
        <v>1.4807555827189844</v>
      </c>
    </row>
    <row r="137">
      <c r="A137" s="41" t="inlineStr">
        <is>
          <t xml:space="preserve">Payback: years from COD until the owners' cumulative cash flow turns positive</t>
        </is>
      </c>
      <c r="B137" s="10" t="inlineStr">
        <is>
          <t xml:space="preserve">years</t>
        </is>
      </c>
      <c r="C137" s="50" t="str">
        <f>IF(SUM($F$120:$AX$120)=0,"n/a",MAX(0,(SUM($F$121:$AX$121)-Timing!$C$7)/Inputs!$C$148))</f>
        <v>n/a</v>
      </c>
    </row>
    <row r="138">
      <c r="A138" s="41" t="inlineStr">
        <is>
          <t xml:space="preserve">Total uses</t>
        </is>
      </c>
      <c r="B138" s="10" t="inlineStr">
        <is>
          <t xml:space="preserve">€</t>
        </is>
      </c>
      <c r="C138" s="42">
        <f>Construction!$C$78</f>
        <v>62166235.26630913</v>
      </c>
    </row>
    <row r="139">
      <c r="A139" s="41" t="inlineStr">
        <is>
          <t xml:space="preserve">Equity paid in</t>
        </is>
      </c>
      <c r="B139" s="10" t="inlineStr">
        <is>
          <t xml:space="preserve">€</t>
        </is>
      </c>
      <c r="C139" s="42">
        <f>Construction!$C$80</f>
        <v>41533893.58327187</v>
      </c>
    </row>
    <row r="140">
      <c r="A140" s="41" t="inlineStr">
        <is>
          <t xml:space="preserve">Gearing (loan ÷ total uses)</t>
        </is>
      </c>
      <c r="C140" s="49">
        <f>Debt!$C$6/$C$138</f>
        <v>0.3318898368970234</v>
      </c>
    </row>
    <row r="141">
      <c r="A141" s="6" t="inlineStr">
        <is>
          <t xml:space="preserve">Equity IRR as calculated, whether funded or not (XIRR, checked to be a root)</t>
        </is>
      </c>
      <c r="C141" s="22">
        <f>IFERROR(IF(SUMPRODUCT($G$112:$AX$112/(1+XIRR($G$112:$AX$112,$G$7:$AX$7,$C$122)-Inputs!$C$160)^(($G$7:$AX$7-MIN($G$7:$AX$7))/Inputs!$C$147))*SUMPRODUCT($G$112:$AX$112/(1+XIRR($G$112:$AX$112,$G$7:$AX$7,$C$122)+Inputs!$C$160)^(($G$7:$AX$7-MIN($G$7:$AX$7))/Inputs!$C$147))&lt;=0,XIRR($G$112:$AX$112,$G$7:$AX$7,$C$122),NA()),IFERROR(IF(SUMPRODUCT($G$112:$AX$112/(1+XIRR($G$112:$AX$112,$G$7:$AX$7,$C$122-Inputs!$C$161)-Inputs!$C$160)^(($G$7:$AX$7-MIN($G$7:$AX$7))/Inputs!$C$147))*SUMPRODUCT($G$112:$AX$112/(1+XIRR($G$112:$AX$112,$G$7:$AX$7,$C$122-Inputs!$C$161)+Inputs!$C$160)^(($G$7:$AX$7-MIN($G$7:$AX$7))/Inputs!$C$147))&lt;=0,XIRR($G$112:$AX$112,$G$7:$AX$7,$C$122-Inputs!$C$161),NA()),IFERROR(IF(SUMPRODUCT($G$112:$AX$112/(1+XIRR($G$112:$AX$112,$G$7:$AX$7,$C$122+Inputs!$C$161)-Inputs!$C$160)^(($G$7:$AX$7-MIN($G$7:$AX$7))/Inputs!$C$147))*SUMPRODUCT($G$112:$AX$112/(1+XIRR($G$112:$AX$112,$G$7:$AX$7,$C$122+Inputs!$C$161)+Inputs!$C$160)^(($G$7:$AX$7-MIN($G$7:$AX$7))/Inputs!$C$147))&lt;=0,XIRR($G$112:$AX$112,$G$7:$AX$7,$C$122+Inputs!$C$161),NA()),IFERROR(IF(SUMPRODUCT($G$112:$AX$112/(1+XIRR($G$112:$AX$112,$G$7:$AX$7,Inputs!$C$162)-Inputs!$C$160)^(($G$7:$AX$7-MIN($G$7:$AX$7))/Inputs!$C$147))*SUMPRODUCT($G$112:$AX$112/(1+XIRR($G$112:$AX$112,$G$7:$AX$7,Inputs!$C$162)+Inputs!$C$160)^(($G$7:$AX$7-MIN($G$7:$AX$7))/Inputs!$C$147))&lt;=0,XIRR($G$112:$AX$112,$G$7:$AX$7,Inputs!$C$162),NA()),IFERROR(IF(SUMPRODUCT($G$112:$AX$112/(1+XIRR($G$112:$AX$112,$G$7:$AX$7,Inputs!$C$163)-Inputs!$C$160)^(($G$7:$AX$7-MIN($G$7:$AX$7))/Inputs!$C$147))*SUMPRODUCT($G$112:$AX$112/(1+XIRR($G$112:$AX$112,$G$7:$AX$7,Inputs!$C$163)+Inputs!$C$160)^(($G$7:$AX$7-MIN($G$7:$AX$7))/Inputs!$C$147))&lt;=0,XIRR($G$112:$AX$112,$G$7:$AX$7,Inputs!$C$163),NA()),"n/a")))))</f>
        <v>-0.02117618786648568</v>
      </c>
    </row>
    <row r="142">
      <c r="A142" s="6" t="inlineStr">
        <is>
          <t xml:space="preserve">Equity NPV as calculated, whether funded or not</t>
        </is>
      </c>
      <c r="B142" s="10" t="inlineStr">
        <is>
          <t xml:space="preserve">€</t>
        </is>
      </c>
      <c r="C142" s="23">
        <f>XNPV(Inputs!$C$102,$F$112:$AX$112,$F$7:$AX$7)</f>
        <v>-28838676.658876445</v>
      </c>
    </row>
  </sheetData>
  <pageMargins left="0.4" right="0.4" top="0.6" bottom="0.6" header="0.3" footer="0.3"/>
  <pageSetup paperSize="9" scale="70" orientation="landscape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sheetViews>
    <sheetView workbookViewId="0" zoomScale="85">
      <pane xSplit="1" ySplit="4" topLeftCell="B5" activePane="bottomRight" state="frozen"/>
    </sheetView>
  </sheetViews>
  <sheetFormatPr defaultRowHeight="13.2"/>
  <cols>
    <col min="1" max="1" width="64" customWidth="1"/>
    <col min="2" max="2" width="12" customWidth="1"/>
    <col min="3" max="3" width="40" customWidth="1"/>
    <col min="4" max="4" width="44" customWidth="1"/>
  </cols>
  <sheetData>
    <row r="1">
      <c r="A1" s="1" t="inlineStr">
        <is>
          <t xml:space="preserve">Checks</t>
        </is>
      </c>
    </row>
    <row r="2">
      <c r="A2" s="2" t="inlineStr">
        <is>
          <t xml:space="preserve">Does the pasted financing still fit, and do the accounts close?</t>
        </is>
      </c>
    </row>
    <row r="5">
      <c r="A5" s="5" t="inlineStr">
        <is>
          <t xml:space="preserve">Pasted solution still fits (otherwise download the workbook again from the website)</t>
        </is>
      </c>
      <c r="B5" s="5"/>
      <c r="C5" s="5"/>
      <c r="D5" s="5"/>
    </row>
    <row r="6">
      <c r="A6" s="6" t="inlineStr">
        <is>
          <t xml:space="preserve">Loan: the DSCR targets and the gearing cap give the pasted loan</t>
        </is>
      </c>
      <c r="C6" s="7" t="str">
        <f>IF(IF(Debt!$C$6=0,TRUE,IF(Inputs!$C$77="sculpted",AND(Debt!$C$23&gt;=1-Inputs!$C$157,OR(ABS(Debt!$C$23-1)&lt;Inputs!$C$157,ABS(Debt!$C$6-Debt!$C$25)&lt;Inputs!$C$159)),ABS(Debt!$C$26-Debt!$C$6)&lt;=Inputs!$C$159)),"OK","Re-solve the financing on the website")</f>
        <v>OK</v>
      </c>
      <c r="D6" s="2" t="inlineStr">
        <is>
          <t xml:space="preserve">tolerance €0.50, as the website's solver; without a loan the check cannot scale one — re-solve on the website after a change</t>
        </is>
      </c>
    </row>
    <row r="7">
      <c r="A7" s="6" t="inlineStr">
        <is>
          <t xml:space="preserve">Total uses (base): the funding need adds up to the pasted uses</t>
        </is>
      </c>
      <c r="C7" s="7" t="str">
        <f>IF(ABS(Construction!$C$43-Inputs!$C$193)&lt;=Inputs!$C$159,"OK","Re-solve the financing on the website")</f>
        <v>OK</v>
      </c>
    </row>
    <row r="8">
      <c r="A8" s="6" t="inlineStr">
        <is>
          <t xml:space="preserve">Total uses (downside): the funding need adds up to the pasted uses</t>
        </is>
      </c>
      <c r="C8" s="7" t="str">
        <f>IF(ABS(Construction!$C$78-Inputs!$C$194)&lt;=Inputs!$C$159,"OK","Re-solve the financing on the website")</f>
        <v>OK</v>
      </c>
    </row>
    <row r="9">
      <c r="A9" s="6" t="inlineStr">
        <is>
          <t xml:space="preserve">Timeline and loan structure unchanged since the download</t>
        </is>
      </c>
      <c r="C9" s="7" t="str">
        <f>IF(AND(Inputs!$C$10=Inputs!$C$195,Inputs!$C$11=Inputs!$C$196,Inputs!$C$12=Inputs!$C$197,Inputs!$C$75=Inputs!$C$198,Inputs!$C$76=Inputs!$C$199,Inputs!$C$77=Inputs!$C$200),"OK","Structure changed: download a new workbook")</f>
        <v>OK</v>
      </c>
    </row>
    <row r="10">
      <c r="A10" s="6" t="inlineStr">
        <is>
          <t xml:space="preserve">Switches hold one of their listed values</t>
        </is>
      </c>
      <c r="C10" s="7" t="str">
        <f>IF(AND(OR(Inputs!$C$91="KG",Inputs!$C$91="GmbH"),OR(Inputs!$C$33="market",Inputs!$C$33="ppa"),OR(Inputs!$C$40="floor",Inputs!$C$40="base"),OR(Inputs!$C$77="linear",Inputs!$C$77="annuity",Inputs!$C$77="sculpted"),OR(Inputs!$C$17=TRUE,Inputs!$C$17=FALSE),OR(Inputs!$C$35=TRUE,Inputs!$C$35=FALSE),OR(Inputs!$C$39=TRUE,Inputs!$C$39=FALSE),OR(Inputs!$C$88=TRUE,Inputs!$C$88=FALSE),OR(Inputs!$C$94=TRUE,Inputs!$C$94=FALSE)),"OK","A switch has a value the formulas do not know")</f>
        <v>OK</v>
      </c>
      <c r="D10" s="2" t="inlineStr">
        <is>
          <t xml:space="preserve">KG / GmbH, market / ppa, floor / base, linear / annuity / sculpted, TRUE / FALSE</t>
        </is>
      </c>
    </row>
    <row r="12">
      <c r="A12" s="5" t="inlineStr">
        <is>
          <t xml:space="preserve">Calculation</t>
        </is>
      </c>
      <c r="B12" s="5"/>
      <c r="C12" s="5"/>
      <c r="D12" s="5"/>
    </row>
    <row r="13">
      <c r="A13" s="6" t="inlineStr">
        <is>
          <t xml:space="preserve">Sources equal uses (base)</t>
        </is>
      </c>
      <c r="C13" s="7" t="str">
        <f>IF(ABS(Construction!$C$43-Construction!$C$46-Construction!$C$45)&lt;1,"OK","Sources ≠ uses")</f>
        <v>OK</v>
      </c>
    </row>
    <row r="14">
      <c r="A14" s="6" t="inlineStr">
        <is>
          <t xml:space="preserve">Loan repaid by the last instalment</t>
        </is>
      </c>
      <c r="C14" s="7" t="str">
        <f>IF(ABS(INDEX(Debt!$F$12:$AE$12,MATCH(MIN(Timing!$C$23,Timing!$C$17),Timing!$F$59:$AE$59,0)))&lt;1,"OK","Loan not repaid")</f>
        <v>OK</v>
      </c>
    </row>
    <row r="15">
      <c r="A15" s="6" t="inlineStr">
        <is>
          <t xml:space="preserve">Loan matures before the end of the operating life</t>
        </is>
      </c>
      <c r="C15" s="7" t="str">
        <f>IF(Timing!$C$22&lt;Timing!$C$8,"OK","Loan runs beyond the operating life")</f>
        <v>OK</v>
      </c>
    </row>
    <row r="16">
      <c r="A16" s="6" t="inlineStr">
        <is>
          <t xml:space="preserve">Gearing within the maximum (base)</t>
        </is>
      </c>
      <c r="C16" s="7" t="str">
        <f>IF(Results!$C$41&lt;=Inputs!$C$82+Inputs!$C$157,"OK","Gearing above the maximum")</f>
        <v>OK</v>
      </c>
    </row>
    <row r="17">
      <c r="A17" s="6" t="inlineStr">
        <is>
          <t xml:space="preserve">Base: balance sheet balances every year</t>
        </is>
      </c>
      <c r="C17" s="7" t="str">
        <f>IF(MAX(MAX(Statements!$F$22:$AE$22),-MIN(Statements!$F$22:$AE$22))&lt;1,"OK","Balance sheet does not balance")</f>
        <v>OK</v>
      </c>
    </row>
    <row r="18">
      <c r="A18" s="6" t="inlineStr">
        <is>
          <t xml:space="preserve">P90 1-yr: balance sheet balances every year</t>
        </is>
      </c>
      <c r="C18" s="7" t="str">
        <f>IF(MAX(MAX(Statements!$F$40:$AE$40),-MIN(Statements!$F$40:$AE$40))&lt;1,"OK","Balance sheet does not balance")</f>
        <v>OK</v>
      </c>
    </row>
    <row r="19">
      <c r="A19" s="6" t="inlineStr">
        <is>
          <t xml:space="preserve">P90 10-yr: balance sheet balances every year</t>
        </is>
      </c>
      <c r="C19" s="7" t="str">
        <f>IF(MAX(MAX(Statements!$F$58:$AE$58),-MIN(Statements!$F$58:$AE$58))&lt;1,"OK","Balance sheet does not balance")</f>
        <v>OK</v>
      </c>
    </row>
    <row r="20">
      <c r="A20" s="6" t="inlineStr">
        <is>
          <t xml:space="preserve">Downside: balance sheet balances every year</t>
        </is>
      </c>
      <c r="C20" s="7" t="str">
        <f>IF(MAX(MAX(Statements!$F$76:$AE$76),-MIN(Statements!$F$76:$AE$76))&lt;1,"OK","Balance sheet does not balance")</f>
        <v>OK</v>
      </c>
    </row>
    <row r="22">
      <c r="A22" s="5" t="inlineStr">
        <is>
          <t xml:space="preserve">Funding and covenant</t>
        </is>
      </c>
      <c r="B22" s="5"/>
      <c r="C22" s="5"/>
      <c r="D22" s="5"/>
    </row>
    <row r="23">
      <c r="A23" s="6" t="inlineStr">
        <is>
          <t xml:space="preserve">Base: the company never runs out of cash, the final year included</t>
        </is>
      </c>
      <c r="C23" s="7" t="str">
        <f>IF(MIN(Waterfall!$F$41:$AE$41)&gt;-1,"OK","Cash shortfall: returns not meaningful")</f>
        <v>OK</v>
      </c>
    </row>
    <row r="24">
      <c r="A24" s="6" t="inlineStr">
        <is>
          <t xml:space="preserve">Base: DSCR at or above the covenant every year</t>
        </is>
      </c>
      <c r="C24" s="7" t="str">
        <f>IF(IF(COUNT(Results!$C$34)=0,TRUE,Results!$C$34&gt;=Inputs!$C$80-Inputs!$C$157),"OK","Covenant breached")</f>
        <v>OK</v>
      </c>
    </row>
    <row r="25">
      <c r="A25" s="6" t="inlineStr">
        <is>
          <t xml:space="preserve">P90 1-yr: the company never runs out of cash, the final year included</t>
        </is>
      </c>
      <c r="C25" s="7" t="str">
        <f>IF(MIN(Waterfall!$F$81:$AE$81)&gt;-1,"OK","Cash shortfall: returns not meaningful")</f>
        <v>OK</v>
      </c>
    </row>
    <row r="26">
      <c r="A26" s="6" t="inlineStr">
        <is>
          <t xml:space="preserve">P90 1-yr: DSCR at or above the covenant every year</t>
        </is>
      </c>
      <c r="C26" s="7" t="str">
        <f>IF(IF(COUNT(Results!$C$67)=0,TRUE,Results!$C$67&gt;=Inputs!$C$80-Inputs!$C$157),"OK","Covenant breached")</f>
        <v>OK</v>
      </c>
    </row>
    <row r="27">
      <c r="A27" s="6" t="inlineStr">
        <is>
          <t xml:space="preserve">P90 10-yr: the company never runs out of cash, the final year included</t>
        </is>
      </c>
      <c r="C27" s="7" t="str">
        <f>IF(MIN(Waterfall!$F$121:$AE$121)&gt;-1,"OK","Cash shortfall: returns not meaningful")</f>
        <v>OK</v>
      </c>
    </row>
    <row r="28">
      <c r="A28" s="6" t="inlineStr">
        <is>
          <t xml:space="preserve">P90 10-yr: DSCR at or above the covenant every year</t>
        </is>
      </c>
      <c r="C28" s="7" t="str">
        <f>IF(IF(COUNT(Results!$C$100)=0,TRUE,Results!$C$100&gt;=Inputs!$C$80-Inputs!$C$157),"OK","Covenant breached")</f>
        <v>OK</v>
      </c>
    </row>
    <row r="29">
      <c r="A29" s="6" t="inlineStr">
        <is>
          <t xml:space="preserve">Downside: the company never runs out of cash, the final year included</t>
        </is>
      </c>
      <c r="C29" s="7" t="str">
        <f>IF(MIN(Waterfall!$F$161:$AE$161)&gt;-1,"OK","Cash shortfall: returns not meaningful")</f>
        <v>OK</v>
      </c>
    </row>
    <row r="30">
      <c r="A30" s="6" t="inlineStr">
        <is>
          <t xml:space="preserve">Downside: DSCR at or above the covenant every year</t>
        </is>
      </c>
      <c r="C30" s="7" t="str">
        <f>IF(IF(COUNT(Results!$C$133)=0,TRUE,Results!$C$133&gt;=Inputs!$C$80-Inputs!$C$157),"OK","Covenant breached")</f>
        <v>OK</v>
      </c>
    </row>
    <row r="31">
      <c r="A31" s="6" t="inlineStr">
        <is>
          <t xml:space="preserve">Base: no year with distributions held back (lock-up)</t>
        </is>
      </c>
      <c r="C31" s="7" t="str">
        <f>IF(SUM(Waterfall!$F$28:$AE$28)=0,"OK","Distributions held back")</f>
        <v>OK</v>
      </c>
    </row>
    <row r="33">
      <c r="A33" s="5" t="inlineStr">
        <is>
          <t xml:space="preserve">Model scope</t>
        </is>
      </c>
      <c r="B33" s="5"/>
      <c r="C33" s="5"/>
      <c r="D33" s="5"/>
    </row>
    <row r="34">
      <c r="A34" s="6" t="inlineStr">
        <is>
          <t xml:space="preserve">Commissioning before the award lapses (§ 36e EEG)</t>
        </is>
      </c>
      <c r="C34" s="7" t="str">
        <f>IF(Timing!$C$7&lt;=Timing!$C$18,"OK","Award lapsed: outside the model's scope")</f>
        <v>OK</v>
      </c>
    </row>
    <row r="35">
      <c r="A35" s="6" t="inlineStr">
        <is>
          <t xml:space="preserve">Commissioning within 30 months of the award (§ 55 EEG; the penalty is not modelled)</t>
        </is>
      </c>
      <c r="C35" s="7" t="str">
        <f>IF(Timing!$C$7&lt;=Timing!$C$19,"OK","A § 55 penalty applies")</f>
        <v>OK</v>
      </c>
    </row>
    <row r="36">
      <c r="A36" s="6" t="inlineStr">
        <is>
          <t xml:space="preserve">Loan matures before the EEG support ends</t>
        </is>
      </c>
      <c r="C36" s="7" t="str">
        <f>IF(Timing!$C$22&lt;Timing!$C$11,"OK","The loan outlasts the support period")</f>
        <v>OK</v>
      </c>
    </row>
    <row r="37">
      <c r="A37" s="6" t="inlineStr">
        <is>
          <t xml:space="preserve">Interest below the € 3 m threshold of the interest barrier (§ 4h EStG is not modelled)</t>
        </is>
      </c>
      <c r="C37" s="7" t="str">
        <f>IF(MAX(Debt!$F$10:$AE$10)&lt;Inputs!$C$131,"OK","The interest barrier may apply")</f>
        <v>OK</v>
      </c>
    </row>
    <row r="38">
      <c r="A38" s="6" t="inlineStr">
        <is>
          <t xml:space="preserve">Base: book equity stays positive (otherwise § 30 GmbHG / § 172 (4) HGB may limit distributions)</t>
        </is>
      </c>
      <c r="C38" s="7" t="str">
        <f>IF(MIN(Statements!$F$21:$AE$21)&gt;-1,"OK","Negative book equity")</f>
        <v>Negative book equity</v>
      </c>
    </row>
    <row r="40">
      <c r="A40" s="5" t="inlineStr">
        <is>
          <t xml:space="preserve">Inputs outside the usual assumptions</t>
        </is>
      </c>
      <c r="B40" s="5"/>
      <c r="C40" s="5"/>
      <c r="D40" s="5"/>
    </row>
    <row r="41">
      <c r="A41" s="6" t="inlineStr">
        <is>
          <t xml:space="preserve">Award price within the tender ceiling</t>
        </is>
      </c>
      <c r="C41" s="7" t="str">
        <f>IF(Inputs!$C$27&lt;=Inputs!$C$28+Inputs!$C$157,"OK","Award above the ceiling")</f>
        <v>OK</v>
      </c>
    </row>
    <row r="42">
      <c r="A42" s="6" t="inlineStr">
        <is>
          <t xml:space="preserve">Award announced before financial close</t>
        </is>
      </c>
      <c r="C42" s="7" t="str">
        <f>IF(Inputs!$C$29&lt;=Timing!$C$6,"OK","Award announced after financial close")</f>
        <v>OK</v>
      </c>
    </row>
    <row r="43">
      <c r="A43" s="6" t="inlineStr">
        <is>
          <t xml:space="preserve">Trade-tax multiplier at or above the legal minimum (280 % from 2027)</t>
        </is>
      </c>
      <c r="C43" s="7" t="str">
        <f>IF(OR(Timing!$C$17&lt;Inputs!$C$164,Inputs!$C$92&gt;=Inputs!$C$129-Inputs!$C$157),"OK","Below the legal minimum")</f>
        <v>OK</v>
      </c>
    </row>
    <row r="44">
      <c r="A44" s="6" t="inlineStr">
        <is>
          <t xml:space="preserve">Declining-balance depreciation allowed (completion 1 Jul 2025 – 31 Dec 2027)</t>
        </is>
      </c>
      <c r="C44" s="7" t="str">
        <f>IF(OR(Inputs!$C$94=FALSE,AND(Timing!$C$7&gt;=Inputs!$C$134,Timing!$C$7&lt;=Inputs!$C$135)),"OK","Not allowed for this commissioning date")</f>
        <v>OK</v>
      </c>
    </row>
    <row r="45">
      <c r="A45" s="6" t="inlineStr">
        <is>
          <t xml:space="preserve">Loan term and grace years match a KfW 270 variant</t>
        </is>
      </c>
      <c r="C45" s="7" t="str">
        <f>IF(IFERROR(Inputs!$C$76&lt;=INDEX(Inputs!$B$168:$B$171,COUNTIF(Inputs!$A$168:$A$171,"&lt;"&amp;Inputs!$C$75)+1),FALSE),"OK","No KfW 270 variant")</f>
        <v>OK</v>
      </c>
      <c r="D45" s="2" t="inlineStr">
        <is>
          <t xml:space="preserve">the KfW 270 variants are on the Inputs sheet</t>
        </is>
      </c>
    </row>
    <row r="46">
      <c r="A46" s="6" t="inlineStr">
        <is>
          <t xml:space="preserve">Construction within the longest KfW drawdown period (12 months, extendable by up to 24)</t>
        </is>
      </c>
      <c r="C46" s="7" t="str">
        <f>IF(Inputs!$C$11&lt;=Inputs!$C$166,"OK","Longer than any KfW drawdown period")</f>
        <v>OK</v>
      </c>
    </row>
    <row r="48">
      <c r="A48" s="6" t="inlineStr">
        <is>
          <t xml:space="preserve">All checks (errors)</t>
        </is>
      </c>
      <c r="C48" s="7" t="str">
        <f>IF(AND($C$6="OK",$C$7="OK",$C$8="OK",$C$9="OK",$C$10="OK",$C$13="OK",$C$14="OK",$C$15="OK",$C$16="OK",$C$17="OK",$C$18="OK",$C$19="OK",$C$20="OK",$C$23="OK",$C$24="OK",$C$25="OK",$C$26="OK",$C$27="OK",$C$28="OK",$C$29="OK",$C$30="OK",$C$34="OK"),"OK","See the checks above")</f>
        <v>OK</v>
      </c>
    </row>
    <row r="49">
      <c r="A49" s="6" t="inlineStr">
        <is>
          <t xml:space="preserve">Warnings among the checks above (they do not stop the model)</t>
        </is>
      </c>
      <c r="C49" s="8">
        <f>($C$31&lt;&gt;"OK")+($C$35&lt;&gt;"OK")+($C$36&lt;&gt;"OK")+($C$37&lt;&gt;"OK")+($C$38&lt;&gt;"OK")+($C$41&lt;&gt;"OK")+($C$42&lt;&gt;"OK")+($C$43&lt;&gt;"OK")+($C$44&lt;&gt;"OK")+($C$45&lt;&gt;"OK")+($C$46&lt;&gt;"OK")</f>
        <v>1</v>
      </c>
    </row>
  </sheetData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2F75B5"/>
    <pageSetUpPr fitToPage="1"/>
  </sheetPr>
  <sheetViews>
    <sheetView workbookViewId="0" zoomScale="85">
      <pane xSplit="1" ySplit="6" topLeftCell="B7" activePane="bottomRight" state="frozen"/>
    </sheetView>
  </sheetViews>
  <sheetFormatPr defaultRowHeight="13.2"/>
  <cols>
    <col min="1" max="1" width="34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</cols>
  <sheetData>
    <row r="1">
      <c r="A1" s="1" t="inlineStr">
        <is>
          <t xml:space="preserve">Scenarios</t>
        </is>
      </c>
    </row>
    <row r="2">
      <c r="A2" s="2" t="inlineStr">
        <is>
          <t xml:space="preserve">The workbook's results next to the website's</t>
        </is>
      </c>
    </row>
    <row r="5">
      <c r="A5" s="3" t="inlineStr">
        <is>
          <t xml:space="preserve">Live results of this workbook and the website's results at download (inputs unchanged: they agree)</t>
        </is>
      </c>
    </row>
    <row r="6">
      <c r="A6" s="17" t="inlineStr">
        <is>
          <t xml:space="preserve">Measure</t>
        </is>
      </c>
      <c r="B6" s="17" t="inlineStr">
        <is>
          <t xml:space="preserve">Base — workbook</t>
        </is>
      </c>
      <c r="C6" s="17" t="inlineStr">
        <is>
          <t xml:space="preserve">P90 1-yr — workbook</t>
        </is>
      </c>
      <c r="D6" s="17" t="inlineStr">
        <is>
          <t xml:space="preserve">P90 10-yr — workbook</t>
        </is>
      </c>
      <c r="E6" s="17" t="inlineStr">
        <is>
          <t xml:space="preserve">Downside — workbook</t>
        </is>
      </c>
      <c r="F6" s="17" t="inlineStr">
        <is>
          <t xml:space="preserve">Base — website</t>
        </is>
      </c>
      <c r="G6" s="17" t="inlineStr">
        <is>
          <t xml:space="preserve">P90 1-yr — website</t>
        </is>
      </c>
      <c r="H6" s="17" t="inlineStr">
        <is>
          <t xml:space="preserve">P90 10-yr — website</t>
        </is>
      </c>
      <c r="I6" s="17" t="inlineStr">
        <is>
          <t xml:space="preserve">Downside — website</t>
        </is>
      </c>
    </row>
    <row r="7">
      <c r="A7" s="6" t="inlineStr">
        <is>
          <t xml:space="preserve">Equity IRR</t>
        </is>
      </c>
      <c r="B7" s="52">
        <f>Results!$C$27</f>
        <v>0.030943933544212945</v>
      </c>
      <c r="C7" s="52">
        <f>Results!$C$60</f>
        <v>0.006054896503292142</v>
      </c>
      <c r="D7" s="52">
        <f>Results!$C$93</f>
        <v>0.011618441429773113</v>
      </c>
      <c r="E7" s="52">
        <f>Results!$C$126</f>
        <v>-0.02117618786648568</v>
      </c>
      <c r="F7" s="48">
        <v>0.030943933544212945</v>
      </c>
      <c r="G7" s="48">
        <v>0.006054896503292142</v>
      </c>
      <c r="H7" s="48">
        <v>0.011618441429773113</v>
      </c>
      <c r="I7" s="48">
        <v>-0.02117618786648568</v>
      </c>
    </row>
    <row r="8">
      <c r="A8" s="6" t="inlineStr">
        <is>
          <t xml:space="preserve">Equity NPV (€)</t>
        </is>
      </c>
      <c r="B8" s="45">
        <f>Results!$C$28</f>
        <v>-16063857.823084528</v>
      </c>
      <c r="C8" s="45">
        <f>Results!$C$61</f>
        <v>-23066512.01630845</v>
      </c>
      <c r="D8" s="45">
        <f>Results!$C$94</f>
        <v>-21514199.112949178</v>
      </c>
      <c r="E8" s="45">
        <f>Results!$C$127</f>
        <v>-28838676.658876445</v>
      </c>
      <c r="F8" s="53">
        <v>-16063857.823084528</v>
      </c>
      <c r="G8" s="53">
        <v>-23066512.01630845</v>
      </c>
      <c r="H8" s="53">
        <v>-21514199.112949178</v>
      </c>
      <c r="I8" s="53">
        <v>-28838676.658876445</v>
      </c>
    </row>
    <row r="9">
      <c r="A9" s="6" t="inlineStr">
        <is>
          <t xml:space="preserve">Project IRR after tax</t>
        </is>
      </c>
      <c r="B9" s="52">
        <f>Results!$C$30</f>
        <v>0.036673834391649465</v>
      </c>
      <c r="C9" s="52">
        <f>Results!$C$63</f>
        <v>0.01790033188724005</v>
      </c>
      <c r="D9" s="52">
        <f>Results!$C$96</f>
        <v>0.02215789734286768</v>
      </c>
      <c r="E9" s="52">
        <f>Results!$C$129</f>
        <v>0.00008556126197613869</v>
      </c>
      <c r="F9" s="48">
        <v>0.036673834391649465</v>
      </c>
      <c r="G9" s="48">
        <v>0.01790033188724005</v>
      </c>
      <c r="H9" s="48">
        <v>0.02215789734286768</v>
      </c>
      <c r="I9" s="48">
        <v>0.00008556126197613869</v>
      </c>
    </row>
    <row r="10">
      <c r="A10" s="6" t="inlineStr">
        <is>
          <t xml:space="preserve">Project IRR before tax</t>
        </is>
      </c>
      <c r="B10" s="52">
        <f>Results!$C$29</f>
        <v>0.04041087599095587</v>
      </c>
      <c r="C10" s="52">
        <f>Results!$C$62</f>
        <v>0.020120721565208388</v>
      </c>
      <c r="D10" s="52">
        <f>Results!$C$95</f>
        <v>0.024757956057828732</v>
      </c>
      <c r="E10" s="52">
        <f>Results!$C$128</f>
        <v>0.0007217807362303146</v>
      </c>
      <c r="F10" s="48">
        <v>0.04041087599095587</v>
      </c>
      <c r="G10" s="48">
        <v>0.020120721565208388</v>
      </c>
      <c r="H10" s="48">
        <v>0.024757956057828732</v>
      </c>
      <c r="I10" s="48">
        <v>0.0007217807362303146</v>
      </c>
    </row>
    <row r="11">
      <c r="A11" s="6" t="inlineStr">
        <is>
          <t xml:space="preserve">Project NPV (€)</t>
        </is>
      </c>
      <c r="B11" s="45">
        <f>Results!$C$31</f>
        <v>-11169473.679168949</v>
      </c>
      <c r="C11" s="45">
        <f>Results!$C$64</f>
        <v>-19829575.116071854</v>
      </c>
      <c r="D11" s="45">
        <f>Results!$C$97</f>
        <v>-17920300.88570276</v>
      </c>
      <c r="E11" s="45">
        <f>Results!$C$130</f>
        <v>-26710450.78773144</v>
      </c>
      <c r="F11" s="53">
        <v>-11169473.679168949</v>
      </c>
      <c r="G11" s="53">
        <v>-19829575.116071854</v>
      </c>
      <c r="H11" s="53">
        <v>-17920300.88570276</v>
      </c>
      <c r="I11" s="53">
        <v>-26710450.78773144</v>
      </c>
    </row>
    <row r="12">
      <c r="A12" s="6" t="inlineStr">
        <is>
          <t xml:space="preserve">LCOE real (ct/kWh)</t>
        </is>
      </c>
      <c r="B12" s="54">
        <f>Results!$C$32</f>
        <v>7.25237035511626</v>
      </c>
      <c r="C12" s="54">
        <f>Results!$C$65</f>
        <v>8.478663752567494</v>
      </c>
      <c r="D12" s="54">
        <f>Results!$C$98</f>
        <v>8.20538409774287</v>
      </c>
      <c r="E12" s="54">
        <f>Results!$C$131</f>
        <v>8.469240888339396</v>
      </c>
      <c r="F12" s="55">
        <v>7.25237035511626</v>
      </c>
      <c r="G12" s="55">
        <v>8.478663752567494</v>
      </c>
      <c r="H12" s="55">
        <v>8.20538409774287</v>
      </c>
      <c r="I12" s="55">
        <v>8.469240888339396</v>
      </c>
    </row>
    <row r="13">
      <c r="A13" s="6" t="inlineStr">
        <is>
          <t xml:space="preserve">LCOE nominal (ct/kWh)</t>
        </is>
      </c>
      <c r="B13" s="54">
        <f>Results!$C$33</f>
        <v>9.222530552576682</v>
      </c>
      <c r="C13" s="54">
        <f>Results!$C$66</f>
        <v>10.781115715019759</v>
      </c>
      <c r="D13" s="54">
        <f>Results!$C$99</f>
        <v>10.433768036011786</v>
      </c>
      <c r="E13" s="54">
        <f>Results!$C$132</f>
        <v>10.769313098356026</v>
      </c>
      <c r="F13" s="55">
        <v>9.222530552576682</v>
      </c>
      <c r="G13" s="55">
        <v>10.781115715019759</v>
      </c>
      <c r="H13" s="55">
        <v>10.433768036011786</v>
      </c>
      <c r="I13" s="55">
        <v>10.769313098356026</v>
      </c>
    </row>
    <row r="14">
      <c r="A14" s="6" t="inlineStr">
        <is>
          <t xml:space="preserve">Minimum DSCR</t>
        </is>
      </c>
      <c r="B14" s="56">
        <f>Results!$C$34</f>
        <v>1.4394651394839908</v>
      </c>
      <c r="C14" s="56">
        <f>Results!$C$67</f>
        <v>1.1395012117730186</v>
      </c>
      <c r="D14" s="56">
        <f>Results!$C$100</f>
        <v>1.1980879164040674</v>
      </c>
      <c r="E14" s="56">
        <f>Results!$C$133</f>
        <v>1.1826992346552736</v>
      </c>
      <c r="F14" s="57">
        <v>1.4394651394839908</v>
      </c>
      <c r="G14" s="57">
        <v>1.1395012117730186</v>
      </c>
      <c r="H14" s="57">
        <v>1.1980879164040674</v>
      </c>
      <c r="I14" s="57">
        <v>1.1826992346552736</v>
      </c>
    </row>
    <row r="15">
      <c r="A15" s="6" t="inlineStr">
        <is>
          <t xml:space="preserve">Average DSCR (repayment years)</t>
        </is>
      </c>
      <c r="B15" s="56">
        <f>Results!$C$36</f>
        <v>2.19586725591586</v>
      </c>
      <c r="C15" s="56">
        <f>Results!$C$69</f>
        <v>1.7297085055994632</v>
      </c>
      <c r="D15" s="56">
        <f>Results!$C$102</f>
        <v>1.8304462686505052</v>
      </c>
      <c r="E15" s="56">
        <f>Results!$C$135</f>
        <v>1.4978780126130973</v>
      </c>
      <c r="F15" s="57">
        <v>2.19586725591586</v>
      </c>
      <c r="G15" s="57">
        <v>1.7297085055994632</v>
      </c>
      <c r="H15" s="57">
        <v>1.8304462686505052</v>
      </c>
      <c r="I15" s="57">
        <v>1.4978780126130973</v>
      </c>
    </row>
    <row r="16">
      <c r="A16" s="6" t="inlineStr">
        <is>
          <t xml:space="preserve">LLCR</t>
        </is>
      </c>
      <c r="B16" s="56">
        <f>Results!$C$37</f>
        <v>2.0592959304053196</v>
      </c>
      <c r="C16" s="56">
        <f>Results!$C$70</f>
        <v>1.6301812251267291</v>
      </c>
      <c r="D16" s="56">
        <f>Results!$C$103</f>
        <v>1.7254557760527258</v>
      </c>
      <c r="E16" s="56">
        <f>Results!$C$136</f>
        <v>1.4807555827189844</v>
      </c>
      <c r="F16" s="57">
        <v>2.0592959304053196</v>
      </c>
      <c r="G16" s="57">
        <v>1.6301812251267291</v>
      </c>
      <c r="H16" s="57">
        <v>1.7254557760527258</v>
      </c>
      <c r="I16" s="57">
        <v>1.4807555827189844</v>
      </c>
    </row>
    <row r="17">
      <c r="A17" s="6" t="inlineStr">
        <is>
          <t xml:space="preserve">Payback (years from COD)</t>
        </is>
      </c>
      <c r="B17" s="54">
        <f>Results!$C$38</f>
        <v>18.757919812800424</v>
      </c>
      <c r="C17" s="54">
        <f>Results!$C$71</f>
        <v>23.724749509871398</v>
      </c>
      <c r="D17" s="54">
        <f>Results!$C$104</f>
        <v>22.429774409896876</v>
      </c>
      <c r="E17" s="54" t="str">
        <f>Results!$C$137</f>
        <v>n/a</v>
      </c>
      <c r="F17" s="55">
        <v>18.757919812800424</v>
      </c>
      <c r="G17" s="55">
        <v>23.724749509871398</v>
      </c>
      <c r="H17" s="55">
        <v>22.429774409896876</v>
      </c>
      <c r="I17" s="55" t="inlineStr">
        <is>
          <t xml:space="preserve">n/a</t>
        </is>
      </c>
    </row>
    <row r="18">
      <c r="A18" s="6" t="inlineStr">
        <is>
          <t xml:space="preserve">Total uses (€)</t>
        </is>
      </c>
      <c r="B18" s="45">
        <f>Results!$C$39</f>
        <v>59303606.70605988</v>
      </c>
      <c r="C18" s="45">
        <f>Results!$C$72</f>
        <v>59303606.70605988</v>
      </c>
      <c r="D18" s="45">
        <f>Results!$C$105</f>
        <v>59303606.70605988</v>
      </c>
      <c r="E18" s="45">
        <f>Results!$C$138</f>
        <v>62166235.26630913</v>
      </c>
      <c r="F18" s="53">
        <v>59303606.70605988</v>
      </c>
      <c r="G18" s="53">
        <v>59303606.70605988</v>
      </c>
      <c r="H18" s="53">
        <v>59303606.70605988</v>
      </c>
      <c r="I18" s="53">
        <v>62166235.26630913</v>
      </c>
    </row>
    <row r="19">
      <c r="A19" s="6" t="inlineStr">
        <is>
          <t xml:space="preserve">Equity (€)</t>
        </is>
      </c>
      <c r="B19" s="45">
        <f>Results!$C$40</f>
        <v>38671265.02302264</v>
      </c>
      <c r="C19" s="45">
        <f>Results!$C$73</f>
        <v>38671265.02302264</v>
      </c>
      <c r="D19" s="45">
        <f>Results!$C$106</f>
        <v>38671265.02302264</v>
      </c>
      <c r="E19" s="45">
        <f>Results!$C$139</f>
        <v>41533893.58327187</v>
      </c>
      <c r="F19" s="53">
        <v>38671265.02302264</v>
      </c>
      <c r="G19" s="53">
        <v>38671265.02302264</v>
      </c>
      <c r="H19" s="53">
        <v>38671265.02302264</v>
      </c>
      <c r="I19" s="53">
        <v>41533893.58327187</v>
      </c>
    </row>
    <row r="20">
      <c r="A20" s="6" t="inlineStr">
        <is>
          <t xml:space="preserve">Gearing</t>
        </is>
      </c>
      <c r="B20" s="52">
        <f>Results!$C$41</f>
        <v>0.3479104025713334</v>
      </c>
      <c r="C20" s="52">
        <f>Results!$C$74</f>
        <v>0.3479104025713334</v>
      </c>
      <c r="D20" s="52">
        <f>Results!$C$107</f>
        <v>0.3479104025713334</v>
      </c>
      <c r="E20" s="52">
        <f>Results!$C$140</f>
        <v>0.3318898368970234</v>
      </c>
      <c r="F20" s="48">
        <v>0.3479104025713334</v>
      </c>
      <c r="G20" s="48">
        <v>0.3479104025713334</v>
      </c>
      <c r="H20" s="48">
        <v>0.3479104025713334</v>
      </c>
      <c r="I20" s="48">
        <v>0.3318898368970234</v>
      </c>
    </row>
    <row r="22">
      <c r="A22" s="2" t="inlineStr">
        <is>
          <t xml:space="preserve">The loan and every instalment are the base case's in all four scenarios — the lender's view after financial close.</t>
        </is>
      </c>
    </row>
    <row r="23">
      <c r="A23" s="2" t="inlineStr">
        <is>
          <t xml:space="preserve">P90 1-yr: one-year P90 output in every year (the lender's stress). P90 10-yr: ten-year P90 output with the § 36h review.</t>
        </is>
      </c>
    </row>
    <row r="24">
      <c r="A24" s="2" t="inlineStr">
        <is>
          <t xml:space="preserve">Downside: ten-year P90 output, power prices −20 %, fixed opex and grid fee +10 %, capex +5 % paid by the owners, with the § 36h review.</t>
        </is>
      </c>
    </row>
    <row r="25">
      <c r="A25" s="2" t="inlineStr">
        <is>
          <t xml:space="preserve">n.m.: not meaningful — the company runs out of cash, so the owners' return is not shown (the Results sheet keeps the arithmetic). n/a: no loan, no DSCR.</t>
        </is>
      </c>
    </row>
  </sheetData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2F75B5"/>
    <pageSetUpPr fitToPage="1"/>
  </sheetPr>
  <sheetViews>
    <sheetView workbookViewId="0" zoomScale="85">
      <pane xSplit="1" ySplit="4" topLeftCell="B5" activePane="bottomRight" state="frozen"/>
    </sheetView>
  </sheetViews>
  <sheetFormatPr defaultRowHeight="13.2"/>
  <cols>
    <col min="1" max="1" width="48" customWidth="1"/>
    <col min="2" max="2" width="18" customWidth="1"/>
    <col min="3" max="3" width="16" customWidth="1"/>
    <col min="4" max="4" width="18" customWidth="1"/>
    <col min="5" max="5" width="16" customWidth="1"/>
  </cols>
  <sheetData>
    <row r="1">
      <c r="A1" s="1" t="inlineStr">
        <is>
          <t xml:space="preserve">Sensitivities</t>
        </is>
      </c>
    </row>
    <row r="2">
      <c r="A2" s="2" t="inlineStr">
        <is>
          <t xml:space="preserve">Tornado and bid calculator of the website, as values</t>
        </is>
      </c>
    </row>
    <row r="5">
      <c r="A5" s="2" t="inlineStr">
        <is>
          <t xml:space="preserve">Computed by the website at download, with the loan re-sized for every bar (the view before financial close). Values, not formulas.</t>
        </is>
      </c>
    </row>
    <row r="6">
      <c r="A6" s="2" t="inlineStr">
        <is>
          <t xml:space="preserve">n.m.: the run runs out of cash or fails a calculation check, so its equity IRR is not meaningful. n/a: the measure does not exist (no loan, no DSCR).</t>
        </is>
      </c>
    </row>
    <row r="8">
      <c r="A8" s="5" t="inlineStr">
        <is>
          <t xml:space="preserve">Tornado: Equity IRR</t>
        </is>
      </c>
      <c r="B8" s="5"/>
      <c r="C8" s="5"/>
      <c r="D8" s="5"/>
      <c r="E8" s="5"/>
    </row>
    <row r="9">
      <c r="A9" s="17" t="inlineStr">
        <is>
          <t xml:space="preserve">Driver</t>
        </is>
      </c>
      <c r="B9" s="17" t="inlineStr">
        <is>
          <t xml:space="preserve">Low</t>
        </is>
      </c>
      <c r="C9" s="17" t="inlineStr">
        <is>
          <t xml:space="preserve">Equity IRR</t>
        </is>
      </c>
      <c r="D9" s="17" t="inlineStr">
        <is>
          <t xml:space="preserve">High</t>
        </is>
      </c>
      <c r="E9" s="17" t="inlineStr">
        <is>
          <t xml:space="preserve">Equity IRR</t>
        </is>
      </c>
    </row>
    <row r="10">
      <c r="A10" s="6" t="inlineStr">
        <is>
          <t xml:space="preserve">Long-term power price</t>
        </is>
      </c>
      <c r="B10" s="58" t="inlineStr">
        <is>
          <t xml:space="preserve">60 €/MWh</t>
        </is>
      </c>
      <c r="C10" s="48">
        <v>0.010879495517028732</v>
      </c>
      <c r="D10" s="58" t="inlineStr">
        <is>
          <t xml:space="preserve">90 €/MWh</t>
        </is>
      </c>
      <c r="E10" s="48">
        <v>0.05640827920239642</v>
      </c>
    </row>
    <row r="11">
      <c r="A11" s="6" t="inlineStr">
        <is>
          <t xml:space="preserve">Site quality</t>
        </is>
      </c>
      <c r="B11" s="58" t="inlineStr">
        <is>
          <t xml:space="preserve">60%</t>
        </is>
      </c>
      <c r="C11" s="48">
        <v>0.014953431427957145</v>
      </c>
      <c r="D11" s="58" t="inlineStr">
        <is>
          <t xml:space="preserve">76%</t>
        </is>
      </c>
      <c r="E11" s="48">
        <v>0.0469193660422297</v>
      </c>
    </row>
    <row r="12">
      <c r="A12" s="6" t="inlineStr">
        <is>
          <t xml:space="preserve">Wind capture factor</t>
        </is>
      </c>
      <c r="B12" s="58" t="inlineStr">
        <is>
          <t xml:space="preserve">0.72</t>
        </is>
      </c>
      <c r="C12" s="48">
        <v>0.016732190759603284</v>
      </c>
      <c r="D12" s="58" t="inlineStr">
        <is>
          <t xml:space="preserve">0.86</t>
        </is>
      </c>
      <c r="E12" s="48">
        <v>0.0420131765865062</v>
      </c>
    </row>
    <row r="13">
      <c r="A13" s="6" t="inlineStr">
        <is>
          <t xml:space="preserve">Capex</t>
        </is>
      </c>
      <c r="B13" s="58" t="inlineStr">
        <is>
          <t xml:space="preserve">−10%</t>
        </is>
      </c>
      <c r="C13" s="48">
        <v>0.042163910934423225</v>
      </c>
      <c r="D13" s="58" t="inlineStr">
        <is>
          <t xml:space="preserve">+10%</t>
        </is>
      </c>
      <c r="E13" s="48">
        <v>0.021874076342601217</v>
      </c>
    </row>
    <row r="14">
      <c r="A14" s="6" t="inlineStr">
        <is>
          <t xml:space="preserve">Inflation</t>
        </is>
      </c>
      <c r="B14" s="58" t="inlineStr">
        <is>
          <t xml:space="preserve">−0.5 pp</t>
        </is>
      </c>
      <c r="C14" s="48">
        <v>0.023792421993230117</v>
      </c>
      <c r="D14" s="58" t="inlineStr">
        <is>
          <t xml:space="preserve">+0.5 pp</t>
        </is>
      </c>
      <c r="E14" s="48">
        <v>0.03798765788468696</v>
      </c>
    </row>
    <row r="15">
      <c r="A15" s="6" t="inlineStr">
        <is>
          <t xml:space="preserve">Operating life</t>
        </is>
      </c>
      <c r="B15" s="58" t="inlineStr">
        <is>
          <t xml:space="preserve">25 yrs</t>
        </is>
      </c>
      <c r="C15" s="48">
        <v>0.030943933544212945</v>
      </c>
      <c r="D15" s="58" t="inlineStr">
        <is>
          <t xml:space="preserve">30 yrs</t>
        </is>
      </c>
      <c r="E15" s="48">
        <v>0.04426434672825958</v>
      </c>
    </row>
    <row r="16">
      <c r="A16" s="6" t="inlineStr">
        <is>
          <t xml:space="preserve">Land lease</t>
        </is>
      </c>
      <c r="B16" s="58" t="inlineStr">
        <is>
          <t xml:space="preserve">6%</t>
        </is>
      </c>
      <c r="C16" s="48">
        <v>0.03485235213690425</v>
      </c>
      <c r="D16" s="58" t="inlineStr">
        <is>
          <t xml:space="preserve">14%</t>
        </is>
      </c>
      <c r="E16" s="48">
        <v>0.02453852554225701</v>
      </c>
    </row>
    <row r="17">
      <c r="A17" s="6" t="inlineStr">
        <is>
          <t xml:space="preserve">Award price</t>
        </is>
      </c>
      <c r="B17" s="58" t="inlineStr">
        <is>
          <t xml:space="preserve">4.49 ct</t>
        </is>
      </c>
      <c r="C17" s="48">
        <v>0.0316588583699467</v>
      </c>
      <c r="D17" s="58" t="inlineStr">
        <is>
          <t xml:space="preserve">6.06 ct</t>
        </is>
      </c>
      <c r="E17" s="48">
        <v>0.04076882718824885</v>
      </c>
    </row>
    <row r="18">
      <c r="A18" s="6" t="inlineStr">
        <is>
          <t xml:space="preserve">Negative prices (market value adjusted)</t>
        </is>
      </c>
      <c r="B18" s="58" t="inlineStr">
        <is>
          <t xml:space="preserve">3%</t>
        </is>
      </c>
      <c r="C18" s="48">
        <v>0.0338167720685578</v>
      </c>
      <c r="D18" s="58" t="inlineStr">
        <is>
          <t xml:space="preserve">9%</t>
        </is>
      </c>
      <c r="E18" s="48">
        <v>0.025602574099711957</v>
      </c>
    </row>
    <row r="19">
      <c r="A19" s="6" t="inlineStr">
        <is>
          <t xml:space="preserve">Fixed opex</t>
        </is>
      </c>
      <c r="B19" s="58" t="inlineStr">
        <is>
          <t xml:space="preserve">−10%</t>
        </is>
      </c>
      <c r="C19" s="48">
        <v>0.03394998156250035</v>
      </c>
      <c r="D19" s="58" t="inlineStr">
        <is>
          <t xml:space="preserve">+10%</t>
        </is>
      </c>
      <c r="E19" s="48">
        <v>0.027946194386267914</v>
      </c>
    </row>
    <row r="20">
      <c r="A20" s="6" t="inlineStr">
        <is>
          <t xml:space="preserve">Interest rate</t>
        </is>
      </c>
      <c r="B20" s="58" t="inlineStr">
        <is>
          <t xml:space="preserve">4.40%</t>
        </is>
      </c>
      <c r="C20" s="48">
        <v>0.03373345323760981</v>
      </c>
      <c r="D20" s="58" t="inlineStr">
        <is>
          <t xml:space="preserve">6.05%</t>
        </is>
      </c>
      <c r="E20" s="48">
        <v>0.02928377800492849</v>
      </c>
    </row>
    <row r="21">
      <c r="A21" s="6" t="inlineStr">
        <is>
          <t xml:space="preserve">Trade-tax multiplier</t>
        </is>
      </c>
      <c r="B21" s="58" t="inlineStr">
        <is>
          <t xml:space="preserve">320%</t>
        </is>
      </c>
      <c r="C21" s="48">
        <v>0.0317274286435258</v>
      </c>
      <c r="D21" s="58" t="inlineStr">
        <is>
          <t xml:space="preserve">450%</t>
        </is>
      </c>
      <c r="E21" s="48">
        <v>0.030446381239917115</v>
      </c>
    </row>
    <row r="23">
      <c r="A23" s="5" t="inlineStr">
        <is>
          <t xml:space="preserve">Tornado: Project IRR</t>
        </is>
      </c>
      <c r="B23" s="5"/>
      <c r="C23" s="5"/>
      <c r="D23" s="5"/>
      <c r="E23" s="5"/>
    </row>
    <row r="24">
      <c r="A24" s="17" t="inlineStr">
        <is>
          <t xml:space="preserve">Driver</t>
        </is>
      </c>
      <c r="B24" s="17" t="inlineStr">
        <is>
          <t xml:space="preserve">Low</t>
        </is>
      </c>
      <c r="C24" s="17" t="inlineStr">
        <is>
          <t xml:space="preserve">Project IRR</t>
        </is>
      </c>
      <c r="D24" s="17" t="inlineStr">
        <is>
          <t xml:space="preserve">High</t>
        </is>
      </c>
      <c r="E24" s="17" t="inlineStr">
        <is>
          <t xml:space="preserve">Project IRR</t>
        </is>
      </c>
    </row>
    <row r="25">
      <c r="A25" s="6" t="inlineStr">
        <is>
          <t xml:space="preserve">Long-term power price</t>
        </is>
      </c>
      <c r="B25" s="58" t="inlineStr">
        <is>
          <t xml:space="preserve">60 €/MWh</t>
        </is>
      </c>
      <c r="C25" s="48">
        <v>0.019436767476900013</v>
      </c>
      <c r="D25" s="58" t="inlineStr">
        <is>
          <t xml:space="preserve">90 €/MWh</t>
        </is>
      </c>
      <c r="E25" s="48">
        <v>0.05543467097205391</v>
      </c>
    </row>
    <row r="26">
      <c r="A26" s="6" t="inlineStr">
        <is>
          <t xml:space="preserve">Site quality</t>
        </is>
      </c>
      <c r="B26" s="58" t="inlineStr">
        <is>
          <t xml:space="preserve">60%</t>
        </is>
      </c>
      <c r="C26" s="48">
        <v>0.024512246205440492</v>
      </c>
      <c r="D26" s="58" t="inlineStr">
        <is>
          <t xml:space="preserve">76%</t>
        </is>
      </c>
      <c r="E26" s="48">
        <v>0.048467212849527604</v>
      </c>
    </row>
    <row r="27">
      <c r="A27" s="6" t="inlineStr">
        <is>
          <t xml:space="preserve">Wind capture factor</t>
        </is>
      </c>
      <c r="B27" s="58" t="inlineStr">
        <is>
          <t xml:space="preserve">0.72</t>
        </is>
      </c>
      <c r="C27" s="48">
        <v>0.026659403910552958</v>
      </c>
      <c r="D27" s="58" t="inlineStr">
        <is>
          <t xml:space="preserve">0.86</t>
        </is>
      </c>
      <c r="E27" s="48">
        <v>0.04484835155594733</v>
      </c>
    </row>
    <row r="28">
      <c r="A28" s="6" t="inlineStr">
        <is>
          <t xml:space="preserve">Capex</t>
        </is>
      </c>
      <c r="B28" s="58" t="inlineStr">
        <is>
          <t xml:space="preserve">−10%</t>
        </is>
      </c>
      <c r="C28" s="48">
        <v>0.0452683131704816</v>
      </c>
      <c r="D28" s="58" t="inlineStr">
        <is>
          <t xml:space="preserve">+10%</t>
        </is>
      </c>
      <c r="E28" s="48">
        <v>0.02914939418459648</v>
      </c>
    </row>
    <row r="29">
      <c r="A29" s="6" t="inlineStr">
        <is>
          <t xml:space="preserve">Inflation</t>
        </is>
      </c>
      <c r="B29" s="58" t="inlineStr">
        <is>
          <t xml:space="preserve">−0.5 pp</t>
        </is>
      </c>
      <c r="C29" s="48">
        <v>0.031490943578564794</v>
      </c>
      <c r="D29" s="58" t="inlineStr">
        <is>
          <t xml:space="preserve">+0.5 pp</t>
        </is>
      </c>
      <c r="E29" s="48">
        <v>0.041837840150137674</v>
      </c>
    </row>
    <row r="30">
      <c r="A30" s="6" t="inlineStr">
        <is>
          <t xml:space="preserve">Operating life</t>
        </is>
      </c>
      <c r="B30" s="58" t="inlineStr">
        <is>
          <t xml:space="preserve">25 yrs</t>
        </is>
      </c>
      <c r="C30" s="48">
        <v>0.036673834391649465</v>
      </c>
      <c r="D30" s="58" t="inlineStr">
        <is>
          <t xml:space="preserve">30 yrs</t>
        </is>
      </c>
      <c r="E30" s="48">
        <v>0.04641083622179389</v>
      </c>
    </row>
    <row r="31">
      <c r="A31" s="6" t="inlineStr">
        <is>
          <t xml:space="preserve">Award price</t>
        </is>
      </c>
      <c r="B31" s="58" t="inlineStr">
        <is>
          <t xml:space="preserve">4.49 ct</t>
        </is>
      </c>
      <c r="C31" s="48">
        <v>0.036673834391649465</v>
      </c>
      <c r="D31" s="58" t="inlineStr">
        <is>
          <t xml:space="preserve">6.06 ct</t>
        </is>
      </c>
      <c r="E31" s="48">
        <v>0.04543348278714799</v>
      </c>
    </row>
    <row r="32">
      <c r="A32" s="6" t="inlineStr">
        <is>
          <t xml:space="preserve">Land lease</t>
        </is>
      </c>
      <c r="B32" s="58" t="inlineStr">
        <is>
          <t xml:space="preserve">6%</t>
        </is>
      </c>
      <c r="C32" s="48">
        <v>0.039596761749007746</v>
      </c>
      <c r="D32" s="58" t="inlineStr">
        <is>
          <t xml:space="preserve">14%</t>
        </is>
      </c>
      <c r="E32" s="48">
        <v>0.031400829937947454</v>
      </c>
    </row>
    <row r="33">
      <c r="A33" s="6" t="inlineStr">
        <is>
          <t xml:space="preserve">Negative prices (market value adjusted)</t>
        </is>
      </c>
      <c r="B33" s="58" t="inlineStr">
        <is>
          <t xml:space="preserve">3%</t>
        </is>
      </c>
      <c r="C33" s="48">
        <v>0.038960693171784404</v>
      </c>
      <c r="D33" s="58" t="inlineStr">
        <is>
          <t xml:space="preserve">9%</t>
        </is>
      </c>
      <c r="E33" s="48">
        <v>0.03216441361694701</v>
      </c>
    </row>
    <row r="34">
      <c r="A34" s="6" t="inlineStr">
        <is>
          <t xml:space="preserve">Fixed opex</t>
        </is>
      </c>
      <c r="B34" s="58" t="inlineStr">
        <is>
          <t xml:space="preserve">−10%</t>
        </is>
      </c>
      <c r="C34" s="48">
        <v>0.03909261387229886</v>
      </c>
      <c r="D34" s="58" t="inlineStr">
        <is>
          <t xml:space="preserve">+10%</t>
        </is>
      </c>
      <c r="E34" s="48">
        <v>0.034195388896214325</v>
      </c>
    </row>
    <row r="35">
      <c r="A35" s="6" t="inlineStr">
        <is>
          <t xml:space="preserve">Trade-tax multiplier</t>
        </is>
      </c>
      <c r="B35" s="58" t="inlineStr">
        <is>
          <t xml:space="preserve">320%</t>
        </is>
      </c>
      <c r="C35" s="48">
        <v>0.03744828681689793</v>
      </c>
      <c r="D35" s="58" t="inlineStr">
        <is>
          <t xml:space="preserve">450%</t>
        </is>
      </c>
      <c r="E35" s="48">
        <v>0.03618240252154461</v>
      </c>
    </row>
    <row r="36">
      <c r="A36" s="6" t="inlineStr">
        <is>
          <t xml:space="preserve">Interest rate</t>
        </is>
      </c>
      <c r="B36" s="58" t="inlineStr">
        <is>
          <t xml:space="preserve">4.40%</t>
        </is>
      </c>
      <c r="C36" s="48">
        <v>0.036673834391649465</v>
      </c>
      <c r="D36" s="58" t="inlineStr">
        <is>
          <t xml:space="preserve">6.05%</t>
        </is>
      </c>
      <c r="E36" s="48">
        <v>0.036673834391649465</v>
      </c>
    </row>
    <row r="38">
      <c r="A38" s="5" t="inlineStr">
        <is>
          <t xml:space="preserve">Tornado: Min DSCR</t>
        </is>
      </c>
      <c r="B38" s="5"/>
      <c r="C38" s="5"/>
      <c r="D38" s="5"/>
      <c r="E38" s="5"/>
    </row>
    <row r="39">
      <c r="A39" s="17" t="inlineStr">
        <is>
          <t xml:space="preserve">Driver</t>
        </is>
      </c>
      <c r="B39" s="17" t="inlineStr">
        <is>
          <t xml:space="preserve">Low</t>
        </is>
      </c>
      <c r="C39" s="17" t="inlineStr">
        <is>
          <t xml:space="preserve">Min DSCR</t>
        </is>
      </c>
      <c r="D39" s="17" t="inlineStr">
        <is>
          <t xml:space="preserve">High</t>
        </is>
      </c>
      <c r="E39" s="17" t="inlineStr">
        <is>
          <t xml:space="preserve">Min DSCR</t>
        </is>
      </c>
    </row>
    <row r="40">
      <c r="A40" s="6" t="inlineStr">
        <is>
          <t xml:space="preserve">Long-term power price</t>
        </is>
      </c>
      <c r="B40" s="58" t="inlineStr">
        <is>
          <t xml:space="preserve">60 €/MWh</t>
        </is>
      </c>
      <c r="C40" s="57">
        <v>1.4196490492438028</v>
      </c>
      <c r="D40" s="58" t="inlineStr">
        <is>
          <t xml:space="preserve">90 €/MWh</t>
        </is>
      </c>
      <c r="E40" s="57">
        <v>1.7959491862681831</v>
      </c>
    </row>
    <row r="41">
      <c r="A41" s="6" t="inlineStr">
        <is>
          <t xml:space="preserve">Award price</t>
        </is>
      </c>
      <c r="B41" s="58" t="inlineStr">
        <is>
          <t xml:space="preserve">4.49 ct</t>
        </is>
      </c>
      <c r="C41" s="57">
        <v>1.6040558489079997</v>
      </c>
      <c r="D41" s="58" t="inlineStr">
        <is>
          <t xml:space="preserve">6.06 ct</t>
        </is>
      </c>
      <c r="E41" s="57">
        <v>1.3229869350739574</v>
      </c>
    </row>
    <row r="42">
      <c r="A42" s="6" t="inlineStr">
        <is>
          <t xml:space="preserve">Site quality</t>
        </is>
      </c>
      <c r="B42" s="58" t="inlineStr">
        <is>
          <t xml:space="preserve">60%</t>
        </is>
      </c>
      <c r="C42" s="57">
        <v>1.4059628895247558</v>
      </c>
      <c r="D42" s="58" t="inlineStr">
        <is>
          <t xml:space="preserve">76%</t>
        </is>
      </c>
      <c r="E42" s="57">
        <v>1.6020307112530408</v>
      </c>
    </row>
    <row r="43">
      <c r="A43" s="6" t="inlineStr">
        <is>
          <t xml:space="preserve">Wind capture factor</t>
        </is>
      </c>
      <c r="B43" s="58" t="inlineStr">
        <is>
          <t xml:space="preserve">0.72</t>
        </is>
      </c>
      <c r="C43" s="57">
        <v>1.4073652124469038</v>
      </c>
      <c r="D43" s="58" t="inlineStr">
        <is>
          <t xml:space="preserve">0.86</t>
        </is>
      </c>
      <c r="E43" s="57">
        <v>1.5867870545456075</v>
      </c>
    </row>
    <row r="44">
      <c r="A44" s="6" t="inlineStr">
        <is>
          <t xml:space="preserve">Inflation</t>
        </is>
      </c>
      <c r="B44" s="58" t="inlineStr">
        <is>
          <t xml:space="preserve">−0.5 pp</t>
        </is>
      </c>
      <c r="C44" s="57">
        <v>1.4015887463313939</v>
      </c>
      <c r="D44" s="58" t="inlineStr">
        <is>
          <t xml:space="preserve">+0.5 pp</t>
        </is>
      </c>
      <c r="E44" s="57">
        <v>1.4823690409115065</v>
      </c>
    </row>
    <row r="45">
      <c r="A45" s="6" t="inlineStr">
        <is>
          <t xml:space="preserve">Land lease</t>
        </is>
      </c>
      <c r="B45" s="58" t="inlineStr">
        <is>
          <t xml:space="preserve">6%</t>
        </is>
      </c>
      <c r="C45" s="57">
        <v>1.4901330399318038</v>
      </c>
      <c r="D45" s="58" t="inlineStr">
        <is>
          <t xml:space="preserve">14%</t>
        </is>
      </c>
      <c r="E45" s="57">
        <v>1.4490341653448833</v>
      </c>
    </row>
    <row r="46">
      <c r="A46" s="6" t="inlineStr">
        <is>
          <t xml:space="preserve">Negative prices (market value adjusted)</t>
        </is>
      </c>
      <c r="B46" s="58" t="inlineStr">
        <is>
          <t xml:space="preserve">3%</t>
        </is>
      </c>
      <c r="C46" s="57">
        <v>1.4356944491117394</v>
      </c>
      <c r="D46" s="58" t="inlineStr">
        <is>
          <t xml:space="preserve">9%</t>
        </is>
      </c>
      <c r="E46" s="57">
        <v>1.4716696083145457</v>
      </c>
    </row>
    <row r="47">
      <c r="A47" s="6" t="inlineStr">
        <is>
          <t xml:space="preserve">Fixed opex</t>
        </is>
      </c>
      <c r="B47" s="58" t="inlineStr">
        <is>
          <t xml:space="preserve">−10%</t>
        </is>
      </c>
      <c r="C47" s="57">
        <v>1.4231831617404007</v>
      </c>
      <c r="D47" s="58" t="inlineStr">
        <is>
          <t xml:space="preserve">+10%</t>
        </is>
      </c>
      <c r="E47" s="57">
        <v>1.4570501500506305</v>
      </c>
    </row>
    <row r="48">
      <c r="A48" s="6" t="inlineStr">
        <is>
          <t xml:space="preserve">Capex</t>
        </is>
      </c>
      <c r="B48" s="58" t="inlineStr">
        <is>
          <t xml:space="preserve">−10%</t>
        </is>
      </c>
      <c r="C48" s="57">
        <v>1.4394651394839908</v>
      </c>
      <c r="D48" s="58" t="inlineStr">
        <is>
          <t xml:space="preserve">+10%</t>
        </is>
      </c>
      <c r="E48" s="57">
        <v>1.4394651394839908</v>
      </c>
    </row>
    <row r="49">
      <c r="A49" s="6" t="inlineStr">
        <is>
          <t xml:space="preserve">Interest rate</t>
        </is>
      </c>
      <c r="B49" s="58" t="inlineStr">
        <is>
          <t xml:space="preserve">4.40%</t>
        </is>
      </c>
      <c r="C49" s="57">
        <v>1.4394651394839908</v>
      </c>
      <c r="D49" s="58" t="inlineStr">
        <is>
          <t xml:space="preserve">6.05%</t>
        </is>
      </c>
      <c r="E49" s="57">
        <v>1.4394651394839908</v>
      </c>
    </row>
    <row r="50">
      <c r="A50" s="6" t="inlineStr">
        <is>
          <t xml:space="preserve">Trade-tax multiplier</t>
        </is>
      </c>
      <c r="B50" s="58" t="inlineStr">
        <is>
          <t xml:space="preserve">320%</t>
        </is>
      </c>
      <c r="C50" s="57">
        <v>1.4394651394839908</v>
      </c>
      <c r="D50" s="58" t="inlineStr">
        <is>
          <t xml:space="preserve">450%</t>
        </is>
      </c>
      <c r="E50" s="57">
        <v>1.4394651394839908</v>
      </c>
    </row>
    <row r="51">
      <c r="A51" s="6" t="inlineStr">
        <is>
          <t xml:space="preserve">Operating life</t>
        </is>
      </c>
      <c r="B51" s="58" t="inlineStr">
        <is>
          <t xml:space="preserve">25 yrs</t>
        </is>
      </c>
      <c r="C51" s="57">
        <v>1.4394651394839908</v>
      </c>
      <c r="D51" s="58" t="inlineStr">
        <is>
          <t xml:space="preserve">30 yrs</t>
        </is>
      </c>
      <c r="E51" s="57">
        <v>1.4394651394839908</v>
      </c>
    </row>
    <row r="53">
      <c r="A53" s="5" t="inlineStr">
        <is>
          <t xml:space="preserve">Tornado: LCOE (ct/kWh)</t>
        </is>
      </c>
      <c r="B53" s="5"/>
      <c r="C53" s="5"/>
      <c r="D53" s="5"/>
      <c r="E53" s="5"/>
    </row>
    <row r="54">
      <c r="A54" s="17" t="inlineStr">
        <is>
          <t xml:space="preserve">Driver</t>
        </is>
      </c>
      <c r="B54" s="17" t="inlineStr">
        <is>
          <t xml:space="preserve">Low</t>
        </is>
      </c>
      <c r="C54" s="17" t="inlineStr">
        <is>
          <t xml:space="preserve">LCOE (ct/kWh)</t>
        </is>
      </c>
      <c r="D54" s="17" t="inlineStr">
        <is>
          <t xml:space="preserve">High</t>
        </is>
      </c>
      <c r="E54" s="17" t="inlineStr">
        <is>
          <t xml:space="preserve">LCOE (ct/kWh)</t>
        </is>
      </c>
    </row>
    <row r="55">
      <c r="A55" s="6" t="inlineStr">
        <is>
          <t xml:space="preserve">Site quality</t>
        </is>
      </c>
      <c r="B55" s="58" t="inlineStr">
        <is>
          <t xml:space="preserve">60%</t>
        </is>
      </c>
      <c r="C55" s="55">
        <v>8.046927978498713</v>
      </c>
      <c r="D55" s="58" t="inlineStr">
        <is>
          <t xml:space="preserve">76%</t>
        </is>
      </c>
      <c r="E55" s="55">
        <v>6.5945742162919085</v>
      </c>
    </row>
    <row r="56">
      <c r="A56" s="6" t="inlineStr">
        <is>
          <t xml:space="preserve">Capex</t>
        </is>
      </c>
      <c r="B56" s="58" t="inlineStr">
        <is>
          <t xml:space="preserve">−10%</t>
        </is>
      </c>
      <c r="C56" s="55">
        <v>6.755244962100902</v>
      </c>
      <c r="D56" s="58" t="inlineStr">
        <is>
          <t xml:space="preserve">+10%</t>
        </is>
      </c>
      <c r="E56" s="55">
        <v>7.74949574813162</v>
      </c>
    </row>
    <row r="57">
      <c r="A57" s="6" t="inlineStr">
        <is>
          <t xml:space="preserve">Operating life</t>
        </is>
      </c>
      <c r="B57" s="58" t="inlineStr">
        <is>
          <t xml:space="preserve">25 yrs</t>
        </is>
      </c>
      <c r="C57" s="55">
        <v>7.25237035511626</v>
      </c>
      <c r="D57" s="58" t="inlineStr">
        <is>
          <t xml:space="preserve">30 yrs</t>
        </is>
      </c>
      <c r="E57" s="55">
        <v>6.777949474594536</v>
      </c>
    </row>
    <row r="58">
      <c r="A58" s="6" t="inlineStr">
        <is>
          <t xml:space="preserve">Negative prices (market value adjusted)</t>
        </is>
      </c>
      <c r="B58" s="58" t="inlineStr">
        <is>
          <t xml:space="preserve">3%</t>
        </is>
      </c>
      <c r="C58" s="55">
        <v>7.12011738427082</v>
      </c>
      <c r="D58" s="58" t="inlineStr">
        <is>
          <t xml:space="preserve">9%</t>
        </is>
      </c>
      <c r="E58" s="55">
        <v>7.523792176888125</v>
      </c>
    </row>
    <row r="59">
      <c r="A59" s="6" t="inlineStr">
        <is>
          <t xml:space="preserve">Land lease</t>
        </is>
      </c>
      <c r="B59" s="58" t="inlineStr">
        <is>
          <t xml:space="preserve">6%</t>
        </is>
      </c>
      <c r="C59" s="55">
        <v>7.104073339300496</v>
      </c>
      <c r="D59" s="58" t="inlineStr">
        <is>
          <t xml:space="preserve">14%</t>
        </is>
      </c>
      <c r="E59" s="55">
        <v>7.507610862761226</v>
      </c>
    </row>
    <row r="60">
      <c r="A60" s="6" t="inlineStr">
        <is>
          <t xml:space="preserve">Long-term power price</t>
        </is>
      </c>
      <c r="B60" s="58" t="inlineStr">
        <is>
          <t xml:space="preserve">60 €/MWh</t>
        </is>
      </c>
      <c r="C60" s="55">
        <v>7.080872457408816</v>
      </c>
      <c r="D60" s="58" t="inlineStr">
        <is>
          <t xml:space="preserve">90 €/MWh</t>
        </is>
      </c>
      <c r="E60" s="55">
        <v>7.366960480074565</v>
      </c>
    </row>
    <row r="61">
      <c r="A61" s="6" t="inlineStr">
        <is>
          <t xml:space="preserve">Fixed opex</t>
        </is>
      </c>
      <c r="B61" s="58" t="inlineStr">
        <is>
          <t xml:space="preserve">−10%</t>
        </is>
      </c>
      <c r="C61" s="55">
        <v>7.1310389792432245</v>
      </c>
      <c r="D61" s="58" t="inlineStr">
        <is>
          <t xml:space="preserve">+10%</t>
        </is>
      </c>
      <c r="E61" s="55">
        <v>7.373701730989299</v>
      </c>
    </row>
    <row r="62">
      <c r="A62" s="6" t="inlineStr">
        <is>
          <t xml:space="preserve">Wind capture factor</t>
        </is>
      </c>
      <c r="B62" s="58" t="inlineStr">
        <is>
          <t xml:space="preserve">0.72</t>
        </is>
      </c>
      <c r="C62" s="55">
        <v>7.1446506998810655</v>
      </c>
      <c r="D62" s="58" t="inlineStr">
        <is>
          <t xml:space="preserve">0.86</t>
        </is>
      </c>
      <c r="E62" s="55">
        <v>7.300227950299691</v>
      </c>
    </row>
    <row r="63">
      <c r="A63" s="6" t="inlineStr">
        <is>
          <t xml:space="preserve">Inflation</t>
        </is>
      </c>
      <c r="B63" s="58" t="inlineStr">
        <is>
          <t xml:space="preserve">−0.5 pp</t>
        </is>
      </c>
      <c r="C63" s="55">
        <v>7.303161104286331</v>
      </c>
      <c r="D63" s="58" t="inlineStr">
        <is>
          <t xml:space="preserve">+0.5 pp</t>
        </is>
      </c>
      <c r="E63" s="55">
        <v>7.202931402163121</v>
      </c>
    </row>
    <row r="64">
      <c r="A64" s="6" t="inlineStr">
        <is>
          <t xml:space="preserve">Award price</t>
        </is>
      </c>
      <c r="B64" s="58" t="inlineStr">
        <is>
          <t xml:space="preserve">4.49 ct</t>
        </is>
      </c>
      <c r="C64" s="55">
        <v>7.25237035511626</v>
      </c>
      <c r="D64" s="58" t="inlineStr">
        <is>
          <t xml:space="preserve">6.06 ct</t>
        </is>
      </c>
      <c r="E64" s="55">
        <v>7.190513144673316</v>
      </c>
    </row>
    <row r="65">
      <c r="A65" s="6" t="inlineStr">
        <is>
          <t xml:space="preserve">Interest rate</t>
        </is>
      </c>
      <c r="B65" s="58" t="inlineStr">
        <is>
          <t xml:space="preserve">4.40%</t>
        </is>
      </c>
      <c r="C65" s="55">
        <v>7.25237035511626</v>
      </c>
      <c r="D65" s="58" t="inlineStr">
        <is>
          <t xml:space="preserve">6.05%</t>
        </is>
      </c>
      <c r="E65" s="55">
        <v>7.25237035511626</v>
      </c>
    </row>
    <row r="66">
      <c r="A66" s="6" t="inlineStr">
        <is>
          <t xml:space="preserve">Trade-tax multiplier</t>
        </is>
      </c>
      <c r="B66" s="58" t="inlineStr">
        <is>
          <t xml:space="preserve">320%</t>
        </is>
      </c>
      <c r="C66" s="55">
        <v>7.25237035511626</v>
      </c>
      <c r="D66" s="58" t="inlineStr">
        <is>
          <t xml:space="preserve">450%</t>
        </is>
      </c>
      <c r="E66" s="55">
        <v>7.25237035511626</v>
      </c>
    </row>
    <row r="68">
      <c r="A68" s="5" t="inlineStr">
        <is>
          <t xml:space="preserve">Bid calculator</t>
        </is>
      </c>
      <c r="B68" s="5"/>
      <c r="C68" s="5"/>
      <c r="D68" s="5"/>
      <c r="E68" s="5"/>
    </row>
    <row r="69">
      <c r="A69" s="17"/>
      <c r="B69" s="17" t="inlineStr">
        <is>
          <t xml:space="preserve">Value</t>
        </is>
      </c>
    </row>
    <row r="70">
      <c r="A70" s="6" t="inlineStr">
        <is>
          <t xml:space="preserve">Target equity IRR</t>
        </is>
      </c>
      <c r="B70" s="48">
        <v>0.08</v>
      </c>
    </row>
    <row r="71">
      <c r="A71" s="6" t="inlineStr">
        <is>
          <t xml:space="preserve">Lowest bid that reaches the target return (ct/kWh, two decimals as in a bid)</t>
        </is>
      </c>
      <c r="B71" s="55">
        <v>7.41</v>
      </c>
    </row>
    <row r="72">
      <c r="A72" s="6" t="inlineStr">
        <is>
          <t xml:space="preserve">Lowest financeable bid: funded, covenant met, award valid (ct/kWh)</t>
        </is>
      </c>
      <c r="B72" s="55">
        <v>7.41</v>
      </c>
    </row>
    <row r="73">
      <c r="A73" s="6" t="inlineStr">
        <is>
          <t xml:space="preserve">AW at the financeable bid (ct/kWh)</t>
        </is>
      </c>
      <c r="B73" s="55">
        <v>9.75</v>
      </c>
    </row>
    <row r="74">
      <c r="A74" s="6" t="inlineStr">
        <is>
          <t xml:space="preserve">Equity IRR at the financeable bid</t>
        </is>
      </c>
      <c r="B74" s="48">
        <v>0.08018711775747764</v>
      </c>
    </row>
    <row r="75">
      <c r="A75" s="6" t="inlineStr">
        <is>
          <t xml:space="preserve">Within the tender ceiling</t>
        </is>
      </c>
      <c r="B75" s="58" t="inlineStr">
        <is>
          <t xml:space="preserve">no</t>
        </is>
      </c>
    </row>
    <row r="76">
      <c r="A76" s="6" t="inlineStr">
        <is>
          <t xml:space="preserve">Tender ceiling of the inputs (ct/kWh)</t>
        </is>
      </c>
      <c r="B76" s="55">
        <v>7.25</v>
      </c>
    </row>
    <row r="77">
      <c r="A77" s="6" t="inlineStr">
        <is>
          <t xml:space="preserve">Search</t>
        </is>
      </c>
      <c r="B77" s="58" t="inlineStr">
        <is>
          <t xml:space="preserve">grid of 0.25 ct, then bisection inside the first step that qualifies; the answer is the lowest two-decimal price that qualifies, re-run at that price (searched up to 15 ct)</t>
        </is>
      </c>
    </row>
    <row r="79">
      <c r="A79" s="5" t="inlineStr">
        <is>
          <t xml:space="preserve">Equity IRR by award price (loan re-sized; n.m.: the case runs out of cash)</t>
        </is>
      </c>
      <c r="B79" s="5"/>
      <c r="C79" s="5"/>
      <c r="D79" s="5"/>
      <c r="E79" s="5"/>
    </row>
    <row r="80">
      <c r="A80" s="17" t="inlineStr">
        <is>
          <t xml:space="preserve">Award price (ct/kWh)</t>
        </is>
      </c>
      <c r="B80" s="17" t="inlineStr">
        <is>
          <t xml:space="preserve">Equity IRR</t>
        </is>
      </c>
    </row>
    <row r="81">
      <c r="A81" s="55">
        <v>3</v>
      </c>
      <c r="B81" s="48">
        <v>0.035930114279281</v>
      </c>
    </row>
    <row r="82">
      <c r="A82" s="55">
        <v>3.25</v>
      </c>
      <c r="B82" s="48">
        <v>0.035233424721691296</v>
      </c>
    </row>
    <row r="83">
      <c r="A83" s="55">
        <v>3.5</v>
      </c>
      <c r="B83" s="48">
        <v>0.03447471515270985</v>
      </c>
    </row>
    <row r="84">
      <c r="A84" s="55">
        <v>3.75</v>
      </c>
      <c r="B84" s="48">
        <v>0.03365234820145811</v>
      </c>
    </row>
    <row r="85">
      <c r="A85" s="55">
        <v>4</v>
      </c>
      <c r="B85" s="48">
        <v>0.032877952439112006</v>
      </c>
    </row>
    <row r="86">
      <c r="A86" s="55">
        <v>4.25</v>
      </c>
      <c r="B86" s="48">
        <v>0.03221563758702353</v>
      </c>
    </row>
    <row r="87">
      <c r="A87" s="55">
        <v>4.5</v>
      </c>
      <c r="B87" s="48">
        <v>0.03164091782057762</v>
      </c>
    </row>
    <row r="88">
      <c r="A88" s="55">
        <v>4.75</v>
      </c>
      <c r="B88" s="48">
        <v>0.031033381394327035</v>
      </c>
    </row>
    <row r="89">
      <c r="A89" s="55">
        <v>5</v>
      </c>
      <c r="B89" s="48">
        <v>0.03081625942369095</v>
      </c>
    </row>
    <row r="90">
      <c r="A90" s="55">
        <v>5.25</v>
      </c>
      <c r="B90" s="48">
        <v>0.031430171231067956</v>
      </c>
    </row>
    <row r="91">
      <c r="A91" s="55">
        <v>5.5</v>
      </c>
      <c r="B91" s="48">
        <v>0.03316135057600144</v>
      </c>
    </row>
    <row r="92">
      <c r="A92" s="55">
        <v>5.75</v>
      </c>
      <c r="B92" s="48">
        <v>0.03589823681129013</v>
      </c>
    </row>
    <row r="93">
      <c r="A93" s="55">
        <v>6</v>
      </c>
      <c r="B93" s="48">
        <v>0.03956506139666995</v>
      </c>
    </row>
    <row r="94">
      <c r="A94" s="55">
        <v>6.25</v>
      </c>
      <c r="B94" s="48">
        <v>0.04464061730529461</v>
      </c>
    </row>
    <row r="95">
      <c r="A95" s="55">
        <v>6.5</v>
      </c>
      <c r="B95" s="48">
        <v>0.05042558854084744</v>
      </c>
    </row>
    <row r="96">
      <c r="A96" s="55">
        <v>6.75</v>
      </c>
      <c r="B96" s="48">
        <v>0.057383921088648975</v>
      </c>
    </row>
    <row r="97">
      <c r="A97" s="55">
        <v>7</v>
      </c>
      <c r="B97" s="48">
        <v>0.06527917968803193</v>
      </c>
    </row>
    <row r="98">
      <c r="A98" s="55">
        <v>7.25</v>
      </c>
      <c r="B98" s="48">
        <v>0.07411367210635034</v>
      </c>
    </row>
    <row r="99">
      <c r="A99" s="55">
        <v>7.5</v>
      </c>
      <c r="B99" s="48">
        <v>0.0838443686345545</v>
      </c>
    </row>
    <row r="100">
      <c r="A100" s="55">
        <v>7.75</v>
      </c>
      <c r="B100" s="48">
        <v>0.09471772875792342</v>
      </c>
    </row>
    <row r="101">
      <c r="A101" s="55">
        <v>8</v>
      </c>
      <c r="B101" s="48">
        <v>0.10713163886360233</v>
      </c>
    </row>
    <row r="102">
      <c r="A102" s="55">
        <v>8.25</v>
      </c>
      <c r="B102" s="48">
        <v>0.12153202126052753</v>
      </c>
    </row>
    <row r="103">
      <c r="A103" s="55">
        <v>8.5</v>
      </c>
      <c r="B103" s="48">
        <v>0.13860191854840198</v>
      </c>
    </row>
    <row r="104">
      <c r="A104" s="55">
        <v>8.75</v>
      </c>
      <c r="B104" s="48">
        <v>0.15916382762547984</v>
      </c>
    </row>
    <row r="105">
      <c r="A105" s="55">
        <v>9</v>
      </c>
      <c r="B105" s="48">
        <v>0.17444978457725488</v>
      </c>
    </row>
    <row r="106">
      <c r="A106" s="55">
        <v>9.25</v>
      </c>
      <c r="B106" s="48">
        <v>0.18765632824174655</v>
      </c>
    </row>
    <row r="107">
      <c r="A107" s="55">
        <v>9.5</v>
      </c>
      <c r="B107" s="48">
        <v>0.2008504876006465</v>
      </c>
    </row>
    <row r="108">
      <c r="A108" s="55">
        <v>9.75</v>
      </c>
      <c r="B108" s="48">
        <v>0.2140098754655902</v>
      </c>
    </row>
    <row r="109">
      <c r="A109" s="55">
        <v>10</v>
      </c>
      <c r="B109" s="48">
        <v>0.2271153664324357</v>
      </c>
    </row>
    <row r="111">
      <c r="A111" s="2" t="inlineStr">
        <is>
          <t xml:space="preserve">Drivers and ranges: Site quality 60% / 76%; Long-term power price 60 €/MWh / 90 €/MWh; Wind capture factor 0.72 / 0.86; Award price 4.49 ct / 6.06 ct; Capex −10% / +10%; Fixed opex −10% / +10%; Interest rate 4.40% / 6.05%; Inflation −0.5 pp / +0.5 pp; Negative prices (market value adjusted) 3% / 9%; Land lease 6% / 14%; Trade-tax multiplier 320% / 450%; Operating life 25 yrs / 30 yrs.</t>
        </is>
      </c>
    </row>
  </sheetData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85">
      <pane xSplit="1" ySplit="5" topLeftCell="B6" activePane="bottomRight" state="frozen"/>
    </sheetView>
  </sheetViews>
  <sheetFormatPr defaultRowHeight="13.2"/>
  <cols>
    <col min="1" max="1" width="26" customWidth="1"/>
    <col min="2" max="2" width="90" customWidth="1"/>
    <col min="3" max="3" width="70" customWidth="1"/>
    <col min="4" max="4" width="12" customWidth="1"/>
  </cols>
  <sheetData>
    <row r="1">
      <c r="A1" s="1" t="inlineStr">
        <is>
          <t xml:space="preserve">Sources</t>
        </is>
      </c>
    </row>
    <row r="2">
      <c r="A2" s="2" t="inlineStr">
        <is>
          <t xml:space="preserve">Public sources behind the inputs</t>
        </is>
      </c>
    </row>
    <row r="5">
      <c r="A5" s="17" t="inlineStr">
        <is>
          <t xml:space="preserve">Key</t>
        </is>
      </c>
      <c r="B5" s="17" t="inlineStr">
        <is>
          <t xml:space="preserve">Source</t>
        </is>
      </c>
      <c r="C5" s="17" t="inlineStr">
        <is>
          <t xml:space="preserve">Link</t>
        </is>
      </c>
      <c r="D5" s="17" t="inlineStr">
        <is>
          <t xml:space="preserve">Date</t>
        </is>
      </c>
    </row>
    <row r="6">
      <c r="A6" s="4" t="inlineStr">
        <is>
          <t xml:space="preserve">bnetza2608</t>
        </is>
      </c>
      <c r="B6" s="4" t="inlineStr">
        <is>
          <t xml:space="preserve">Bundesnetzagentur: onshore wind tender of 1 Aug 2026</t>
        </is>
      </c>
      <c r="C6" s="4" t="inlineStr">
        <is>
          <t xml:space="preserve">https://www.bundesnetzagentur.de/SharedDocs/Pressemitteilungen/DE/2026/20260917_Wind.html</t>
        </is>
      </c>
      <c r="D6" s="4" t="inlineStr">
        <is>
          <t xml:space="preserve">2026-09-17</t>
        </is>
      </c>
    </row>
    <row r="7">
      <c r="A7" s="4" t="inlineStr">
        <is>
          <t xml:space="preserve">bnetzaCeiling2026</t>
        </is>
      </c>
      <c r="B7" s="4" t="inlineStr">
        <is>
          <t xml:space="preserve">Bundesnetzagentur: ceiling prices 2026</t>
        </is>
      </c>
      <c r="C7" s="4" t="inlineStr">
        <is>
          <t xml:space="preserve">https://www.bundesnetzagentur.de/SharedDocs/Pressemitteilungen/DE/2025/20251216_Hoechstwerte.html</t>
        </is>
      </c>
      <c r="D7" s="4" t="inlineStr">
        <is>
          <t xml:space="preserve">2025-12-16</t>
        </is>
      </c>
    </row>
    <row r="8">
      <c r="A8" s="4" t="inlineStr">
        <is>
          <t xml:space="preserve">eeg</t>
        </is>
      </c>
      <c r="B8" s="4" t="inlineStr">
        <is>
          <t xml:space="preserve">Erneuerbare-Energien-Gesetz (EEG 2023), consolidated text</t>
        </is>
      </c>
      <c r="C8" s="4" t="inlineStr">
        <is>
          <t xml:space="preserve">https://www.gesetze-im-internet.de/eeg_2014/</t>
        </is>
      </c>
      <c r="D8" s="4" t="inlineStr">
        <is>
          <t xml:space="preserve">2025-12-18</t>
        </is>
      </c>
    </row>
    <row r="9">
      <c r="A9" s="4" t="inlineStr">
        <is>
          <t xml:space="preserve">eegAwardDeadlines</t>
        </is>
      </c>
      <c r="B9" s="4" t="inlineStr">
        <is>
          <t xml:space="preserve">EEG §§ 36e, 36i, 55: award lapses 36 months after its announcement; penalty after 30 months</t>
        </is>
      </c>
      <c r="C9" s="4" t="inlineStr">
        <is>
          <t xml:space="preserve">https://www.gesetze-im-internet.de/eeg_2014/__36e.html</t>
        </is>
      </c>
      <c r="D9" s="4" t="inlineStr">
        <is>
          <t xml:space="preserve">2025-12-18</t>
        </is>
      </c>
    </row>
    <row r="10">
      <c r="A10" s="4" t="inlineStr">
        <is>
          <t xml:space="preserve">eegSettlement</t>
        </is>
      </c>
      <c r="B10" s="4" t="inlineStr">
        <is>
          <t xml:space="preserve">EEG § 26: monthly advances, may use the previous year's market value; final settlement next year</t>
        </is>
      </c>
      <c r="C10" s="4" t="inlineStr">
        <is>
          <t xml:space="preserve">https://www.gesetze-im-internet.de/eeg_2014/__26.html</t>
        </is>
      </c>
      <c r="D10" s="4" t="inlineStr">
        <is>
          <t xml:space="preserve">2025-12-18</t>
        </is>
      </c>
    </row>
    <row r="11">
      <c r="A11" s="4" t="inlineStr">
        <is>
          <t xml:space="preserve">windguardCost2025</t>
        </is>
      </c>
      <c r="B11" s="4" t="inlineStr">
        <is>
          <t xml:space="preserve">Deutsche WindGuard: Kostensituation der Windenergie an Land – Stand 2025</t>
        </is>
      </c>
      <c r="C11" s="4" t="inlineStr">
        <is>
          <t xml:space="preserve">https://www.windguard.de/files/cto_layout/img/unternehmen/veroeffentlichungen/2025/Kostensituation%20der%20Windenergie%20an%20Land%20%E2%80%93%20Stand%202025.pdf</t>
        </is>
      </c>
      <c r="D11" s="4" t="inlineStr">
        <is>
          <t xml:space="preserve">2025-12-02</t>
        </is>
      </c>
    </row>
    <row r="12">
      <c r="A12" s="4" t="inlineStr">
        <is>
          <t xml:space="preserve">fawsSiteQuality</t>
        </is>
      </c>
      <c r="B12" s="4" t="inlineStr">
        <is>
          <t xml:space="preserve">Fachagentur Wind und Solar: site quality of turbines with a tender award</t>
        </is>
      </c>
      <c r="C12" s="4" t="inlineStr">
        <is>
          <t xml:space="preserve">https://www.fachagentur-wind-solar.de/fileadmin/Veroeffentlichungen/Wind/Analysen/FA_Wind_Solar_Guetefaktoren_WEA_mit_Ausschreibungszuschlag.pdf</t>
        </is>
      </c>
      <c r="D12" s="4" t="inlineStr">
        <is>
          <t xml:space="preserve">2025-06-30</t>
        </is>
      </c>
    </row>
    <row r="13">
      <c r="A13" s="4" t="inlineStr">
        <is>
          <t xml:space="preserve">fawsStatusH1</t>
        </is>
      </c>
      <c r="B13" s="4" t="inlineStr">
        <is>
          <t xml:space="preserve">Fachagentur Wind und Solar: Status des Windenergieausbaus an Land, H1 2026</t>
        </is>
      </c>
      <c r="C13" s="4" t="inlineStr">
        <is>
          <t xml:space="preserve">https://www.fachagentur-wind-solar.de/fileadmin/Veroeffentlichungen/Wind/Daten/FA_Wind_Solar_Status_des_Windenergieausbaus_an_Land_Halbjahr_2026.pdf</t>
        </is>
      </c>
      <c r="D13" s="4" t="inlineStr">
        <is>
          <t xml:space="preserve">2026-07-23</t>
        </is>
      </c>
    </row>
    <row r="14">
      <c r="A14" s="4" t="inlineStr">
        <is>
          <t xml:space="preserve">kfw270</t>
        </is>
      </c>
      <c r="B14" s="4" t="inlineStr">
        <is>
          <t xml:space="preserve">KfW programme 270 – rate sheet (price class A, 20 years, 3 grace years)</t>
        </is>
      </c>
      <c r="C14" s="4" t="inlineStr">
        <is>
          <t xml:space="preserve">https://www.kfw-formularsammlung.de/KonditionenanzeigerINet/KonditionenAnzeiger?ProgrammNameNr=270</t>
        </is>
      </c>
      <c r="D14" s="4" t="inlineStr">
        <is>
          <t xml:space="preserve">2026-09-29</t>
        </is>
      </c>
    </row>
    <row r="15">
      <c r="A15" s="4" t="inlineStr">
        <is>
          <t xml:space="preserve">kfw270Merkblatt</t>
        </is>
      </c>
      <c r="B15" s="4" t="inlineStr">
        <is>
          <t xml:space="preserve">KfW Merkblatt 270 (05/2025): quarterly equal instalments, grace years, drawdown period, commitment fee</t>
        </is>
      </c>
      <c r="C15" s="4" t="inlineStr">
        <is>
          <t xml:space="preserve">https://www.kfw.de/PDF/Download-Center/F%C3%B6rderprogramme-%28Inlandsf%C3%B6rderung%29/PDF-Dokumente/6000000178_M_270_EE-Standard.pdf</t>
        </is>
      </c>
      <c r="D15" s="4" t="inlineStr">
        <is>
          <t xml:space="preserve">2025-05-01</t>
        </is>
      </c>
    </row>
    <row r="16">
      <c r="A16" s="4" t="inlineStr">
        <is>
          <t xml:space="preserve">netztransparenzMarketValues</t>
        </is>
      </c>
      <c r="B16" s="4" t="inlineStr">
        <is>
          <t xml:space="preserve">Netztransparenz: annual market values (JW) Wind an Land</t>
        </is>
      </c>
      <c r="C16" s="4" t="inlineStr">
        <is>
          <t xml:space="preserve">https://www.netztransparenz.de/de-de/Erneuerbare-Energien-und-Umlagen/EEG/Transparenzanforderungen/Marktpr%C3%A4mie/Marktwert%C3%BCbersicht</t>
        </is>
      </c>
      <c r="D16" s="4" t="inlineStr">
        <is>
          <t xml:space="preserve">2026-09-30</t>
        </is>
      </c>
    </row>
    <row r="17">
      <c r="A17" s="4" t="inlineStr">
        <is>
          <t xml:space="preserve">futures</t>
        </is>
      </c>
      <c r="B17" s="4" t="inlineStr">
        <is>
          <t xml:space="preserve">EEX Phelix-DE baseload futures Cal-27 and Cal-28 (via Tacto, 25 Sep 2026)</t>
        </is>
      </c>
      <c r="C17" s="4" t="inlineStr">
        <is>
          <t xml:space="preserve">https://www.tacto.ai/en/energy/electricity-price</t>
        </is>
      </c>
      <c r="D17" s="4" t="inlineStr">
        <is>
          <t xml:space="preserve">2026-09-25</t>
        </is>
      </c>
    </row>
    <row r="18">
      <c r="A18" s="4" t="inlineStr">
        <is>
          <t xml:space="preserve">bundesbank</t>
        </is>
      </c>
      <c r="B18" s="4" t="inlineStr">
        <is>
          <t xml:space="preserve">Deutsche Bundesbank: macroeconomic projections, June 2026</t>
        </is>
      </c>
      <c r="C18" s="4" t="inlineStr">
        <is>
          <t xml:space="preserve">https://publikationen.bundesbank.de/content/998836</t>
        </is>
      </c>
      <c r="D18" s="4" t="inlineStr">
        <is>
          <t xml:space="preserve">2026-06-12</t>
        </is>
      </c>
    </row>
    <row r="19">
      <c r="A19" s="4" t="inlineStr">
        <is>
          <t xml:space="preserve">ise2024</t>
        </is>
      </c>
      <c r="B19" s="4" t="inlineStr">
        <is>
          <t xml:space="preserve">Fraunhofer ISE: Stromgestehungskosten Erneuerbare Energien (July 2024)</t>
        </is>
      </c>
      <c r="C19" s="4" t="inlineStr">
        <is>
          <t xml:space="preserve">https://www.ise.fraunhofer.de/content/dam/ise/de/documents/publications/studies/DE2024_ISE_Studie_Stromgestehungskosten_Erneuerbare_Energien.pdf</t>
        </is>
      </c>
      <c r="D19" s="4" t="inlineStr">
        <is>
          <t xml:space="preserve">2024-07-01</t>
        </is>
      </c>
    </row>
    <row r="20">
      <c r="A20" s="4" t="inlineStr">
        <is>
          <t xml:space="preserve">gewstg</t>
        </is>
      </c>
      <c r="B20" s="4" t="inlineStr">
        <is>
          <t xml:space="preserve">Gewerbesteuergesetz</t>
        </is>
      </c>
      <c r="C20" s="4" t="inlineStr">
        <is>
          <t xml:space="preserve">https://www.gesetze-im-internet.de/gewstg/</t>
        </is>
      </c>
      <c r="D20" s="4" t="inlineStr">
        <is>
          <t xml:space="preserve">2026-06-29</t>
        </is>
      </c>
    </row>
    <row r="21">
      <c r="A21" s="4" t="inlineStr">
        <is>
          <t xml:space="preserve">kstg</t>
        </is>
      </c>
      <c r="B21" s="4" t="inlineStr">
        <is>
          <t xml:space="preserve">Körperschaftsteuergesetz § 23</t>
        </is>
      </c>
      <c r="C21" s="4" t="inlineStr">
        <is>
          <t xml:space="preserve">https://www.gesetze-im-internet.de/kstg_1977/__23.html</t>
        </is>
      </c>
      <c r="D21" s="4" t="inlineStr">
        <is>
          <t xml:space="preserve">2026-02-04</t>
        </is>
      </c>
    </row>
    <row r="22">
      <c r="A22" s="4" t="inlineStr">
        <is>
          <t xml:space="preserve">bfhWindPark</t>
        </is>
      </c>
      <c r="B22" s="4" t="inlineStr">
        <is>
          <t xml:space="preserve">BFH IV R 46/09 (14 Apr 2011): wind-park assets depreciated over 16 years</t>
        </is>
      </c>
      <c r="C22" s="4" t="inlineStr">
        <is>
          <t xml:space="preserve">https://www.bundesfinanzhof.de/en/entscheidungen/entscheidungen-online/decision-detail/STRE201110124/</t>
        </is>
      </c>
      <c r="D22" s="4" t="inlineStr">
        <is>
          <t xml:space="preserve">2011-04-14</t>
        </is>
      </c>
    </row>
    <row r="23">
      <c r="A23" s="4" t="inlineStr">
        <is>
          <t xml:space="preserve">estg</t>
        </is>
      </c>
      <c r="B23" s="4" t="inlineStr">
        <is>
          <t xml:space="preserve">Einkommensteuergesetz §§ 6, 7, 10d (provisions, depreciation, loss offset)</t>
        </is>
      </c>
      <c r="C23" s="4" t="inlineStr">
        <is>
          <t xml:space="preserve">https://www.gesetze-im-internet.de/estg/</t>
        </is>
      </c>
      <c r="D23" s="4" t="inlineStr">
        <is>
          <t xml:space="preserve">2026-06-29</t>
        </is>
      </c>
    </row>
    <row r="24">
      <c r="A24" s="4" t="inlineStr">
        <is>
          <t xml:space="preserve">smard</t>
        </is>
      </c>
      <c r="B24" s="4" t="inlineStr">
        <is>
          <t xml:space="preserve">SMARD (Bundesnetzagentur): negative day-ahead prices 2023–2025</t>
        </is>
      </c>
      <c r="C24" s="4" t="inlineStr">
        <is>
          <t xml:space="preserve">https://www.smard.de/page/en/topic-article/217400/219038/record-high-for-solar-generation-in-each-quarter</t>
        </is>
      </c>
      <c r="D24" s="4" t="inlineStr">
        <is>
          <t xml:space="preserve">2026-01-05</t>
        </is>
      </c>
    </row>
    <row r="25">
      <c r="A25" s="4" t="inlineStr">
        <is>
          <t xml:space="preserve">leeFullLoad</t>
        </is>
      </c>
      <c r="B25" s="4" t="inlineStr">
        <is>
          <t xml:space="preserve">Deutsche WindGuard for LEE NRW: full-load hours of onshore turbines (availability, losses)</t>
        </is>
      </c>
      <c r="C25" s="4" t="inlineStr">
        <is>
          <t xml:space="preserve">https://www.lee-nrw.de/data/documents/2026/05/27/1135-6a16aed9d0bed.pdf</t>
        </is>
      </c>
      <c r="D25" s="4" t="inlineStr">
        <is>
          <t xml:space="preserve">2026-05-27</t>
        </is>
      </c>
    </row>
    <row r="26">
      <c r="A26" s="4" t="inlineStr">
        <is>
          <t xml:space="preserve">degradation</t>
        </is>
      </c>
      <c r="B26" s="4" t="inlineStr">
        <is>
          <t xml:space="preserve">Hamilton et al. (LBNL, Joule 2020): how does wind project performance change with age?</t>
        </is>
      </c>
      <c r="C26" s="4" t="inlineStr">
        <is>
          <t xml:space="preserve">https://emp.lbl.gov/publications/how-does-wind-project-performance</t>
        </is>
      </c>
      <c r="D26" s="4" t="inlineStr">
        <is>
          <t xml:space="preserve">2020-05-01</t>
        </is>
      </c>
    </row>
    <row r="27">
      <c r="A27" s="4" t="inlineStr">
        <is>
          <t xml:space="preserve">uncertainty</t>
        </is>
      </c>
      <c r="B27" s="4" t="inlineStr">
        <is>
          <t xml:space="preserve">Pryor et al., Wind Energy Science 3 (2018): inter-annual variability of wind</t>
        </is>
      </c>
      <c r="C27" s="4" t="inlineStr">
        <is>
          <t xml:space="preserve">https://wes.copernicus.org/articles/3/651/2018/</t>
        </is>
      </c>
      <c r="D27" s="4" t="inlineStr">
        <is>
          <t xml:space="preserve">2018-10-01</t>
        </is>
      </c>
    </row>
    <row r="28">
      <c r="A28" s="4" t="inlineStr">
        <is>
          <t xml:space="preserve">leaseMarket</t>
        </is>
      </c>
      <c r="B28" s="4" t="inlineStr">
        <is>
          <t xml:space="preserve">top agrar (Sep 2026): what land leases wind farms can still afford</t>
        </is>
      </c>
      <c r="C28" s="4" t="inlineStr">
        <is>
          <t xml:space="preserve">https://www.topagrar.com/energie/news/wie-viel-pacht-konnen-windparks-heute-noch-wirtschaftlich-tragen-b-20028943.html</t>
        </is>
      </c>
      <c r="D28" s="4" t="inlineStr">
        <is>
          <t xml:space="preserve">2026-09-26</t>
        </is>
      </c>
    </row>
    <row r="29">
      <c r="A29" s="4" t="inlineStr">
        <is>
          <t xml:space="preserve">decommissioning</t>
        </is>
      </c>
      <c r="B29" s="4" t="inlineStr">
        <is>
          <t xml:space="preserve">Bundestag research service WD 5-3000-087/25: decommissioning costs of wind turbines</t>
        </is>
      </c>
      <c r="C29" s="4" t="inlineStr">
        <is>
          <t xml:space="preserve">https://www.bundestag.de/resource/blob/1127440/WD-5-087-25.pdf</t>
        </is>
      </c>
      <c r="D29" s="4" t="inlineStr">
        <is>
          <t xml:space="preserve">2025-10-23</t>
        </is>
      </c>
    </row>
    <row r="30">
      <c r="A30" s="4" t="inlineStr">
        <is>
          <t xml:space="preserve">hessenSecurity</t>
        </is>
      </c>
      <c r="B30" s="4" t="inlineStr">
        <is>
          <t xml:space="preserve">Hessian Landtag Drucksache 21/2671: decommissioning security = hub height × €1,000</t>
        </is>
      </c>
      <c r="C30" s="4" t="inlineStr">
        <is>
          <t xml:space="preserve">https://starweb.hessen.de/cache/DRS/21/1/02671.pdf</t>
        </is>
      </c>
      <c r="D30" s="4" t="inlineStr">
        <is>
          <t xml:space="preserve">2025-09-09</t>
        </is>
      </c>
    </row>
    <row r="31">
      <c r="A31" s="4" t="inlineStr">
        <is>
          <t xml:space="preserve">prospectuses</t>
        </is>
      </c>
      <c r="B31" s="4" t="inlineStr">
        <is>
          <t xml:space="preserve">Community wind-farm prospectuses 2023–2026 (DSCR, reserves, fees, gearing)</t>
        </is>
      </c>
      <c r="C31" s="4" t="inlineStr">
        <is>
          <t xml:space="preserve">https://beteiligung.l-projekt.com/sites/beteiligung.l-projekt.com/files/downloads/VermAnlG_HW_BaFin_Prospekt_Endfassung_29082023.pdf</t>
        </is>
      </c>
      <c r="D31" s="4" t="inlineStr">
        <is>
          <t xml:space="preserve">2023-08-29</t>
        </is>
      </c>
    </row>
    <row r="32">
      <c r="A32" s="4" t="inlineStr">
        <is>
          <t xml:space="preserve">gearing</t>
        </is>
      </c>
      <c r="B32" s="4" t="inlineStr">
        <is>
          <t xml:space="preserve">Energie-Atlas Bayern: banks usually finance 75–85% of the investment</t>
        </is>
      </c>
      <c r="C32" s="4" t="inlineStr">
        <is>
          <t xml:space="preserve">https://www.energieatlas.bayern.de/erneuerbare-energien/windenergie/kommunen/finanzierung-teilhabe</t>
        </is>
      </c>
      <c r="D32" s="4" t="inlineStr">
        <is>
          <t xml:space="preserve">2026-02-01</t>
        </is>
      </c>
    </row>
    <row r="33">
      <c r="A33" s="4" t="inlineStr">
        <is>
          <t xml:space="preserve">bankLetter</t>
        </is>
      </c>
      <c r="B33" s="4" t="inlineStr">
        <is>
          <t xml:space="preserve">Solarserver (17 Sep 2026): 18 banks warn about financing risks of the EEG 2027 draft</t>
        </is>
      </c>
      <c r="C33" s="4" t="inlineStr">
        <is>
          <t xml:space="preserve">https://www.solarserver.de/2026/09/17/eeg-2027-banken-fordern-uebergangsfristen-vor-bundestags-lesung</t>
        </is>
      </c>
      <c r="D33" s="4" t="inlineStr">
        <is>
          <t xml:space="preserve">2026-09-17</t>
        </is>
      </c>
    </row>
    <row r="34">
      <c r="A34" s="4" t="inlineStr">
        <is>
          <t xml:space="preserve">eeg2027Draft</t>
        </is>
      </c>
      <c r="B34" s="4" t="inlineStr">
        <is>
          <t xml:space="preserve">Bundestag, 24 Sep 2026: first reading of the EEG 2027 bill (two-sided premium)</t>
        </is>
      </c>
      <c r="C34" s="4" t="inlineStr">
        <is>
          <t xml:space="preserve">https://www.bundestag.de/dokumente/textarchiv/2026/kw39-de-energie-stromsektor-1211294</t>
        </is>
      </c>
      <c r="D34" s="4" t="inlineStr">
        <is>
          <t xml:space="preserve">2026-09-24</t>
        </is>
      </c>
    </row>
    <row r="35">
      <c r="A35" s="4" t="inlineStr">
        <is>
          <t xml:space="preserve">priceScenarios</t>
        </is>
      </c>
      <c r="B35" s="4" t="inlineStr">
        <is>
          <t xml:space="preserve">Long-term power price scenarios (Ariadne 70–80, Prognos 73–86, Agora 65–101 €/MWh)</t>
        </is>
      </c>
      <c r="C35" s="4" t="inlineStr">
        <is>
          <t xml:space="preserve">https://cubeconcepts.de/en/electricity-price-forecasts-in-comparison/</t>
        </is>
      </c>
      <c r="D35" s="4" t="inlineStr">
        <is>
          <t xml:space="preserve">2025-10-08</t>
        </is>
      </c>
    </row>
    <row r="36">
      <c r="A36" s="4" t="inlineStr">
        <is>
          <t xml:space="preserve">directMarketing</t>
        </is>
      </c>
      <c r="B36" s="4" t="inlineStr">
        <is>
          <t xml:space="preserve">Netztransparenz: statutory marketing deduction 2026 for plants after support (0.228 ct/kWh) — a reference point, not a market offer</t>
        </is>
      </c>
      <c r="C36" s="4" t="inlineStr">
        <is>
          <t xml:space="preserve">https://www.netztransparenz.de/de-de/Erneuerbare-Energien-und-Umlagen/EEG/EEG-Abrechnungen/Ausgef%C3%B6rderte-Anlagen/Abzugsbetrag-2026</t>
        </is>
      </c>
      <c r="D36" s="4" t="inlineStr">
        <is>
          <t xml:space="preserve">2026-01-01</t>
        </is>
      </c>
    </row>
    <row r="37">
      <c r="A37" s="4" t="inlineStr">
        <is>
          <t xml:space="preserve">ppa</t>
        </is>
      </c>
      <c r="B37" s="4" t="inlineStr">
        <is>
          <t xml:space="preserve">Energie &amp; Management PPA index: onshore wind, 2-year PPAs (53–74 €/MWh)</t>
        </is>
      </c>
      <c r="C37" s="4" t="inlineStr">
        <is>
          <t xml:space="preserve">https://www.energie-und-management.de/nachrichten/ueberblick/detail/oel-zieht-auch-oekostrom-ppa-hoch-358681</t>
        </is>
      </c>
      <c r="D37" s="4" t="inlineStr">
        <is>
          <t xml:space="preserve">2026-04-09</t>
        </is>
      </c>
    </row>
    <row r="38">
      <c r="A38" s="4" t="inlineStr">
        <is>
          <t xml:space="preserve">ecb</t>
        </is>
      </c>
      <c r="B38" s="4" t="inlineStr">
        <is>
          <t xml:space="preserve">European Central Bank: 2% inflation target; staff projections September 2026</t>
        </is>
      </c>
      <c r="C38" s="4" t="inlineStr">
        <is>
          <t xml:space="preserve">https://www.ecb.europa.eu/press/projections/html/ecb.projections202609_ecbstaff~8e340fc69d.en.html</t>
        </is>
      </c>
      <c r="D38" s="4" t="inlineStr">
        <is>
          <t xml:space="preserve">2026-09-10</t>
        </is>
      </c>
    </row>
    <row r="39">
      <c r="A39" s="4" t="inlineStr">
        <is>
          <t xml:space="preserve">ustg</t>
        </is>
      </c>
      <c r="B39" s="4" t="inlineStr">
        <is>
          <t xml:space="preserve">Umsatzsteuergesetz §§ 12, 18 (VAT rate, returns)</t>
        </is>
      </c>
      <c r="C39" s="4" t="inlineStr">
        <is>
          <t xml:space="preserve">https://www.gesetze-im-internet.de/ustg_1980/</t>
        </is>
      </c>
      <c r="D39" s="4" t="inlineStr">
        <is>
          <t xml:space="preserve">2026-06-29</t>
        </is>
      </c>
    </row>
    <row r="40">
      <c r="A40" s="4" t="inlineStr">
        <is>
          <t xml:space="preserve">agnes</t>
        </is>
      </c>
      <c r="B40" s="4" t="inlineStr">
        <is>
          <t xml:space="preserve">Solarserver (17 Sep 2026): generator grid fees under BNetzA AgNes, corridor 4–7 €/kW/yr</t>
        </is>
      </c>
      <c r="C40" s="4" t="inlineStr">
        <is>
          <t xml:space="preserve">https://www.solarserver.de/2026/09/17/eeg-2027-banken-fordern-uebergangsfristen-vor-bundestags-lesung</t>
        </is>
      </c>
      <c r="D40" s="4" t="inlineStr">
        <is>
          <t xml:space="preserve">2026-09-17</t>
        </is>
      </c>
    </row>
    <row r="41">
      <c r="A41" s="4" t="inlineStr">
        <is>
          <t xml:space="preserve">futures2029</t>
        </is>
      </c>
      <c r="B41" s="4" t="inlineStr">
        <is>
          <t xml:space="preserve">EEX Phelix-DE baseload futures Cal-29 (power2market, 31 Aug 2026)</t>
        </is>
      </c>
      <c r="C41" s="4" t="inlineStr">
        <is>
          <t xml:space="preserve">https://www.power2market.com/de/markets/de/termin</t>
        </is>
      </c>
      <c r="D41" s="4" t="inlineStr">
        <is>
          <t xml:space="preserve">2026-08-31</t>
        </is>
      </c>
    </row>
  </sheetData>
  <pageMargins left="0.4" right="0.4" top="0.6" bottom="0.6" header="0.3" footer="0.3"/>
  <pageSetup paperSize="9" orientation="landscape" fitToWidth="1" fitToHeight="0"/>
  <headerFooter>
    <oddHeader>&amp;L&amp;8Wind Farm Investment Calculator · Illustrative calculation — not investment, tax or legal advice. The wind farm is fictional.</oddHeader>
    <oddFooter>&amp;L&amp;8Fictional wind farm · data as of 2026-09-30 · engine 2.1.0 · inputs 388d9b67b9e5fe67&amp;R&amp;8&amp;A · &amp;P / &amp;N</oddFooter>
  </headerFooter>
</worksheet>
</file>

<file path=docProps/app.xml><?xml version="1.0" encoding="utf-8"?>
<Properties xmlns="http://schemas.openxmlformats.org/officeDocument/2006/extended-properties">
  <Application>Wind Farm Investment Calculator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Wind Farm Investment Calculator</dc:title>
  <dc:subject>Illustrative calculation — not investment, tax or legal advice. The wind farm is fictional.</dc:subject>
  <dc:creator>Igor Sabodakha</dc:creator>
  <cp:keywords>engine 2.1.0; inputs 388d9b67b9e5fe67; data 2026-09-30</cp:keywords>
  <dc:description>Project-finance model of a fictional onshore wind farm in Germany, with live formulas.</dc:description>
  <dcterms:created xsi:type="dcterms:W3CDTF">2026-09-30T00:00:00Z</dcterms:created>
</cp:coreProperties>
</file>