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xr:revisionPtr revIDLastSave="0" documentId="8_{16D38BD6-BECB-4777-86D6-A91BABCF1304}" xr6:coauthVersionLast="47" xr6:coauthVersionMax="47" xr10:uidLastSave="{00000000-0000-0000-0000-000000000000}"/>
  <bookViews>
    <workbookView xWindow="1900" yWindow="1900" windowWidth="19200" windowHeight="11170" xr2:uid="{00000000-000D-0000-FFFF-FFFF00000000}"/>
  </bookViews>
  <sheets>
    <sheet name="Cover" sheetId="1" r:id="rId1"/>
    <sheet name="How_To_Use" sheetId="2" r:id="rId2"/>
    <sheet name="Inputs" sheetId="3" r:id="rId3"/>
    <sheet name="Ramp" sheetId="4" r:id="rId4"/>
    <sheet name="Dashboard" sheetId="5" r:id="rId5"/>
    <sheet name="Monthly" sheetId="6" r:id="rId6"/>
    <sheet name="Annual" sheetId="7" r:id="rId7"/>
    <sheet name="Rounds_Exit" sheetId="8" r:id="rId8"/>
    <sheet name="Reconciliation" sheetId="9" r:id="rId9"/>
    <sheet name="Checks" sheetId="10" r:id="rId10"/>
    <sheet name="Calc_Base" sheetId="11" r:id="rId11"/>
    <sheet name="Calc_Upside" sheetId="12" r:id="rId12"/>
    <sheet name="Calc_Downside" sheetId="13" r:id="rId13"/>
  </sheets>
  <definedNames>
    <definedName name="_xlnm.Print_Area" localSheetId="6">Annual!$A$1:$I$111</definedName>
    <definedName name="_xlnm.Print_Area" localSheetId="10">Calc_Base!$A$1:$BL$72</definedName>
    <definedName name="_xlnm.Print_Area" localSheetId="12">Calc_Downside!$A$1:$BL$72</definedName>
    <definedName name="_xlnm.Print_Area" localSheetId="11">Calc_Upside!$A$1:$BL$72</definedName>
    <definedName name="_xlnm.Print_Area" localSheetId="9">Checks!$A$1:$F$15</definedName>
    <definedName name="_xlnm.Print_Area" localSheetId="0">Cover!$A$1:$D$40</definedName>
    <definedName name="_xlnm.Print_Area" localSheetId="4">Dashboard!$A$1:$I$53</definedName>
    <definedName name="_xlnm.Print_Area" localSheetId="1">How_To_Use!$A$1:$B$66</definedName>
    <definedName name="_xlnm.Print_Area" localSheetId="2">Inputs!$A$1:$J$87</definedName>
    <definedName name="_xlnm.Print_Area" localSheetId="5">Monthly!$A$1:$BL$36</definedName>
    <definedName name="_xlnm.Print_Area" localSheetId="3">Ramp!$A$1:$R$53</definedName>
    <definedName name="_xlnm.Print_Area" localSheetId="8">Reconciliation!$A$1:$I$66</definedName>
    <definedName name="_xlnm.Print_Area" localSheetId="7">Rounds_Exit!$A$1:$P$94</definedName>
    <definedName name="ScenarioNo">Inputs!$D$6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47" i="13" l="1"/>
  <c r="D47" i="13" s="1"/>
  <c r="E45" i="13"/>
  <c r="AT44" i="13"/>
  <c r="AS44" i="13"/>
  <c r="AR44" i="13"/>
  <c r="AQ44" i="13"/>
  <c r="AN44" i="13"/>
  <c r="AM44" i="13"/>
  <c r="U44" i="13"/>
  <c r="T44" i="13"/>
  <c r="P44" i="13"/>
  <c r="O44" i="13"/>
  <c r="J44" i="13"/>
  <c r="E35" i="13"/>
  <c r="D32" i="13"/>
  <c r="BL30" i="13"/>
  <c r="BL44" i="13" s="1"/>
  <c r="BK30" i="13"/>
  <c r="BK44" i="13" s="1"/>
  <c r="BJ30" i="13"/>
  <c r="BJ44" i="13" s="1"/>
  <c r="BI30" i="13"/>
  <c r="BI44" i="13" s="1"/>
  <c r="BH30" i="13"/>
  <c r="BH44" i="13" s="1"/>
  <c r="BG30" i="13"/>
  <c r="BG44" i="13" s="1"/>
  <c r="BF30" i="13"/>
  <c r="BF44" i="13" s="1"/>
  <c r="BE30" i="13"/>
  <c r="BE44" i="13" s="1"/>
  <c r="BD30" i="13"/>
  <c r="BD44" i="13" s="1"/>
  <c r="BC30" i="13"/>
  <c r="BC44" i="13" s="1"/>
  <c r="BB30" i="13"/>
  <c r="BB44" i="13" s="1"/>
  <c r="BA30" i="13"/>
  <c r="BA44" i="13" s="1"/>
  <c r="AZ30" i="13"/>
  <c r="AZ44" i="13" s="1"/>
  <c r="AY30" i="13"/>
  <c r="AY44" i="13" s="1"/>
  <c r="AX30" i="13"/>
  <c r="AX44" i="13" s="1"/>
  <c r="AW30" i="13"/>
  <c r="AW44" i="13" s="1"/>
  <c r="AV30" i="13"/>
  <c r="AV44" i="13" s="1"/>
  <c r="AU30" i="13"/>
  <c r="AU44" i="13" s="1"/>
  <c r="AT30" i="13"/>
  <c r="AS30" i="13"/>
  <c r="AR30" i="13"/>
  <c r="AQ30" i="13"/>
  <c r="AP30" i="13"/>
  <c r="AP44" i="13" s="1"/>
  <c r="AO30" i="13"/>
  <c r="AO44" i="13" s="1"/>
  <c r="AN30" i="13"/>
  <c r="AM30" i="13"/>
  <c r="AL30" i="13"/>
  <c r="AL44" i="13" s="1"/>
  <c r="AK30" i="13"/>
  <c r="AK44" i="13" s="1"/>
  <c r="AJ30" i="13"/>
  <c r="AJ44" i="13" s="1"/>
  <c r="AI30" i="13"/>
  <c r="AI44" i="13" s="1"/>
  <c r="AH30" i="13"/>
  <c r="AH44" i="13" s="1"/>
  <c r="AG30" i="13"/>
  <c r="AG44" i="13" s="1"/>
  <c r="AF30" i="13"/>
  <c r="AF44" i="13" s="1"/>
  <c r="AE30" i="13"/>
  <c r="AE44" i="13" s="1"/>
  <c r="AD30" i="13"/>
  <c r="AD44" i="13" s="1"/>
  <c r="AC30" i="13"/>
  <c r="AC44" i="13" s="1"/>
  <c r="AB30" i="13"/>
  <c r="AB44" i="13" s="1"/>
  <c r="AA30" i="13"/>
  <c r="AA44" i="13" s="1"/>
  <c r="Z30" i="13"/>
  <c r="Z44" i="13" s="1"/>
  <c r="Y30" i="13"/>
  <c r="Y44" i="13" s="1"/>
  <c r="X30" i="13"/>
  <c r="X44" i="13" s="1"/>
  <c r="W30" i="13"/>
  <c r="W44" i="13" s="1"/>
  <c r="V30" i="13"/>
  <c r="V44" i="13" s="1"/>
  <c r="U30" i="13"/>
  <c r="T30" i="13"/>
  <c r="S30" i="13"/>
  <c r="S44" i="13" s="1"/>
  <c r="R30" i="13"/>
  <c r="R44" i="13" s="1"/>
  <c r="Q30" i="13"/>
  <c r="Q44" i="13" s="1"/>
  <c r="P30" i="13"/>
  <c r="O30" i="13"/>
  <c r="N30" i="13"/>
  <c r="N44" i="13" s="1"/>
  <c r="M30" i="13"/>
  <c r="M44" i="13" s="1"/>
  <c r="L30" i="13"/>
  <c r="L44" i="13" s="1"/>
  <c r="K30" i="13"/>
  <c r="K44" i="13" s="1"/>
  <c r="J30" i="13"/>
  <c r="I30" i="13"/>
  <c r="I44" i="13" s="1"/>
  <c r="H30" i="13"/>
  <c r="H44" i="13" s="1"/>
  <c r="G30" i="13"/>
  <c r="G44" i="13" s="1"/>
  <c r="F30" i="13"/>
  <c r="F44" i="13" s="1"/>
  <c r="E30" i="13"/>
  <c r="BL25" i="13"/>
  <c r="BK25" i="13"/>
  <c r="BJ25" i="13"/>
  <c r="BI25" i="13"/>
  <c r="BH25" i="13"/>
  <c r="BG25" i="13"/>
  <c r="BF25" i="13"/>
  <c r="BE25" i="13"/>
  <c r="BD25" i="13"/>
  <c r="BC25" i="13"/>
  <c r="BB25" i="13"/>
  <c r="BA25" i="13"/>
  <c r="H106" i="7" s="1"/>
  <c r="AZ25" i="13"/>
  <c r="AY25" i="13"/>
  <c r="AX25" i="13"/>
  <c r="AW25" i="13"/>
  <c r="AV25" i="13"/>
  <c r="AU25" i="13"/>
  <c r="AT25" i="13"/>
  <c r="AS25" i="13"/>
  <c r="AR25" i="13"/>
  <c r="AQ25" i="13"/>
  <c r="AP25" i="13"/>
  <c r="AO25" i="13"/>
  <c r="G106" i="7" s="1"/>
  <c r="AN25" i="13"/>
  <c r="AM25" i="13"/>
  <c r="AL25" i="13"/>
  <c r="AK25" i="13"/>
  <c r="AJ25" i="13"/>
  <c r="AI25" i="13"/>
  <c r="AH25" i="13"/>
  <c r="AG25" i="13"/>
  <c r="AF25" i="13"/>
  <c r="AE25" i="13"/>
  <c r="AD25" i="13"/>
  <c r="AC25" i="13"/>
  <c r="F106" i="7" s="1"/>
  <c r="AB25" i="13"/>
  <c r="AA25" i="13"/>
  <c r="Z25" i="13"/>
  <c r="Y25" i="13"/>
  <c r="X25" i="13"/>
  <c r="W25" i="13"/>
  <c r="V25" i="13"/>
  <c r="U25" i="13"/>
  <c r="T25" i="13"/>
  <c r="S25" i="13"/>
  <c r="R25" i="13"/>
  <c r="Q25" i="13"/>
  <c r="E106" i="7" s="1"/>
  <c r="P25" i="13"/>
  <c r="O25" i="13"/>
  <c r="N25" i="13"/>
  <c r="M25" i="13"/>
  <c r="L25" i="13"/>
  <c r="K25" i="13"/>
  <c r="J25" i="13"/>
  <c r="I25" i="13"/>
  <c r="H25" i="13"/>
  <c r="G25" i="13"/>
  <c r="F25" i="13"/>
  <c r="E25" i="13"/>
  <c r="D106" i="7" s="1"/>
  <c r="BL24" i="13"/>
  <c r="BK24" i="13"/>
  <c r="BJ24" i="13"/>
  <c r="BI24" i="13"/>
  <c r="BH24" i="13"/>
  <c r="BG24" i="13"/>
  <c r="BF24" i="13"/>
  <c r="BE24" i="13"/>
  <c r="BD24" i="13"/>
  <c r="BC24" i="13"/>
  <c r="BB24" i="13"/>
  <c r="BA24" i="13"/>
  <c r="H96" i="7" s="1"/>
  <c r="AZ24" i="13"/>
  <c r="AY24" i="13"/>
  <c r="AX24" i="13"/>
  <c r="AW24" i="13"/>
  <c r="AV24" i="13"/>
  <c r="G96" i="7" s="1"/>
  <c r="AU24" i="13"/>
  <c r="AT24" i="13"/>
  <c r="AS24" i="13"/>
  <c r="AR24" i="13"/>
  <c r="AQ24" i="13"/>
  <c r="AP24" i="13"/>
  <c r="AO24" i="13"/>
  <c r="AN24" i="13"/>
  <c r="AM24" i="13"/>
  <c r="AL24" i="13"/>
  <c r="AK24" i="13"/>
  <c r="AJ24" i="13"/>
  <c r="AI24" i="13"/>
  <c r="AH24" i="13"/>
  <c r="AG24" i="13"/>
  <c r="F96" i="7" s="1"/>
  <c r="AF24" i="13"/>
  <c r="AE24" i="13"/>
  <c r="AD24" i="13"/>
  <c r="AC24" i="13"/>
  <c r="AB24" i="13"/>
  <c r="AA24" i="13"/>
  <c r="Z24" i="13"/>
  <c r="Y24" i="13"/>
  <c r="X24" i="13"/>
  <c r="E96" i="7" s="1"/>
  <c r="W24" i="13"/>
  <c r="V24" i="13"/>
  <c r="U24" i="13"/>
  <c r="T24" i="13"/>
  <c r="S24" i="13"/>
  <c r="R24" i="13"/>
  <c r="Q24" i="13"/>
  <c r="P24" i="13"/>
  <c r="O24" i="13"/>
  <c r="N24" i="13"/>
  <c r="M24" i="13"/>
  <c r="L24" i="13"/>
  <c r="K24" i="13"/>
  <c r="J24" i="13"/>
  <c r="I24" i="13"/>
  <c r="D96" i="7" s="1"/>
  <c r="H24" i="13"/>
  <c r="G24" i="13"/>
  <c r="F24" i="13"/>
  <c r="E24" i="13"/>
  <c r="W20" i="13"/>
  <c r="T20" i="13"/>
  <c r="I20" i="13"/>
  <c r="H20" i="13"/>
  <c r="G20" i="13"/>
  <c r="F20" i="13"/>
  <c r="U19" i="13"/>
  <c r="N19" i="13"/>
  <c r="L19" i="13"/>
  <c r="K19" i="13"/>
  <c r="V18" i="13"/>
  <c r="V21" i="13" s="1"/>
  <c r="T18" i="13"/>
  <c r="S18" i="13"/>
  <c r="S21" i="13" s="1"/>
  <c r="R18" i="13"/>
  <c r="H18" i="13"/>
  <c r="G18" i="13"/>
  <c r="V13" i="13"/>
  <c r="T13" i="13"/>
  <c r="T27" i="13" s="1"/>
  <c r="S13" i="13"/>
  <c r="R13" i="13"/>
  <c r="Q13" i="13"/>
  <c r="AB12" i="13"/>
  <c r="AA12" i="13"/>
  <c r="AA20" i="13" s="1"/>
  <c r="Z12" i="13"/>
  <c r="Z20" i="13" s="1"/>
  <c r="Y12" i="13"/>
  <c r="Y20" i="13" s="1"/>
  <c r="X12" i="13"/>
  <c r="X20" i="13" s="1"/>
  <c r="W12" i="13"/>
  <c r="V12" i="13"/>
  <c r="V20" i="13" s="1"/>
  <c r="U12" i="13"/>
  <c r="U20" i="13" s="1"/>
  <c r="T12" i="13"/>
  <c r="S12" i="13"/>
  <c r="S20" i="13" s="1"/>
  <c r="R12" i="13"/>
  <c r="R20" i="13" s="1"/>
  <c r="Q12" i="13"/>
  <c r="Q20" i="13" s="1"/>
  <c r="P12" i="13"/>
  <c r="P20" i="13" s="1"/>
  <c r="O12" i="13"/>
  <c r="O20" i="13" s="1"/>
  <c r="N12" i="13"/>
  <c r="N20" i="13" s="1"/>
  <c r="M12" i="13"/>
  <c r="M20" i="13" s="1"/>
  <c r="L12" i="13"/>
  <c r="L20" i="13" s="1"/>
  <c r="K12" i="13"/>
  <c r="K20" i="13" s="1"/>
  <c r="J12" i="13"/>
  <c r="J20" i="13" s="1"/>
  <c r="I12" i="13"/>
  <c r="H12" i="13"/>
  <c r="G12" i="13"/>
  <c r="F12" i="13"/>
  <c r="E12" i="13"/>
  <c r="E20" i="13" s="1"/>
  <c r="AB11" i="13"/>
  <c r="D15" i="13" s="1"/>
  <c r="AA11" i="13"/>
  <c r="AA19" i="13" s="1"/>
  <c r="Z11" i="13"/>
  <c r="Z19" i="13" s="1"/>
  <c r="Y11" i="13"/>
  <c r="E89" i="7" s="1"/>
  <c r="X11" i="13"/>
  <c r="X19" i="13" s="1"/>
  <c r="W11" i="13"/>
  <c r="W19" i="13" s="1"/>
  <c r="V11" i="13"/>
  <c r="V19" i="13" s="1"/>
  <c r="U11" i="13"/>
  <c r="T11" i="13"/>
  <c r="T19" i="13" s="1"/>
  <c r="S11" i="13"/>
  <c r="S19" i="13" s="1"/>
  <c r="R11" i="13"/>
  <c r="R19" i="13" s="1"/>
  <c r="Q11" i="13"/>
  <c r="Q19" i="13" s="1"/>
  <c r="P11" i="13"/>
  <c r="P19" i="13" s="1"/>
  <c r="O11" i="13"/>
  <c r="O19" i="13" s="1"/>
  <c r="N11" i="13"/>
  <c r="M11" i="13"/>
  <c r="M19" i="13" s="1"/>
  <c r="L11" i="13"/>
  <c r="K11" i="13"/>
  <c r="J11" i="13"/>
  <c r="J19" i="13" s="1"/>
  <c r="I11" i="13"/>
  <c r="I19" i="13" s="1"/>
  <c r="H11" i="13"/>
  <c r="H19" i="13" s="1"/>
  <c r="G11" i="13"/>
  <c r="G19" i="13" s="1"/>
  <c r="F11" i="13"/>
  <c r="F19" i="13" s="1"/>
  <c r="E11" i="13"/>
  <c r="E19" i="13" s="1"/>
  <c r="AB10" i="13"/>
  <c r="D14" i="13" s="1"/>
  <c r="AC10" i="13" s="1"/>
  <c r="AA10" i="13"/>
  <c r="Z10" i="13"/>
  <c r="Y10" i="13"/>
  <c r="Y18" i="13" s="1"/>
  <c r="X10" i="13"/>
  <c r="W10" i="13"/>
  <c r="V10" i="13"/>
  <c r="U10" i="13"/>
  <c r="T10" i="13"/>
  <c r="S10" i="13"/>
  <c r="R10" i="13"/>
  <c r="Q10" i="13"/>
  <c r="Q18" i="13" s="1"/>
  <c r="P10" i="13"/>
  <c r="P18" i="13" s="1"/>
  <c r="O10" i="13"/>
  <c r="O18" i="13" s="1"/>
  <c r="N10" i="13"/>
  <c r="N18" i="13" s="1"/>
  <c r="M10" i="13"/>
  <c r="M18" i="13" s="1"/>
  <c r="M21" i="13" s="1"/>
  <c r="L10" i="13"/>
  <c r="L18" i="13" s="1"/>
  <c r="K10" i="13"/>
  <c r="J10" i="13"/>
  <c r="I10" i="13"/>
  <c r="I18" i="13" s="1"/>
  <c r="I21" i="13" s="1"/>
  <c r="H10" i="13"/>
  <c r="H13" i="13" s="1"/>
  <c r="G10" i="13"/>
  <c r="G13" i="13" s="1"/>
  <c r="F10" i="13"/>
  <c r="F18" i="13" s="1"/>
  <c r="E10" i="13"/>
  <c r="D88" i="7" s="1"/>
  <c r="F5" i="13"/>
  <c r="E5" i="13"/>
  <c r="E7" i="13" s="1"/>
  <c r="F4" i="13"/>
  <c r="G4" i="13" s="1"/>
  <c r="E47" i="12"/>
  <c r="E35" i="12" s="1"/>
  <c r="D47" i="12"/>
  <c r="E45" i="12"/>
  <c r="BH44" i="12"/>
  <c r="BG44" i="12"/>
  <c r="BF44" i="12"/>
  <c r="BC44" i="12"/>
  <c r="BB44" i="12"/>
  <c r="AE44" i="12"/>
  <c r="AD44" i="12"/>
  <c r="AB44" i="12"/>
  <c r="S44" i="12"/>
  <c r="L44" i="12"/>
  <c r="D32" i="12"/>
  <c r="BL30" i="12"/>
  <c r="BL44" i="12" s="1"/>
  <c r="BK30" i="12"/>
  <c r="BK44" i="12" s="1"/>
  <c r="BJ30" i="12"/>
  <c r="BJ44" i="12" s="1"/>
  <c r="BI30" i="12"/>
  <c r="BI44" i="12" s="1"/>
  <c r="BH30" i="12"/>
  <c r="BG30" i="12"/>
  <c r="BF30" i="12"/>
  <c r="BE30" i="12"/>
  <c r="BD30" i="12"/>
  <c r="BD44" i="12" s="1"/>
  <c r="BC30" i="12"/>
  <c r="BB30" i="12"/>
  <c r="BA30" i="12"/>
  <c r="BA44" i="12" s="1"/>
  <c r="AZ30" i="12"/>
  <c r="AZ44" i="12" s="1"/>
  <c r="AY30" i="12"/>
  <c r="AY44" i="12" s="1"/>
  <c r="AX30" i="12"/>
  <c r="AX44" i="12" s="1"/>
  <c r="AW30" i="12"/>
  <c r="AW44" i="12" s="1"/>
  <c r="AV30" i="12"/>
  <c r="AV44" i="12" s="1"/>
  <c r="AU30" i="12"/>
  <c r="AU44" i="12" s="1"/>
  <c r="AT30" i="12"/>
  <c r="G81" i="7" s="1"/>
  <c r="AS30" i="12"/>
  <c r="AS44" i="12" s="1"/>
  <c r="AR30" i="12"/>
  <c r="AR44" i="12" s="1"/>
  <c r="AQ30" i="12"/>
  <c r="AQ44" i="12" s="1"/>
  <c r="AP30" i="12"/>
  <c r="AP44" i="12" s="1"/>
  <c r="AO30" i="12"/>
  <c r="AO44" i="12" s="1"/>
  <c r="AN30" i="12"/>
  <c r="AN44" i="12" s="1"/>
  <c r="AM30" i="12"/>
  <c r="AM44" i="12" s="1"/>
  <c r="AL30" i="12"/>
  <c r="AL44" i="12" s="1"/>
  <c r="AK30" i="12"/>
  <c r="AK44" i="12" s="1"/>
  <c r="AJ30" i="12"/>
  <c r="AJ44" i="12" s="1"/>
  <c r="AI30" i="12"/>
  <c r="AI44" i="12" s="1"/>
  <c r="AH30" i="12"/>
  <c r="AH44" i="12" s="1"/>
  <c r="AG30" i="12"/>
  <c r="AF30" i="12"/>
  <c r="AF44" i="12" s="1"/>
  <c r="AE30" i="12"/>
  <c r="AD30" i="12"/>
  <c r="AC30" i="12"/>
  <c r="AC44" i="12" s="1"/>
  <c r="AB30" i="12"/>
  <c r="AA30" i="12"/>
  <c r="AA44" i="12" s="1"/>
  <c r="Z30" i="12"/>
  <c r="Z44" i="12" s="1"/>
  <c r="Y30" i="12"/>
  <c r="Y44" i="12" s="1"/>
  <c r="X30" i="12"/>
  <c r="X44" i="12" s="1"/>
  <c r="W30" i="12"/>
  <c r="W44" i="12" s="1"/>
  <c r="V30" i="12"/>
  <c r="U30" i="12"/>
  <c r="U44" i="12" s="1"/>
  <c r="T30" i="12"/>
  <c r="T44" i="12" s="1"/>
  <c r="S30" i="12"/>
  <c r="R30" i="12"/>
  <c r="R44" i="12" s="1"/>
  <c r="Q30" i="12"/>
  <c r="Q44" i="12" s="1"/>
  <c r="P30" i="12"/>
  <c r="P44" i="12" s="1"/>
  <c r="O30" i="12"/>
  <c r="O44" i="12" s="1"/>
  <c r="N30" i="12"/>
  <c r="N44" i="12" s="1"/>
  <c r="M30" i="12"/>
  <c r="M44" i="12" s="1"/>
  <c r="L30" i="12"/>
  <c r="K30" i="12"/>
  <c r="K44" i="12" s="1"/>
  <c r="J30" i="12"/>
  <c r="J44" i="12" s="1"/>
  <c r="I30" i="12"/>
  <c r="I44" i="12" s="1"/>
  <c r="H30" i="12"/>
  <c r="H44" i="12" s="1"/>
  <c r="G30" i="12"/>
  <c r="G44" i="12" s="1"/>
  <c r="F30" i="12"/>
  <c r="F44" i="12" s="1"/>
  <c r="E30" i="12"/>
  <c r="D81" i="7" s="1"/>
  <c r="BL25" i="12"/>
  <c r="BK25" i="12"/>
  <c r="BJ25" i="12"/>
  <c r="BI25" i="12"/>
  <c r="BH25" i="12"/>
  <c r="BG25" i="12"/>
  <c r="BF25" i="12"/>
  <c r="BE25" i="12"/>
  <c r="BD25" i="12"/>
  <c r="BC25" i="12"/>
  <c r="BB25" i="12"/>
  <c r="BA25" i="12"/>
  <c r="H79" i="7" s="1"/>
  <c r="AZ25" i="12"/>
  <c r="AY25" i="12"/>
  <c r="AX25" i="12"/>
  <c r="AW25" i="12"/>
  <c r="AV25" i="12"/>
  <c r="AU25" i="12"/>
  <c r="AT25" i="12"/>
  <c r="AS25" i="12"/>
  <c r="AR25" i="12"/>
  <c r="AQ25" i="12"/>
  <c r="AP25" i="12"/>
  <c r="AO25" i="12"/>
  <c r="G79" i="7" s="1"/>
  <c r="AN25" i="12"/>
  <c r="AM25" i="12"/>
  <c r="AL25" i="12"/>
  <c r="AK25" i="12"/>
  <c r="AJ25" i="12"/>
  <c r="AI25" i="12"/>
  <c r="AH25" i="12"/>
  <c r="AG25" i="12"/>
  <c r="AF25" i="12"/>
  <c r="AE25" i="12"/>
  <c r="AD25" i="12"/>
  <c r="AC25" i="12"/>
  <c r="F79" i="7" s="1"/>
  <c r="AB25" i="12"/>
  <c r="AA25" i="12"/>
  <c r="Z25" i="12"/>
  <c r="Y25" i="12"/>
  <c r="X25" i="12"/>
  <c r="W25" i="12"/>
  <c r="V25" i="12"/>
  <c r="U25" i="12"/>
  <c r="T25" i="12"/>
  <c r="S25" i="12"/>
  <c r="R25" i="12"/>
  <c r="Q25" i="12"/>
  <c r="P25" i="12"/>
  <c r="O25" i="12"/>
  <c r="N25" i="12"/>
  <c r="M25" i="12"/>
  <c r="L25" i="12"/>
  <c r="K25" i="12"/>
  <c r="J25" i="12"/>
  <c r="I25" i="12"/>
  <c r="H25" i="12"/>
  <c r="G25" i="12"/>
  <c r="F25" i="12"/>
  <c r="E25" i="12"/>
  <c r="BL24" i="12"/>
  <c r="BK24" i="12"/>
  <c r="BJ24" i="12"/>
  <c r="BI24" i="12"/>
  <c r="BH24" i="12"/>
  <c r="BG24" i="12"/>
  <c r="BF24" i="12"/>
  <c r="BE24" i="12"/>
  <c r="BD24" i="12"/>
  <c r="BC24" i="12"/>
  <c r="BB24" i="12"/>
  <c r="BA24" i="12"/>
  <c r="AZ24" i="12"/>
  <c r="AY24" i="12"/>
  <c r="AX24" i="12"/>
  <c r="AW24" i="12"/>
  <c r="AV24" i="12"/>
  <c r="AU24" i="12"/>
  <c r="AT24" i="12"/>
  <c r="AS24" i="12"/>
  <c r="AR24" i="12"/>
  <c r="AQ24" i="12"/>
  <c r="AP24" i="12"/>
  <c r="AO24" i="12"/>
  <c r="AN24" i="12"/>
  <c r="AM24" i="12"/>
  <c r="AL24" i="12"/>
  <c r="AK24" i="12"/>
  <c r="AJ24" i="12"/>
  <c r="AI24" i="12"/>
  <c r="AH24" i="12"/>
  <c r="AG24" i="12"/>
  <c r="AF24" i="12"/>
  <c r="AE24" i="12"/>
  <c r="AD24" i="12"/>
  <c r="AC24" i="12"/>
  <c r="F69" i="7" s="1"/>
  <c r="AB24" i="12"/>
  <c r="AA24" i="12"/>
  <c r="Z24" i="12"/>
  <c r="Y24" i="12"/>
  <c r="X24" i="12"/>
  <c r="W24" i="12"/>
  <c r="V24" i="12"/>
  <c r="U24" i="12"/>
  <c r="T24" i="12"/>
  <c r="S24" i="12"/>
  <c r="R24" i="12"/>
  <c r="Q24" i="12"/>
  <c r="D24" i="12" s="1"/>
  <c r="P24" i="12"/>
  <c r="O24" i="12"/>
  <c r="N24" i="12"/>
  <c r="M24" i="12"/>
  <c r="L24" i="12"/>
  <c r="K24" i="12"/>
  <c r="J24" i="12"/>
  <c r="I24" i="12"/>
  <c r="H24" i="12"/>
  <c r="G24" i="12"/>
  <c r="F24" i="12"/>
  <c r="E24" i="12"/>
  <c r="D69" i="7" s="1"/>
  <c r="V20" i="12"/>
  <c r="S20" i="12"/>
  <c r="R20" i="12"/>
  <c r="N19" i="12"/>
  <c r="X18" i="12"/>
  <c r="W18" i="12"/>
  <c r="V18" i="12"/>
  <c r="U18" i="12"/>
  <c r="T18" i="12"/>
  <c r="T21" i="12" s="1"/>
  <c r="T22" i="12" s="1"/>
  <c r="T13" i="12"/>
  <c r="T27" i="12" s="1"/>
  <c r="S13" i="12"/>
  <c r="S27" i="12" s="1"/>
  <c r="O13" i="12"/>
  <c r="O27" i="12" s="1"/>
  <c r="AB12" i="12"/>
  <c r="AB20" i="12" s="1"/>
  <c r="AA12" i="12"/>
  <c r="AA20" i="12" s="1"/>
  <c r="Z12" i="12"/>
  <c r="Z20" i="12" s="1"/>
  <c r="Y12" i="12"/>
  <c r="Y20" i="12" s="1"/>
  <c r="X12" i="12"/>
  <c r="X20" i="12" s="1"/>
  <c r="W12" i="12"/>
  <c r="W20" i="12" s="1"/>
  <c r="V12" i="12"/>
  <c r="U12" i="12"/>
  <c r="U20" i="12" s="1"/>
  <c r="T12" i="12"/>
  <c r="T20" i="12" s="1"/>
  <c r="S12" i="12"/>
  <c r="R12" i="12"/>
  <c r="Q12" i="12"/>
  <c r="Q20" i="12" s="1"/>
  <c r="P12" i="12"/>
  <c r="P20" i="12" s="1"/>
  <c r="O12" i="12"/>
  <c r="O20" i="12" s="1"/>
  <c r="N12" i="12"/>
  <c r="N20" i="12" s="1"/>
  <c r="M12" i="12"/>
  <c r="M20" i="12" s="1"/>
  <c r="L12" i="12"/>
  <c r="L20" i="12" s="1"/>
  <c r="K12" i="12"/>
  <c r="J12" i="12"/>
  <c r="J20" i="12" s="1"/>
  <c r="I12" i="12"/>
  <c r="I20" i="12" s="1"/>
  <c r="H12" i="12"/>
  <c r="H20" i="12" s="1"/>
  <c r="G12" i="12"/>
  <c r="G20" i="12" s="1"/>
  <c r="F12" i="12"/>
  <c r="F20" i="12" s="1"/>
  <c r="E12" i="12"/>
  <c r="E20" i="12" s="1"/>
  <c r="AB11" i="12"/>
  <c r="AA11" i="12"/>
  <c r="AA19" i="12" s="1"/>
  <c r="Z11" i="12"/>
  <c r="Z19" i="12" s="1"/>
  <c r="Y11" i="12"/>
  <c r="Y19" i="12" s="1"/>
  <c r="X11" i="12"/>
  <c r="X19" i="12" s="1"/>
  <c r="W11" i="12"/>
  <c r="W19" i="12" s="1"/>
  <c r="V11" i="12"/>
  <c r="V19" i="12" s="1"/>
  <c r="U11" i="12"/>
  <c r="T11" i="12"/>
  <c r="T19" i="12" s="1"/>
  <c r="S11" i="12"/>
  <c r="S19" i="12" s="1"/>
  <c r="R11" i="12"/>
  <c r="Q11" i="12"/>
  <c r="Q19" i="12" s="1"/>
  <c r="P11" i="12"/>
  <c r="P19" i="12" s="1"/>
  <c r="O11" i="12"/>
  <c r="O19" i="12" s="1"/>
  <c r="O21" i="12" s="1"/>
  <c r="N11" i="12"/>
  <c r="M11" i="12"/>
  <c r="M19" i="12" s="1"/>
  <c r="L11" i="12"/>
  <c r="L19" i="12" s="1"/>
  <c r="K11" i="12"/>
  <c r="K19" i="12" s="1"/>
  <c r="J11" i="12"/>
  <c r="I11" i="12"/>
  <c r="H11" i="12"/>
  <c r="H19" i="12" s="1"/>
  <c r="G11" i="12"/>
  <c r="G19" i="12" s="1"/>
  <c r="F11" i="12"/>
  <c r="F19" i="12" s="1"/>
  <c r="E11" i="12"/>
  <c r="E19" i="12" s="1"/>
  <c r="AB10" i="12"/>
  <c r="AB18" i="12" s="1"/>
  <c r="AA10" i="12"/>
  <c r="Z10" i="12"/>
  <c r="Y10" i="12"/>
  <c r="X10" i="12"/>
  <c r="W10" i="12"/>
  <c r="W13" i="12" s="1"/>
  <c r="V10" i="12"/>
  <c r="U10" i="12"/>
  <c r="T10" i="12"/>
  <c r="S10" i="12"/>
  <c r="S18" i="12" s="1"/>
  <c r="S21" i="12" s="1"/>
  <c r="S22" i="12" s="1"/>
  <c r="R10" i="12"/>
  <c r="R18" i="12" s="1"/>
  <c r="Q10" i="12"/>
  <c r="Q18" i="12" s="1"/>
  <c r="P10" i="12"/>
  <c r="P18" i="12" s="1"/>
  <c r="O10" i="12"/>
  <c r="O18" i="12" s="1"/>
  <c r="N10" i="12"/>
  <c r="N18" i="12" s="1"/>
  <c r="M10" i="12"/>
  <c r="M18" i="12" s="1"/>
  <c r="M21" i="12" s="1"/>
  <c r="L10" i="12"/>
  <c r="K10" i="12"/>
  <c r="K18" i="12" s="1"/>
  <c r="J10" i="12"/>
  <c r="J18" i="12" s="1"/>
  <c r="I10" i="12"/>
  <c r="I18" i="12" s="1"/>
  <c r="H10" i="12"/>
  <c r="G10" i="12"/>
  <c r="G18" i="12" s="1"/>
  <c r="F10" i="12"/>
  <c r="E10" i="12"/>
  <c r="D61" i="7" s="1"/>
  <c r="E5" i="12"/>
  <c r="E6" i="12" s="1"/>
  <c r="F4" i="12"/>
  <c r="E47" i="11"/>
  <c r="D47" i="11" s="1"/>
  <c r="E45" i="11"/>
  <c r="AQ44" i="11"/>
  <c r="AG44" i="11"/>
  <c r="S44" i="11"/>
  <c r="R44" i="11"/>
  <c r="Q44" i="11"/>
  <c r="E35" i="11"/>
  <c r="D32" i="11"/>
  <c r="BL30" i="11"/>
  <c r="BL44" i="11" s="1"/>
  <c r="BK30" i="11"/>
  <c r="BK44" i="11" s="1"/>
  <c r="BJ30" i="11"/>
  <c r="BJ44" i="11" s="1"/>
  <c r="BI30" i="11"/>
  <c r="BI44" i="11" s="1"/>
  <c r="BH30" i="11"/>
  <c r="BH44" i="11" s="1"/>
  <c r="BG30" i="11"/>
  <c r="H54" i="7" s="1"/>
  <c r="H27" i="7" s="1"/>
  <c r="BF30" i="11"/>
  <c r="BF44" i="11" s="1"/>
  <c r="BE30" i="11"/>
  <c r="BE44" i="11" s="1"/>
  <c r="BD30" i="11"/>
  <c r="BD44" i="11" s="1"/>
  <c r="BC30" i="11"/>
  <c r="BC44" i="11" s="1"/>
  <c r="BB30" i="11"/>
  <c r="BB44" i="11" s="1"/>
  <c r="BA30" i="11"/>
  <c r="BA44" i="11" s="1"/>
  <c r="AZ30" i="11"/>
  <c r="AZ44" i="11" s="1"/>
  <c r="AY30" i="11"/>
  <c r="AY44" i="11" s="1"/>
  <c r="AX30" i="11"/>
  <c r="AX44" i="11" s="1"/>
  <c r="AW30" i="11"/>
  <c r="AW44" i="11" s="1"/>
  <c r="AV30" i="11"/>
  <c r="AV44" i="11" s="1"/>
  <c r="AU30" i="11"/>
  <c r="AU44" i="11" s="1"/>
  <c r="AT30" i="11"/>
  <c r="AT44" i="11" s="1"/>
  <c r="AS30" i="11"/>
  <c r="AS44" i="11" s="1"/>
  <c r="AR30" i="11"/>
  <c r="AR44" i="11" s="1"/>
  <c r="AQ30" i="11"/>
  <c r="AP30" i="11"/>
  <c r="AP44" i="11" s="1"/>
  <c r="AO30" i="11"/>
  <c r="AO44" i="11" s="1"/>
  <c r="AN30" i="11"/>
  <c r="AN44" i="11" s="1"/>
  <c r="AM30" i="11"/>
  <c r="AM44" i="11" s="1"/>
  <c r="AL30" i="11"/>
  <c r="AL44" i="11" s="1"/>
  <c r="AK30" i="11"/>
  <c r="AK44" i="11" s="1"/>
  <c r="AJ30" i="11"/>
  <c r="AJ44" i="11" s="1"/>
  <c r="AI30" i="11"/>
  <c r="AH30" i="11"/>
  <c r="AH44" i="11" s="1"/>
  <c r="AG30" i="11"/>
  <c r="AF30" i="11"/>
  <c r="AF44" i="11" s="1"/>
  <c r="AE30" i="11"/>
  <c r="AE44" i="11" s="1"/>
  <c r="AD30" i="11"/>
  <c r="AD44" i="11" s="1"/>
  <c r="AC30" i="11"/>
  <c r="AC44" i="11" s="1"/>
  <c r="AB30" i="11"/>
  <c r="AB44" i="11" s="1"/>
  <c r="AA30" i="11"/>
  <c r="AA44" i="11" s="1"/>
  <c r="AA28" i="6" s="1"/>
  <c r="Z30" i="11"/>
  <c r="Z44" i="11" s="1"/>
  <c r="Y30" i="11"/>
  <c r="Y44" i="11" s="1"/>
  <c r="X30" i="11"/>
  <c r="X44" i="11" s="1"/>
  <c r="W30" i="11"/>
  <c r="W44" i="11" s="1"/>
  <c r="W28" i="6" s="1"/>
  <c r="V30" i="11"/>
  <c r="V44" i="11" s="1"/>
  <c r="V28" i="6" s="1"/>
  <c r="U30" i="11"/>
  <c r="U44" i="11" s="1"/>
  <c r="U28" i="6" s="1"/>
  <c r="T30" i="11"/>
  <c r="T44" i="11" s="1"/>
  <c r="T28" i="6" s="1"/>
  <c r="S30" i="11"/>
  <c r="R30" i="11"/>
  <c r="Q30" i="11"/>
  <c r="P30" i="11"/>
  <c r="P44" i="11" s="1"/>
  <c r="O30" i="11"/>
  <c r="O44" i="11" s="1"/>
  <c r="N30" i="11"/>
  <c r="N44" i="11" s="1"/>
  <c r="M30" i="11"/>
  <c r="M44" i="11" s="1"/>
  <c r="L30" i="11"/>
  <c r="L44" i="11" s="1"/>
  <c r="K30" i="11"/>
  <c r="K44" i="11" s="1"/>
  <c r="J30" i="11"/>
  <c r="J44" i="11" s="1"/>
  <c r="I30" i="11"/>
  <c r="I44" i="11" s="1"/>
  <c r="H30" i="11"/>
  <c r="H44" i="11" s="1"/>
  <c r="G30" i="11"/>
  <c r="G44" i="11" s="1"/>
  <c r="F30" i="11"/>
  <c r="F44" i="11" s="1"/>
  <c r="E30" i="11"/>
  <c r="BL25" i="11"/>
  <c r="BK25" i="11"/>
  <c r="BJ25" i="11"/>
  <c r="BI25" i="11"/>
  <c r="BH25" i="11"/>
  <c r="BG25" i="11"/>
  <c r="BF25" i="11"/>
  <c r="BE25" i="11"/>
  <c r="BD25" i="11"/>
  <c r="BC25" i="11"/>
  <c r="BB25" i="11"/>
  <c r="BA25" i="11"/>
  <c r="AZ25" i="11"/>
  <c r="AZ34" i="6" s="1"/>
  <c r="AY25" i="11"/>
  <c r="AX25" i="11"/>
  <c r="AW25" i="11"/>
  <c r="AV25" i="11"/>
  <c r="AU25" i="11"/>
  <c r="AT25" i="11"/>
  <c r="AS25" i="11"/>
  <c r="AR25" i="11"/>
  <c r="AQ25" i="11"/>
  <c r="AP25" i="11"/>
  <c r="AO25" i="11"/>
  <c r="AN25" i="11"/>
  <c r="AM25" i="11"/>
  <c r="AL25" i="11"/>
  <c r="AK25" i="11"/>
  <c r="AJ25" i="11"/>
  <c r="AI25" i="11"/>
  <c r="AH25" i="11"/>
  <c r="AG25" i="11"/>
  <c r="AG34" i="6" s="1"/>
  <c r="AF25" i="11"/>
  <c r="AE25" i="11"/>
  <c r="AD25" i="11"/>
  <c r="AC25" i="11"/>
  <c r="AB25" i="11"/>
  <c r="AA25" i="11"/>
  <c r="Z25" i="11"/>
  <c r="Y25" i="11"/>
  <c r="X25" i="11"/>
  <c r="X34" i="6" s="1"/>
  <c r="W25" i="11"/>
  <c r="E52" i="7" s="1"/>
  <c r="V25" i="11"/>
  <c r="U25" i="11"/>
  <c r="T25" i="11"/>
  <c r="S25" i="11"/>
  <c r="R25" i="11"/>
  <c r="Q25" i="11"/>
  <c r="P25" i="11"/>
  <c r="O25" i="11"/>
  <c r="N25" i="11"/>
  <c r="M25" i="11"/>
  <c r="L25" i="11"/>
  <c r="K25" i="11"/>
  <c r="J25" i="11"/>
  <c r="I25" i="11"/>
  <c r="H25" i="11"/>
  <c r="D25" i="11" s="1"/>
  <c r="G25" i="11"/>
  <c r="F25" i="11"/>
  <c r="E25" i="11"/>
  <c r="BL24" i="11"/>
  <c r="BK24" i="11"/>
  <c r="BJ24" i="11"/>
  <c r="BI24" i="11"/>
  <c r="BH24" i="11"/>
  <c r="H42" i="7" s="1"/>
  <c r="D33" i="9" s="1"/>
  <c r="E33" i="9" s="1"/>
  <c r="BG24" i="11"/>
  <c r="BF24" i="11"/>
  <c r="BE24" i="11"/>
  <c r="BD24" i="11"/>
  <c r="BC24" i="11"/>
  <c r="BB24" i="11"/>
  <c r="BA24" i="11"/>
  <c r="AZ24" i="11"/>
  <c r="AY24" i="11"/>
  <c r="AX24" i="11"/>
  <c r="AW24" i="11"/>
  <c r="AV24" i="11"/>
  <c r="AU24" i="11"/>
  <c r="AT24" i="11"/>
  <c r="AS24" i="11"/>
  <c r="AR24" i="11"/>
  <c r="AQ24" i="11"/>
  <c r="AP24" i="11"/>
  <c r="AO24" i="11"/>
  <c r="AN24" i="11"/>
  <c r="AM24" i="11"/>
  <c r="AL24" i="11"/>
  <c r="AK24" i="11"/>
  <c r="AJ24" i="11"/>
  <c r="F42" i="7" s="1"/>
  <c r="AI24" i="11"/>
  <c r="AH24" i="11"/>
  <c r="AG24" i="11"/>
  <c r="AF24" i="11"/>
  <c r="AE24" i="11"/>
  <c r="AD24" i="11"/>
  <c r="AC24" i="11"/>
  <c r="AB24" i="11"/>
  <c r="AA24" i="11"/>
  <c r="Z24" i="11"/>
  <c r="Y24" i="11"/>
  <c r="X24" i="11"/>
  <c r="W24" i="11"/>
  <c r="V24" i="11"/>
  <c r="U24" i="11"/>
  <c r="T24" i="11"/>
  <c r="S24" i="11"/>
  <c r="R24" i="11"/>
  <c r="Q24" i="11"/>
  <c r="P24" i="11"/>
  <c r="O24" i="11"/>
  <c r="N24" i="11"/>
  <c r="M24" i="11"/>
  <c r="L24" i="11"/>
  <c r="K24" i="11"/>
  <c r="J24" i="11"/>
  <c r="I24" i="11"/>
  <c r="H24" i="11"/>
  <c r="G24" i="11"/>
  <c r="F24" i="11"/>
  <c r="E24" i="11"/>
  <c r="AB20" i="11"/>
  <c r="AA20" i="11"/>
  <c r="Z20" i="11"/>
  <c r="Y20" i="11"/>
  <c r="T20" i="11"/>
  <c r="S20" i="11"/>
  <c r="S21" i="11" s="1"/>
  <c r="Q20" i="11"/>
  <c r="AB19" i="11"/>
  <c r="AA19" i="11"/>
  <c r="R19" i="11"/>
  <c r="J19" i="11"/>
  <c r="I19" i="11"/>
  <c r="H19" i="11"/>
  <c r="E19" i="11"/>
  <c r="T18" i="11"/>
  <c r="S18" i="11"/>
  <c r="P18" i="11"/>
  <c r="D15" i="11"/>
  <c r="D14" i="11"/>
  <c r="AA13" i="11"/>
  <c r="AA13" i="6" s="1"/>
  <c r="J13" i="11"/>
  <c r="J13" i="6" s="1"/>
  <c r="AB12" i="11"/>
  <c r="D16" i="11" s="1"/>
  <c r="AA12" i="11"/>
  <c r="Z12" i="11"/>
  <c r="Y12" i="11"/>
  <c r="X12" i="11"/>
  <c r="X20" i="11" s="1"/>
  <c r="W12" i="11"/>
  <c r="W20" i="11" s="1"/>
  <c r="V12" i="11"/>
  <c r="V20" i="11" s="1"/>
  <c r="U12" i="11"/>
  <c r="U20" i="11" s="1"/>
  <c r="T12" i="11"/>
  <c r="S12" i="11"/>
  <c r="R12" i="11"/>
  <c r="R20" i="11" s="1"/>
  <c r="Q12" i="11"/>
  <c r="P12" i="11"/>
  <c r="P20" i="11" s="1"/>
  <c r="O12" i="11"/>
  <c r="O20" i="11" s="1"/>
  <c r="N12" i="11"/>
  <c r="N20" i="11" s="1"/>
  <c r="M12" i="11"/>
  <c r="M20" i="11" s="1"/>
  <c r="L12" i="11"/>
  <c r="L20" i="11" s="1"/>
  <c r="K12" i="11"/>
  <c r="K20" i="11" s="1"/>
  <c r="J12" i="11"/>
  <c r="J20" i="11" s="1"/>
  <c r="I12" i="11"/>
  <c r="I20" i="11" s="1"/>
  <c r="H12" i="11"/>
  <c r="H20" i="11" s="1"/>
  <c r="G12" i="11"/>
  <c r="G20" i="11" s="1"/>
  <c r="F12" i="11"/>
  <c r="F20" i="11" s="1"/>
  <c r="E12" i="11"/>
  <c r="E20" i="11" s="1"/>
  <c r="AB11" i="11"/>
  <c r="AA11" i="11"/>
  <c r="Z11" i="11"/>
  <c r="Z19" i="11" s="1"/>
  <c r="Y11" i="11"/>
  <c r="Y19" i="11" s="1"/>
  <c r="X11" i="11"/>
  <c r="X19" i="11" s="1"/>
  <c r="W11" i="11"/>
  <c r="W19" i="11" s="1"/>
  <c r="V11" i="11"/>
  <c r="U11" i="11"/>
  <c r="T11" i="11"/>
  <c r="S11" i="11"/>
  <c r="S19" i="11" s="1"/>
  <c r="R11" i="11"/>
  <c r="Q11" i="11"/>
  <c r="P11" i="11"/>
  <c r="O11" i="11"/>
  <c r="O19" i="11" s="1"/>
  <c r="N11" i="11"/>
  <c r="M11" i="11"/>
  <c r="L11" i="11"/>
  <c r="K11" i="11"/>
  <c r="K19" i="11" s="1"/>
  <c r="J11" i="11"/>
  <c r="I11" i="11"/>
  <c r="H11" i="11"/>
  <c r="G11" i="11"/>
  <c r="G19" i="11" s="1"/>
  <c r="F11" i="11"/>
  <c r="F19" i="11" s="1"/>
  <c r="E11" i="11"/>
  <c r="AB10" i="11"/>
  <c r="AB18" i="11" s="1"/>
  <c r="AA10" i="11"/>
  <c r="AA18" i="11" s="1"/>
  <c r="Z10" i="11"/>
  <c r="Z18" i="11" s="1"/>
  <c r="Z21" i="11" s="1"/>
  <c r="Z14" i="6" s="1"/>
  <c r="Y10" i="11"/>
  <c r="X10" i="11"/>
  <c r="W10" i="11"/>
  <c r="W10" i="6" s="1"/>
  <c r="V10" i="11"/>
  <c r="V18" i="11" s="1"/>
  <c r="U10" i="11"/>
  <c r="U18" i="11" s="1"/>
  <c r="T10" i="11"/>
  <c r="S10" i="11"/>
  <c r="R10" i="11"/>
  <c r="Q10" i="11"/>
  <c r="P10" i="11"/>
  <c r="O10" i="11"/>
  <c r="O18" i="11" s="1"/>
  <c r="N10" i="11"/>
  <c r="N18" i="11" s="1"/>
  <c r="M10" i="11"/>
  <c r="M18" i="11" s="1"/>
  <c r="L10" i="11"/>
  <c r="L18" i="11" s="1"/>
  <c r="K10" i="11"/>
  <c r="K18" i="11" s="1"/>
  <c r="K21" i="11" s="1"/>
  <c r="J10" i="11"/>
  <c r="J18" i="11" s="1"/>
  <c r="I10" i="11"/>
  <c r="I18" i="11" s="1"/>
  <c r="H10" i="11"/>
  <c r="H18" i="11" s="1"/>
  <c r="G10" i="11"/>
  <c r="G18" i="11" s="1"/>
  <c r="G21" i="11" s="1"/>
  <c r="F10" i="11"/>
  <c r="E10" i="11"/>
  <c r="E5" i="11"/>
  <c r="E6" i="11" s="1"/>
  <c r="F4" i="11"/>
  <c r="F5" i="11" s="1"/>
  <c r="D13" i="10"/>
  <c r="F13" i="10" s="1"/>
  <c r="I21" i="9"/>
  <c r="I18" i="9"/>
  <c r="I15" i="9"/>
  <c r="I12" i="9"/>
  <c r="I9" i="9"/>
  <c r="I6" i="9"/>
  <c r="D85" i="8"/>
  <c r="D83" i="8"/>
  <c r="E80" i="8"/>
  <c r="D80" i="8"/>
  <c r="F80" i="8" s="1"/>
  <c r="C80" i="8"/>
  <c r="E79" i="8"/>
  <c r="D79" i="8"/>
  <c r="C79" i="8"/>
  <c r="E78" i="8"/>
  <c r="D78" i="8"/>
  <c r="C78" i="8"/>
  <c r="P77" i="8"/>
  <c r="G77" i="8"/>
  <c r="E77" i="8"/>
  <c r="D77" i="8"/>
  <c r="H77" i="8" s="1"/>
  <c r="I77" i="8" s="1"/>
  <c r="J77" i="8" s="1"/>
  <c r="C77" i="8"/>
  <c r="G76" i="8"/>
  <c r="D62" i="8"/>
  <c r="D60" i="8"/>
  <c r="E57" i="8"/>
  <c r="D57" i="8"/>
  <c r="P57" i="8" s="1"/>
  <c r="C57" i="8"/>
  <c r="E56" i="8"/>
  <c r="D56" i="8"/>
  <c r="C56" i="8"/>
  <c r="E55" i="8"/>
  <c r="D55" i="8"/>
  <c r="C55" i="8"/>
  <c r="P54" i="8"/>
  <c r="E54" i="8"/>
  <c r="D54" i="8"/>
  <c r="C54" i="8"/>
  <c r="G53" i="8"/>
  <c r="D39" i="8"/>
  <c r="D37" i="8"/>
  <c r="D38" i="8" s="1"/>
  <c r="P34" i="8"/>
  <c r="F34" i="8"/>
  <c r="E34" i="8"/>
  <c r="D34" i="8"/>
  <c r="N34" i="8" s="1"/>
  <c r="O34" i="8" s="1"/>
  <c r="C34" i="8"/>
  <c r="E33" i="8"/>
  <c r="D33" i="8"/>
  <c r="C33" i="8"/>
  <c r="E32" i="8"/>
  <c r="D32" i="8"/>
  <c r="C32" i="8"/>
  <c r="P31" i="8"/>
  <c r="F31" i="8"/>
  <c r="E31" i="8"/>
  <c r="D31" i="8"/>
  <c r="C31" i="8"/>
  <c r="G30" i="8"/>
  <c r="G31" i="8" s="1"/>
  <c r="E11" i="8"/>
  <c r="F108" i="7"/>
  <c r="E108" i="7"/>
  <c r="D89" i="7"/>
  <c r="E79" i="7"/>
  <c r="D79" i="7"/>
  <c r="H69" i="7"/>
  <c r="AE34" i="6"/>
  <c r="AA34" i="6"/>
  <c r="V34" i="6"/>
  <c r="AF28" i="6"/>
  <c r="AE28" i="6"/>
  <c r="Y28" i="6"/>
  <c r="BJ16" i="6"/>
  <c r="BC16" i="6"/>
  <c r="BB16" i="6"/>
  <c r="AZ16" i="6"/>
  <c r="AX16" i="6"/>
  <c r="AU16" i="6"/>
  <c r="Z16" i="6"/>
  <c r="K16" i="6"/>
  <c r="Y12" i="6"/>
  <c r="Q12" i="6"/>
  <c r="F12" i="6"/>
  <c r="X11" i="6"/>
  <c r="V11" i="6"/>
  <c r="F11" i="6"/>
  <c r="Z10" i="6"/>
  <c r="U10" i="6"/>
  <c r="T10" i="6"/>
  <c r="S10" i="6"/>
  <c r="E5" i="6"/>
  <c r="E7" i="6" s="1"/>
  <c r="F4" i="6"/>
  <c r="G4" i="6" s="1"/>
  <c r="G5" i="6" s="1"/>
  <c r="B3" i="5"/>
  <c r="Q53" i="4"/>
  <c r="R53" i="4" s="1"/>
  <c r="Q52" i="4"/>
  <c r="R52" i="4" s="1"/>
  <c r="Q51" i="4"/>
  <c r="R51" i="4" s="1"/>
  <c r="R50" i="4"/>
  <c r="Q50" i="4"/>
  <c r="Q49" i="4"/>
  <c r="R49" i="4" s="1"/>
  <c r="Q48" i="4"/>
  <c r="R48" i="4" s="1"/>
  <c r="R47" i="4"/>
  <c r="Q47" i="4"/>
  <c r="Q46" i="4"/>
  <c r="R46" i="4" s="1"/>
  <c r="Q45" i="4"/>
  <c r="R45" i="4" s="1"/>
  <c r="Q44" i="4"/>
  <c r="R44" i="4" s="1"/>
  <c r="Q43" i="4"/>
  <c r="R43" i="4" s="1"/>
  <c r="Q42" i="4"/>
  <c r="R42" i="4" s="1"/>
  <c r="Q41" i="4"/>
  <c r="R41" i="4" s="1"/>
  <c r="Q40" i="4"/>
  <c r="R40" i="4" s="1"/>
  <c r="R39" i="4"/>
  <c r="Q39" i="4"/>
  <c r="Q38" i="4"/>
  <c r="R38" i="4" s="1"/>
  <c r="Q37" i="4"/>
  <c r="R37" i="4" s="1"/>
  <c r="Q36" i="4"/>
  <c r="R36" i="4" s="1"/>
  <c r="Q32" i="4"/>
  <c r="R32" i="4" s="1"/>
  <c r="Q31" i="4"/>
  <c r="R31" i="4" s="1"/>
  <c r="Q30" i="4"/>
  <c r="R30" i="4" s="1"/>
  <c r="Q29" i="4"/>
  <c r="R29" i="4" s="1"/>
  <c r="Q28" i="4"/>
  <c r="R28" i="4" s="1"/>
  <c r="Q27" i="4"/>
  <c r="R27" i="4" s="1"/>
  <c r="Q26" i="4"/>
  <c r="R26" i="4" s="1"/>
  <c r="Q25" i="4"/>
  <c r="R25" i="4" s="1"/>
  <c r="Q24" i="4"/>
  <c r="R24" i="4" s="1"/>
  <c r="Q23" i="4"/>
  <c r="R23" i="4" s="1"/>
  <c r="Q22" i="4"/>
  <c r="R22" i="4" s="1"/>
  <c r="Q21" i="4"/>
  <c r="R21" i="4" s="1"/>
  <c r="Q20" i="4"/>
  <c r="R20" i="4" s="1"/>
  <c r="Q19" i="4"/>
  <c r="R19" i="4" s="1"/>
  <c r="Q18" i="4"/>
  <c r="R18" i="4" s="1"/>
  <c r="R17" i="4"/>
  <c r="Q17" i="4"/>
  <c r="Q16" i="4"/>
  <c r="R16" i="4" s="1"/>
  <c r="Q15" i="4"/>
  <c r="R15" i="4" s="1"/>
  <c r="Q14" i="4"/>
  <c r="R14" i="4" s="1"/>
  <c r="Q13" i="4"/>
  <c r="R13" i="4" s="1"/>
  <c r="Q12" i="4"/>
  <c r="R12" i="4" s="1"/>
  <c r="Q11" i="4"/>
  <c r="R11" i="4" s="1"/>
  <c r="Q10" i="4"/>
  <c r="R10" i="4" s="1"/>
  <c r="Q9" i="4"/>
  <c r="R9" i="4" s="1"/>
  <c r="Q8" i="4"/>
  <c r="R8" i="4" s="1"/>
  <c r="Q7" i="4"/>
  <c r="R7" i="4" s="1"/>
  <c r="Q6" i="4"/>
  <c r="R6" i="4" s="1"/>
  <c r="I87" i="3"/>
  <c r="I86" i="3"/>
  <c r="I84" i="3"/>
  <c r="I83" i="3"/>
  <c r="I82" i="3"/>
  <c r="I81" i="3"/>
  <c r="I80" i="3"/>
  <c r="I79" i="3"/>
  <c r="I78" i="3"/>
  <c r="I77" i="3"/>
  <c r="I76" i="3"/>
  <c r="I75" i="3"/>
  <c r="I74" i="3"/>
  <c r="I73" i="3"/>
  <c r="I71" i="3"/>
  <c r="I70" i="3"/>
  <c r="I69" i="3"/>
  <c r="I68" i="3"/>
  <c r="I66" i="3"/>
  <c r="I65" i="3"/>
  <c r="I64" i="3"/>
  <c r="I63" i="3"/>
  <c r="I62" i="3"/>
  <c r="I61" i="3"/>
  <c r="I59" i="3"/>
  <c r="I58" i="3"/>
  <c r="I57" i="3"/>
  <c r="I56" i="3"/>
  <c r="I55" i="3"/>
  <c r="I54" i="3"/>
  <c r="I53" i="3"/>
  <c r="I52" i="3"/>
  <c r="I51" i="3"/>
  <c r="I50" i="3"/>
  <c r="I49" i="3"/>
  <c r="I48" i="3"/>
  <c r="I47" i="3"/>
  <c r="I46" i="3"/>
  <c r="I45" i="3"/>
  <c r="I44" i="3"/>
  <c r="I43" i="3"/>
  <c r="I42" i="3"/>
  <c r="I40" i="3"/>
  <c r="I39" i="3"/>
  <c r="I38" i="3"/>
  <c r="I37" i="3"/>
  <c r="I36" i="3"/>
  <c r="I35" i="3"/>
  <c r="I34" i="3"/>
  <c r="I33" i="3"/>
  <c r="I32" i="3"/>
  <c r="I29" i="3"/>
  <c r="I28" i="3"/>
  <c r="I27" i="3"/>
  <c r="I26" i="3"/>
  <c r="I25" i="3"/>
  <c r="I24" i="3"/>
  <c r="I22" i="3"/>
  <c r="I21" i="3"/>
  <c r="I20" i="3"/>
  <c r="I19" i="3"/>
  <c r="I18" i="3"/>
  <c r="I17" i="3"/>
  <c r="I15" i="3"/>
  <c r="I14" i="3"/>
  <c r="I13" i="3"/>
  <c r="I12" i="3"/>
  <c r="I11" i="3"/>
  <c r="I10" i="3"/>
  <c r="D6" i="3"/>
  <c r="U34" i="6" s="1"/>
  <c r="H27" i="13" l="1"/>
  <c r="F33" i="13"/>
  <c r="F21" i="13"/>
  <c r="W34" i="6"/>
  <c r="BG44" i="11"/>
  <c r="P13" i="12"/>
  <c r="P21" i="12"/>
  <c r="G108" i="7"/>
  <c r="E6" i="13"/>
  <c r="E26" i="13" s="1"/>
  <c r="G12" i="6"/>
  <c r="H108" i="7"/>
  <c r="R13" i="12"/>
  <c r="R27" i="12" s="1"/>
  <c r="H12" i="6"/>
  <c r="G4" i="11"/>
  <c r="F45" i="11"/>
  <c r="D14" i="12"/>
  <c r="AC10" i="12" s="1"/>
  <c r="E13" i="13"/>
  <c r="AB18" i="13"/>
  <c r="D14" i="8"/>
  <c r="P78" i="8"/>
  <c r="E42" i="7"/>
  <c r="G42" i="7"/>
  <c r="D16" i="12"/>
  <c r="F13" i="13"/>
  <c r="D30" i="13"/>
  <c r="S12" i="6"/>
  <c r="BG16" i="6"/>
  <c r="BD34" i="6"/>
  <c r="E7" i="11"/>
  <c r="E26" i="11"/>
  <c r="F5" i="6"/>
  <c r="F6" i="6" s="1"/>
  <c r="U12" i="6"/>
  <c r="BH16" i="6"/>
  <c r="BE34" i="6"/>
  <c r="H13" i="11"/>
  <c r="H13" i="6" s="1"/>
  <c r="E6" i="6"/>
  <c r="X12" i="6"/>
  <c r="BI16" i="6"/>
  <c r="F15" i="7"/>
  <c r="E88" i="7"/>
  <c r="H31" i="8"/>
  <c r="I31" i="8" s="1"/>
  <c r="G32" i="8" s="1"/>
  <c r="I13" i="11"/>
  <c r="I13" i="6" s="1"/>
  <c r="X13" i="12"/>
  <c r="P13" i="13"/>
  <c r="D90" i="7"/>
  <c r="V10" i="6"/>
  <c r="E90" i="7"/>
  <c r="O21" i="11"/>
  <c r="O14" i="6" s="1"/>
  <c r="H21" i="13"/>
  <c r="H22" i="13" s="1"/>
  <c r="E31" i="13"/>
  <c r="F31" i="13" s="1"/>
  <c r="G31" i="13" s="1"/>
  <c r="H31" i="13" s="1"/>
  <c r="I31" i="13" s="1"/>
  <c r="J31" i="13" s="1"/>
  <c r="I11" i="6"/>
  <c r="M16" i="6"/>
  <c r="AW28" i="6"/>
  <c r="D62" i="7"/>
  <c r="N57" i="8"/>
  <c r="O57" i="8" s="1"/>
  <c r="N21" i="12"/>
  <c r="I21" i="11"/>
  <c r="I14" i="6" s="1"/>
  <c r="G69" i="7"/>
  <c r="E36" i="7"/>
  <c r="E13" i="9" s="1"/>
  <c r="E14" i="9" s="1"/>
  <c r="J21" i="11"/>
  <c r="J14" i="6" s="1"/>
  <c r="H11" i="6"/>
  <c r="AS28" i="6"/>
  <c r="F57" i="8"/>
  <c r="J11" i="6"/>
  <c r="N16" i="6"/>
  <c r="AX28" i="6"/>
  <c r="E62" i="7"/>
  <c r="D42" i="7"/>
  <c r="U13" i="13"/>
  <c r="D36" i="7"/>
  <c r="E7" i="12"/>
  <c r="N80" i="8"/>
  <c r="O80" i="8" s="1"/>
  <c r="L16" i="6"/>
  <c r="B16" i="1"/>
  <c r="K11" i="6"/>
  <c r="O16" i="6"/>
  <c r="AY28" i="6"/>
  <c r="D63" i="7"/>
  <c r="G54" i="7"/>
  <c r="G27" i="7" s="1"/>
  <c r="P80" i="8"/>
  <c r="G21" i="13"/>
  <c r="V16" i="6"/>
  <c r="E44" i="13"/>
  <c r="D11" i="10"/>
  <c r="F11" i="10" s="1"/>
  <c r="T11" i="6"/>
  <c r="X16" i="6"/>
  <c r="O34" i="6"/>
  <c r="G13" i="12"/>
  <c r="G22" i="12" s="1"/>
  <c r="F45" i="13"/>
  <c r="E69" i="7"/>
  <c r="I69" i="7" s="1"/>
  <c r="AB19" i="13"/>
  <c r="G11" i="6"/>
  <c r="M11" i="6"/>
  <c r="AZ28" i="6"/>
  <c r="E63" i="7"/>
  <c r="R19" i="12"/>
  <c r="R21" i="12" s="1"/>
  <c r="R22" i="12" s="1"/>
  <c r="U11" i="6"/>
  <c r="Y16" i="6"/>
  <c r="D108" i="7"/>
  <c r="U13" i="11"/>
  <c r="M13" i="12"/>
  <c r="M27" i="12" s="1"/>
  <c r="G6" i="6"/>
  <c r="G7" i="6"/>
  <c r="G8" i="6" s="1"/>
  <c r="R13" i="11"/>
  <c r="R18" i="11"/>
  <c r="R21" i="11" s="1"/>
  <c r="R14" i="6" s="1"/>
  <c r="F54" i="7"/>
  <c r="F27" i="7" s="1"/>
  <c r="AI44" i="11"/>
  <c r="AI28" i="6" s="1"/>
  <c r="H52" i="7"/>
  <c r="H25" i="7" s="1"/>
  <c r="X27" i="12"/>
  <c r="BA34" i="6"/>
  <c r="AL12" i="11"/>
  <c r="AL20" i="11" s="1"/>
  <c r="AN12" i="11"/>
  <c r="AM12" i="11"/>
  <c r="AM20" i="11" s="1"/>
  <c r="AK12" i="11"/>
  <c r="AK20" i="11" s="1"/>
  <c r="AJ12" i="11"/>
  <c r="AE12" i="11"/>
  <c r="AE20" i="11" s="1"/>
  <c r="AC12" i="11"/>
  <c r="AI12" i="11"/>
  <c r="AH12" i="11"/>
  <c r="AG12" i="11"/>
  <c r="AF12" i="11"/>
  <c r="AF20" i="11" s="1"/>
  <c r="AD12" i="11"/>
  <c r="AD20" i="11" s="1"/>
  <c r="F6" i="11"/>
  <c r="F26" i="11" s="1"/>
  <c r="F7" i="11"/>
  <c r="F55" i="8"/>
  <c r="I42" i="7"/>
  <c r="I15" i="7" s="1"/>
  <c r="G52" i="7"/>
  <c r="G25" i="7" s="1"/>
  <c r="Q13" i="11"/>
  <c r="E34" i="7"/>
  <c r="Q18" i="11"/>
  <c r="W27" i="12"/>
  <c r="H4" i="6"/>
  <c r="U27" i="11"/>
  <c r="F52" i="7"/>
  <c r="D12" i="10"/>
  <c r="F12" i="10" s="1"/>
  <c r="P55" i="8"/>
  <c r="AB34" i="6"/>
  <c r="D52" i="7"/>
  <c r="B3" i="6"/>
  <c r="N11" i="6"/>
  <c r="P16" i="6"/>
  <c r="BK16" i="6"/>
  <c r="AT28" i="6"/>
  <c r="AI34" i="6"/>
  <c r="D16" i="8"/>
  <c r="Q11" i="6"/>
  <c r="R16" i="6"/>
  <c r="AU28" i="6"/>
  <c r="AL34" i="6"/>
  <c r="E8" i="6"/>
  <c r="S11" i="6"/>
  <c r="S16" i="6"/>
  <c r="AV28" i="6"/>
  <c r="AY34" i="6"/>
  <c r="K10" i="6"/>
  <c r="Z11" i="6"/>
  <c r="I12" i="6"/>
  <c r="AA16" i="6"/>
  <c r="BA28" i="6"/>
  <c r="BH34" i="6"/>
  <c r="L13" i="11"/>
  <c r="L19" i="11"/>
  <c r="D35" i="7"/>
  <c r="Y13" i="12"/>
  <c r="Y18" i="12"/>
  <c r="Y21" i="12" s="1"/>
  <c r="E61" i="7"/>
  <c r="L10" i="6"/>
  <c r="AB11" i="6"/>
  <c r="J12" i="6"/>
  <c r="AD16" i="6"/>
  <c r="BC28" i="6"/>
  <c r="BK34" i="6"/>
  <c r="Z13" i="12"/>
  <c r="Z18" i="12"/>
  <c r="Z21" i="12" s="1"/>
  <c r="H27" i="11"/>
  <c r="H18" i="6" s="1"/>
  <c r="C11" i="8"/>
  <c r="G9" i="8"/>
  <c r="N11" i="8"/>
  <c r="C10" i="8"/>
  <c r="F8" i="8"/>
  <c r="D15" i="7"/>
  <c r="B5" i="7"/>
  <c r="AQ34" i="6"/>
  <c r="S34" i="6"/>
  <c r="E8" i="8"/>
  <c r="AP34" i="6"/>
  <c r="R34" i="6"/>
  <c r="BG28" i="6"/>
  <c r="K28" i="6"/>
  <c r="BF16" i="6"/>
  <c r="AH16" i="6"/>
  <c r="J16" i="6"/>
  <c r="D8" i="8"/>
  <c r="AO34" i="6"/>
  <c r="Q34" i="6"/>
  <c r="BF28" i="6"/>
  <c r="AH28" i="6"/>
  <c r="J28" i="6"/>
  <c r="BE16" i="6"/>
  <c r="AG16" i="6"/>
  <c r="I16" i="6"/>
  <c r="K14" i="6"/>
  <c r="C8" i="8"/>
  <c r="BL34" i="6"/>
  <c r="AN34" i="6"/>
  <c r="P34" i="6"/>
  <c r="BE28" i="6"/>
  <c r="AG28" i="6"/>
  <c r="I28" i="6"/>
  <c r="BD16" i="6"/>
  <c r="AF16" i="6"/>
  <c r="H16" i="6"/>
  <c r="G7" i="8"/>
  <c r="BI34" i="6"/>
  <c r="AK34" i="6"/>
  <c r="M34" i="6"/>
  <c r="BB28" i="6"/>
  <c r="AD28" i="6"/>
  <c r="F28" i="6"/>
  <c r="BA16" i="6"/>
  <c r="AC16" i="6"/>
  <c r="B5" i="8"/>
  <c r="D11" i="8"/>
  <c r="O11" i="8"/>
  <c r="C9" i="8"/>
  <c r="BJ34" i="6"/>
  <c r="AF34" i="6"/>
  <c r="E31" i="6"/>
  <c r="AR28" i="6"/>
  <c r="P28" i="6"/>
  <c r="E22" i="6"/>
  <c r="AY16" i="6"/>
  <c r="W16" i="6"/>
  <c r="R13" i="6"/>
  <c r="AC12" i="6"/>
  <c r="E12" i="6"/>
  <c r="R11" i="6"/>
  <c r="G10" i="6"/>
  <c r="BG34" i="6"/>
  <c r="AD34" i="6"/>
  <c r="AP28" i="6"/>
  <c r="N28" i="6"/>
  <c r="AW16" i="6"/>
  <c r="U16" i="6"/>
  <c r="G14" i="6"/>
  <c r="AA12" i="6"/>
  <c r="P11" i="6"/>
  <c r="E10" i="6"/>
  <c r="F11" i="8"/>
  <c r="BF34" i="6"/>
  <c r="AC34" i="6"/>
  <c r="AO28" i="6"/>
  <c r="M28" i="6"/>
  <c r="AV16" i="6"/>
  <c r="T16" i="6"/>
  <c r="Z12" i="6"/>
  <c r="O11" i="6"/>
  <c r="AB10" i="6"/>
  <c r="F25" i="7"/>
  <c r="H15" i="7"/>
  <c r="BC34" i="6"/>
  <c r="Z34" i="6"/>
  <c r="E29" i="6"/>
  <c r="AL28" i="6"/>
  <c r="G28" i="6"/>
  <c r="AS16" i="6"/>
  <c r="Q16" i="6"/>
  <c r="L13" i="6"/>
  <c r="W12" i="6"/>
  <c r="L11" i="6"/>
  <c r="Y10" i="6"/>
  <c r="E25" i="7"/>
  <c r="G15" i="7"/>
  <c r="BB34" i="6"/>
  <c r="Y34" i="6"/>
  <c r="AK28" i="6"/>
  <c r="AW34" i="6"/>
  <c r="T34" i="6"/>
  <c r="BH28" i="6"/>
  <c r="AB28" i="6"/>
  <c r="AX34" i="6"/>
  <c r="I34" i="6"/>
  <c r="AQ28" i="6"/>
  <c r="AP16" i="6"/>
  <c r="G16" i="6"/>
  <c r="AF12" i="6"/>
  <c r="E11" i="6"/>
  <c r="J10" i="6"/>
  <c r="D11" i="7"/>
  <c r="AV34" i="6"/>
  <c r="H34" i="6"/>
  <c r="AN28" i="6"/>
  <c r="AO16" i="6"/>
  <c r="F16" i="6"/>
  <c r="AE12" i="6"/>
  <c r="I10" i="6"/>
  <c r="E9" i="8"/>
  <c r="AU34" i="6"/>
  <c r="G34" i="6"/>
  <c r="AM28" i="6"/>
  <c r="AN16" i="6"/>
  <c r="E16" i="6"/>
  <c r="AD12" i="6"/>
  <c r="H10" i="6"/>
  <c r="D9" i="8"/>
  <c r="AT34" i="6"/>
  <c r="F34" i="6"/>
  <c r="AJ28" i="6"/>
  <c r="U18" i="6"/>
  <c r="AM16" i="6"/>
  <c r="AB12" i="6"/>
  <c r="F10" i="6"/>
  <c r="P8" i="8"/>
  <c r="AS34" i="6"/>
  <c r="E34" i="6"/>
  <c r="E9" i="7"/>
  <c r="AR34" i="6"/>
  <c r="D34" i="6"/>
  <c r="D9" i="7"/>
  <c r="AM34" i="6"/>
  <c r="D31" i="6"/>
  <c r="AC28" i="6"/>
  <c r="AJ16" i="6"/>
  <c r="V12" i="6"/>
  <c r="AA11" i="6"/>
  <c r="D15" i="8"/>
  <c r="AJ34" i="6"/>
  <c r="F29" i="6"/>
  <c r="Z28" i="6"/>
  <c r="E17" i="6"/>
  <c r="AE16" i="6"/>
  <c r="U13" i="6"/>
  <c r="T12" i="6"/>
  <c r="Y11" i="6"/>
  <c r="AA10" i="6"/>
  <c r="P11" i="8"/>
  <c r="E15" i="7"/>
  <c r="AH34" i="6"/>
  <c r="BK28" i="6"/>
  <c r="X28" i="6"/>
  <c r="BL16" i="6"/>
  <c r="AB16" i="6"/>
  <c r="R12" i="6"/>
  <c r="W11" i="6"/>
  <c r="X10" i="6"/>
  <c r="N10" i="6"/>
  <c r="L12" i="6"/>
  <c r="AK16" i="6"/>
  <c r="L28" i="6"/>
  <c r="BI28" i="6"/>
  <c r="I8" i="8"/>
  <c r="I22" i="11"/>
  <c r="AI16" i="6"/>
  <c r="O10" i="6"/>
  <c r="M12" i="6"/>
  <c r="S14" i="6"/>
  <c r="AL16" i="6"/>
  <c r="O28" i="6"/>
  <c r="BJ28" i="6"/>
  <c r="J34" i="6"/>
  <c r="H32" i="8"/>
  <c r="I32" i="8" s="1"/>
  <c r="J32" i="8" s="1"/>
  <c r="J9" i="8" s="1"/>
  <c r="F32" i="8"/>
  <c r="F9" i="8" s="1"/>
  <c r="P32" i="8"/>
  <c r="P9" i="8" s="1"/>
  <c r="J27" i="11"/>
  <c r="J18" i="6" s="1"/>
  <c r="M10" i="6"/>
  <c r="G8" i="8"/>
  <c r="P10" i="6"/>
  <c r="N12" i="6"/>
  <c r="AQ16" i="6"/>
  <c r="Q28" i="6"/>
  <c r="BL28" i="6"/>
  <c r="K34" i="6"/>
  <c r="K13" i="11"/>
  <c r="K12" i="6"/>
  <c r="H28" i="6"/>
  <c r="BD28" i="6"/>
  <c r="Q10" i="6"/>
  <c r="O12" i="6"/>
  <c r="AR16" i="6"/>
  <c r="R28" i="6"/>
  <c r="L34" i="6"/>
  <c r="I96" i="7"/>
  <c r="I106" i="7"/>
  <c r="D10" i="8"/>
  <c r="P79" i="8"/>
  <c r="F79" i="8"/>
  <c r="O13" i="11"/>
  <c r="R10" i="6"/>
  <c r="P12" i="6"/>
  <c r="AT16" i="6"/>
  <c r="S28" i="6"/>
  <c r="N34" i="6"/>
  <c r="D13" i="9"/>
  <c r="E10" i="8"/>
  <c r="AA27" i="11"/>
  <c r="AA18" i="6" s="1"/>
  <c r="V44" i="12"/>
  <c r="E81" i="7"/>
  <c r="P56" i="8"/>
  <c r="F56" i="8"/>
  <c r="E33" i="12"/>
  <c r="AT44" i="12"/>
  <c r="G78" i="8"/>
  <c r="K77" i="8"/>
  <c r="M19" i="11"/>
  <c r="M21" i="11" s="1"/>
  <c r="M14" i="6" s="1"/>
  <c r="M13" i="11"/>
  <c r="J19" i="12"/>
  <c r="J13" i="12"/>
  <c r="G54" i="8"/>
  <c r="N13" i="11"/>
  <c r="N19" i="11"/>
  <c r="N21" i="11" s="1"/>
  <c r="N14" i="6" s="1"/>
  <c r="D30" i="11"/>
  <c r="P33" i="8"/>
  <c r="F33" i="8"/>
  <c r="F10" i="8" s="1"/>
  <c r="AA21" i="11"/>
  <c r="P19" i="11"/>
  <c r="P21" i="11" s="1"/>
  <c r="P14" i="6" s="1"/>
  <c r="P13" i="11"/>
  <c r="P13" i="6" s="1"/>
  <c r="AC11" i="11"/>
  <c r="AC11" i="6" s="1"/>
  <c r="F54" i="8"/>
  <c r="E13" i="11"/>
  <c r="D34" i="7"/>
  <c r="AC10" i="11"/>
  <c r="AC10" i="6" s="1"/>
  <c r="Q19" i="11"/>
  <c r="E35" i="7"/>
  <c r="E10" i="9" s="1"/>
  <c r="E11" i="9" s="1"/>
  <c r="F13" i="11"/>
  <c r="F18" i="11"/>
  <c r="F21" i="11" s="1"/>
  <c r="F14" i="6" s="1"/>
  <c r="AD10" i="11"/>
  <c r="AE10" i="11" s="1"/>
  <c r="E18" i="11"/>
  <c r="I79" i="7"/>
  <c r="K31" i="8"/>
  <c r="K8" i="8" s="1"/>
  <c r="J31" i="8"/>
  <c r="J8" i="8" s="1"/>
  <c r="T19" i="11"/>
  <c r="T21" i="11" s="1"/>
  <c r="T14" i="6" s="1"/>
  <c r="T13" i="11"/>
  <c r="D61" i="8"/>
  <c r="V13" i="11"/>
  <c r="V19" i="11"/>
  <c r="V21" i="11" s="1"/>
  <c r="V14" i="6" s="1"/>
  <c r="I19" i="12"/>
  <c r="I21" i="12" s="1"/>
  <c r="D30" i="12"/>
  <c r="E54" i="7"/>
  <c r="E27" i="7" s="1"/>
  <c r="D84" i="8"/>
  <c r="E37" i="11"/>
  <c r="E38" i="11"/>
  <c r="E39" i="11"/>
  <c r="E8" i="11"/>
  <c r="AG44" i="12"/>
  <c r="F81" i="7"/>
  <c r="BE44" i="12"/>
  <c r="H81" i="7"/>
  <c r="E27" i="13"/>
  <c r="W13" i="11"/>
  <c r="W18" i="11"/>
  <c r="W21" i="11" s="1"/>
  <c r="W14" i="6" s="1"/>
  <c r="K20" i="12"/>
  <c r="K21" i="12" s="1"/>
  <c r="K13" i="12"/>
  <c r="F27" i="13"/>
  <c r="F22" i="13"/>
  <c r="X13" i="11"/>
  <c r="X18" i="11"/>
  <c r="X21" i="11" s="1"/>
  <c r="X14" i="6" s="1"/>
  <c r="G27" i="13"/>
  <c r="G22" i="13"/>
  <c r="Y13" i="11"/>
  <c r="Y13" i="6" s="1"/>
  <c r="Y18" i="11"/>
  <c r="Y21" i="11" s="1"/>
  <c r="Y14" i="6" s="1"/>
  <c r="AB21" i="11"/>
  <c r="AB14" i="6" s="1"/>
  <c r="F77" i="8"/>
  <c r="AA13" i="12"/>
  <c r="AA18" i="12"/>
  <c r="AA21" i="12" s="1"/>
  <c r="AB13" i="11"/>
  <c r="AB13" i="6" s="1"/>
  <c r="E13" i="12"/>
  <c r="E18" i="12"/>
  <c r="AC18" i="12"/>
  <c r="AD10" i="12"/>
  <c r="AE10" i="12" s="1"/>
  <c r="G13" i="11"/>
  <c r="U19" i="11"/>
  <c r="U21" i="11" s="1"/>
  <c r="U22" i="11" s="1"/>
  <c r="D24" i="11"/>
  <c r="D16" i="6" s="1"/>
  <c r="G5" i="11"/>
  <c r="H21" i="11"/>
  <c r="H14" i="6" s="1"/>
  <c r="G27" i="12"/>
  <c r="S13" i="11"/>
  <c r="E31" i="11"/>
  <c r="E44" i="11"/>
  <c r="E28" i="6" s="1"/>
  <c r="E26" i="12"/>
  <c r="D25" i="12"/>
  <c r="AB19" i="12"/>
  <c r="D15" i="12"/>
  <c r="AB13" i="12"/>
  <c r="M22" i="12"/>
  <c r="D54" i="7"/>
  <c r="L21" i="11"/>
  <c r="L14" i="6" s="1"/>
  <c r="N13" i="12"/>
  <c r="F78" i="8"/>
  <c r="O22" i="12"/>
  <c r="W18" i="13"/>
  <c r="W21" i="13" s="1"/>
  <c r="W13" i="13"/>
  <c r="Z13" i="11"/>
  <c r="Q21" i="12"/>
  <c r="X18" i="13"/>
  <c r="X21" i="13" s="1"/>
  <c r="X13" i="13"/>
  <c r="V13" i="12"/>
  <c r="F13" i="12"/>
  <c r="F18" i="12"/>
  <c r="F21" i="12" s="1"/>
  <c r="V21" i="12"/>
  <c r="E37" i="12"/>
  <c r="E8" i="12"/>
  <c r="E39" i="12"/>
  <c r="E38" i="12"/>
  <c r="H18" i="12"/>
  <c r="H21" i="12" s="1"/>
  <c r="H13" i="12"/>
  <c r="X21" i="12"/>
  <c r="X22" i="12" s="1"/>
  <c r="F5" i="12"/>
  <c r="F45" i="12"/>
  <c r="I13" i="12"/>
  <c r="G4" i="12"/>
  <c r="J21" i="12"/>
  <c r="AB21" i="12"/>
  <c r="L18" i="12"/>
  <c r="L21" i="12" s="1"/>
  <c r="L13" i="12"/>
  <c r="E44" i="12"/>
  <c r="D44" i="12" s="1"/>
  <c r="E31" i="12"/>
  <c r="F31" i="12" s="1"/>
  <c r="G31" i="12" s="1"/>
  <c r="H31" i="12" s="1"/>
  <c r="U13" i="12"/>
  <c r="U19" i="12"/>
  <c r="U21" i="12" s="1"/>
  <c r="D24" i="13"/>
  <c r="W21" i="12"/>
  <c r="W22" i="12" s="1"/>
  <c r="G21" i="12"/>
  <c r="AN12" i="12"/>
  <c r="AE12" i="12"/>
  <c r="AE20" i="12" s="1"/>
  <c r="AD12" i="12"/>
  <c r="AD20" i="12" s="1"/>
  <c r="AC12" i="12"/>
  <c r="L21" i="13"/>
  <c r="Q13" i="12"/>
  <c r="N13" i="13"/>
  <c r="H33" i="13"/>
  <c r="E33" i="13"/>
  <c r="P22" i="13"/>
  <c r="P27" i="13"/>
  <c r="Q27" i="13"/>
  <c r="G33" i="13"/>
  <c r="Y13" i="13"/>
  <c r="Y19" i="13"/>
  <c r="R27" i="13"/>
  <c r="S22" i="13"/>
  <c r="S27" i="13"/>
  <c r="U27" i="13"/>
  <c r="D16" i="13"/>
  <c r="AB20" i="13"/>
  <c r="AB13" i="13"/>
  <c r="V27" i="13"/>
  <c r="V22" i="13"/>
  <c r="E18" i="13"/>
  <c r="AC18" i="13"/>
  <c r="AD10" i="13"/>
  <c r="U18" i="13"/>
  <c r="U21" i="13" s="1"/>
  <c r="U22" i="13" s="1"/>
  <c r="D44" i="13"/>
  <c r="I13" i="13"/>
  <c r="J18" i="13"/>
  <c r="J21" i="13" s="1"/>
  <c r="J13" i="13"/>
  <c r="G45" i="13"/>
  <c r="H4" i="13"/>
  <c r="G5" i="13"/>
  <c r="K18" i="13"/>
  <c r="K21" i="13" s="1"/>
  <c r="K13" i="13"/>
  <c r="E37" i="13"/>
  <c r="E39" i="13"/>
  <c r="E38" i="13"/>
  <c r="L13" i="13"/>
  <c r="M13" i="13"/>
  <c r="N21" i="13"/>
  <c r="O21" i="13"/>
  <c r="O13" i="13"/>
  <c r="P21" i="13"/>
  <c r="Q21" i="13"/>
  <c r="K31" i="13"/>
  <c r="L31" i="13" s="1"/>
  <c r="M31" i="13" s="1"/>
  <c r="N31" i="13" s="1"/>
  <c r="R21" i="13"/>
  <c r="R22" i="13" s="1"/>
  <c r="E8" i="13"/>
  <c r="T21" i="13"/>
  <c r="T22" i="13" s="1"/>
  <c r="F6" i="13"/>
  <c r="F7" i="13"/>
  <c r="Z13" i="13"/>
  <c r="Z18" i="13"/>
  <c r="Z21" i="13" s="1"/>
  <c r="AA13" i="13"/>
  <c r="AA18" i="13"/>
  <c r="AA21" i="13" s="1"/>
  <c r="AC11" i="13"/>
  <c r="AD11" i="13"/>
  <c r="AD19" i="13" s="1"/>
  <c r="D25" i="13"/>
  <c r="F26" i="13"/>
  <c r="E8" i="7" l="1"/>
  <c r="G33" i="12"/>
  <c r="AE11" i="13"/>
  <c r="F33" i="12"/>
  <c r="F7" i="6"/>
  <c r="F8" i="6" s="1"/>
  <c r="H4" i="11"/>
  <c r="G45" i="11"/>
  <c r="G29" i="6" s="1"/>
  <c r="AD11" i="11"/>
  <c r="AD11" i="6" s="1"/>
  <c r="I27" i="11"/>
  <c r="I18" i="6" s="1"/>
  <c r="AM12" i="6"/>
  <c r="P27" i="12"/>
  <c r="P22" i="12"/>
  <c r="U14" i="6"/>
  <c r="H8" i="8"/>
  <c r="I108" i="7"/>
  <c r="J22" i="11"/>
  <c r="AM12" i="12"/>
  <c r="AM20" i="12" s="1"/>
  <c r="AF12" i="12"/>
  <c r="AF20" i="12" s="1"/>
  <c r="AG12" i="12"/>
  <c r="AG20" i="12" s="1"/>
  <c r="AL12" i="12"/>
  <c r="AL20" i="12" s="1"/>
  <c r="AK12" i="12"/>
  <c r="AK20" i="12" s="1"/>
  <c r="AJ12" i="12"/>
  <c r="AJ20" i="12" s="1"/>
  <c r="AI12" i="12"/>
  <c r="AI20" i="12" s="1"/>
  <c r="AH12" i="12"/>
  <c r="AH20" i="12" s="1"/>
  <c r="AE18" i="11"/>
  <c r="AE10" i="6"/>
  <c r="AF10" i="11"/>
  <c r="AE18" i="12"/>
  <c r="AF10" i="12"/>
  <c r="O31" i="13"/>
  <c r="Y27" i="13"/>
  <c r="E66" i="7"/>
  <c r="F17" i="6"/>
  <c r="Z22" i="11"/>
  <c r="Z27" i="11"/>
  <c r="Z18" i="6" s="1"/>
  <c r="Z13" i="6"/>
  <c r="O27" i="11"/>
  <c r="O18" i="6" s="1"/>
  <c r="O22" i="11"/>
  <c r="O13" i="6"/>
  <c r="AC20" i="12"/>
  <c r="S27" i="11"/>
  <c r="S18" i="6" s="1"/>
  <c r="S22" i="11"/>
  <c r="S13" i="6"/>
  <c r="AC19" i="13"/>
  <c r="AB27" i="13"/>
  <c r="J78" i="8"/>
  <c r="G79" i="8"/>
  <c r="H78" i="8"/>
  <c r="I78" i="8" s="1"/>
  <c r="X22" i="11"/>
  <c r="X27" i="11"/>
  <c r="X18" i="6" s="1"/>
  <c r="X13" i="6"/>
  <c r="AA14" i="6"/>
  <c r="AA22" i="11"/>
  <c r="AD18" i="13"/>
  <c r="AE10" i="13"/>
  <c r="F31" i="11"/>
  <c r="E33" i="11"/>
  <c r="AD10" i="6"/>
  <c r="AD18" i="11"/>
  <c r="J15" i="6"/>
  <c r="F28" i="13"/>
  <c r="AA22" i="13"/>
  <c r="AA27" i="13"/>
  <c r="U15" i="6"/>
  <c r="AC13" i="11"/>
  <c r="AC18" i="11"/>
  <c r="AC21" i="11" s="1"/>
  <c r="P10" i="8"/>
  <c r="D14" i="10"/>
  <c r="F14" i="10" s="1"/>
  <c r="AB22" i="12"/>
  <c r="AB27" i="12"/>
  <c r="G22" i="11"/>
  <c r="G27" i="11"/>
  <c r="G18" i="6" s="1"/>
  <c r="G13" i="6"/>
  <c r="D7" i="9"/>
  <c r="D7" i="7"/>
  <c r="L22" i="12"/>
  <c r="L27" i="12"/>
  <c r="E40" i="11"/>
  <c r="G6" i="13"/>
  <c r="G26" i="13" s="1"/>
  <c r="G7" i="13"/>
  <c r="AD18" i="12"/>
  <c r="N27" i="12"/>
  <c r="N22" i="12"/>
  <c r="I15" i="6"/>
  <c r="L27" i="13"/>
  <c r="L22" i="13"/>
  <c r="AN12" i="13"/>
  <c r="AM12" i="13"/>
  <c r="AM20" i="13" s="1"/>
  <c r="AJ12" i="13"/>
  <c r="AJ20" i="13" s="1"/>
  <c r="AI12" i="13"/>
  <c r="AI20" i="13" s="1"/>
  <c r="AH12" i="13"/>
  <c r="AH20" i="13" s="1"/>
  <c r="AG12" i="13"/>
  <c r="AG20" i="13" s="1"/>
  <c r="AF12" i="13"/>
  <c r="AF20" i="13" s="1"/>
  <c r="AE12" i="13"/>
  <c r="AE20" i="13" s="1"/>
  <c r="AD12" i="13"/>
  <c r="AD20" i="13" s="1"/>
  <c r="AC12" i="13"/>
  <c r="AK12" i="13"/>
  <c r="AK20" i="13" s="1"/>
  <c r="AL12" i="13"/>
  <c r="AL20" i="13" s="1"/>
  <c r="H27" i="12"/>
  <c r="H22" i="12"/>
  <c r="D37" i="7"/>
  <c r="E27" i="11"/>
  <c r="E22" i="11"/>
  <c r="E13" i="6"/>
  <c r="D14" i="9"/>
  <c r="AE19" i="13"/>
  <c r="AF11" i="13"/>
  <c r="AN20" i="12"/>
  <c r="AO12" i="12"/>
  <c r="F27" i="12"/>
  <c r="F22" i="12"/>
  <c r="E40" i="13"/>
  <c r="E40" i="12"/>
  <c r="AC11" i="12"/>
  <c r="AD11" i="12"/>
  <c r="AD19" i="12" s="1"/>
  <c r="F38" i="13"/>
  <c r="F39" i="13"/>
  <c r="F40" i="13" s="1"/>
  <c r="F37" i="13"/>
  <c r="F8" i="13"/>
  <c r="H54" i="8"/>
  <c r="I54" i="8" s="1"/>
  <c r="Q22" i="12"/>
  <c r="Q27" i="12"/>
  <c r="E64" i="7"/>
  <c r="U27" i="12"/>
  <c r="U22" i="12"/>
  <c r="X22" i="13"/>
  <c r="X27" i="13"/>
  <c r="I81" i="7"/>
  <c r="AD19" i="11"/>
  <c r="AE11" i="11"/>
  <c r="Q22" i="13"/>
  <c r="M27" i="13"/>
  <c r="M22" i="13"/>
  <c r="V22" i="11"/>
  <c r="V27" i="11"/>
  <c r="V18" i="6" s="1"/>
  <c r="V13" i="6"/>
  <c r="V22" i="12"/>
  <c r="V27" i="12"/>
  <c r="W22" i="11"/>
  <c r="W27" i="11"/>
  <c r="W18" i="6" s="1"/>
  <c r="W13" i="6"/>
  <c r="AB21" i="13"/>
  <c r="AB22" i="13" s="1"/>
  <c r="I27" i="13"/>
  <c r="I22" i="13"/>
  <c r="D91" i="7"/>
  <c r="Y21" i="13"/>
  <c r="Y22" i="13" s="1"/>
  <c r="I31" i="12"/>
  <c r="T27" i="11"/>
  <c r="T18" i="6" s="1"/>
  <c r="T22" i="11"/>
  <c r="T13" i="6"/>
  <c r="G33" i="8"/>
  <c r="Q21" i="11"/>
  <c r="Q22" i="11" s="1"/>
  <c r="I54" i="7"/>
  <c r="I27" i="7" s="1"/>
  <c r="E7" i="9"/>
  <c r="E8" i="9" s="1"/>
  <c r="E7" i="7"/>
  <c r="AO12" i="11"/>
  <c r="AN20" i="11"/>
  <c r="AN12" i="6"/>
  <c r="Q27" i="11"/>
  <c r="E37" i="7"/>
  <c r="I52" i="7"/>
  <c r="I25" i="7" s="1"/>
  <c r="D25" i="7"/>
  <c r="Y22" i="11"/>
  <c r="Y27" i="11"/>
  <c r="Y18" i="6" s="1"/>
  <c r="M27" i="11"/>
  <c r="M18" i="6" s="1"/>
  <c r="M22" i="11"/>
  <c r="M13" i="6"/>
  <c r="O22" i="13"/>
  <c r="O27" i="13"/>
  <c r="E21" i="13"/>
  <c r="G6" i="11"/>
  <c r="G26" i="11" s="1"/>
  <c r="G17" i="6" s="1"/>
  <c r="G7" i="11"/>
  <c r="G28" i="13"/>
  <c r="D27" i="7"/>
  <c r="Q13" i="6"/>
  <c r="AL12" i="6"/>
  <c r="F37" i="11"/>
  <c r="F38" i="11"/>
  <c r="F39" i="11"/>
  <c r="F40" i="11" s="1"/>
  <c r="F24" i="6" s="1"/>
  <c r="F8" i="11"/>
  <c r="H9" i="8"/>
  <c r="Y27" i="12"/>
  <c r="Y22" i="12"/>
  <c r="I9" i="8"/>
  <c r="D10" i="9"/>
  <c r="Z27" i="13"/>
  <c r="Z22" i="13"/>
  <c r="L22" i="11"/>
  <c r="L27" i="11"/>
  <c r="L18" i="6" s="1"/>
  <c r="K27" i="12"/>
  <c r="K22" i="12"/>
  <c r="AC19" i="11"/>
  <c r="K27" i="13"/>
  <c r="K22" i="13"/>
  <c r="G45" i="12"/>
  <c r="H4" i="12"/>
  <c r="G5" i="12"/>
  <c r="E21" i="12"/>
  <c r="E22" i="12" s="1"/>
  <c r="H5" i="6"/>
  <c r="I4" i="6"/>
  <c r="R27" i="11"/>
  <c r="R18" i="6" s="1"/>
  <c r="R22" i="11"/>
  <c r="I27" i="12"/>
  <c r="I22" i="12"/>
  <c r="E27" i="12"/>
  <c r="D64" i="7"/>
  <c r="E21" i="11"/>
  <c r="N27" i="11"/>
  <c r="N18" i="6" s="1"/>
  <c r="N22" i="11"/>
  <c r="AG20" i="11"/>
  <c r="AG12" i="6"/>
  <c r="H22" i="11"/>
  <c r="AH20" i="11"/>
  <c r="AH12" i="6"/>
  <c r="I4" i="13"/>
  <c r="H45" i="13"/>
  <c r="H5" i="13"/>
  <c r="F6" i="12"/>
  <c r="F26" i="12" s="1"/>
  <c r="F7" i="12"/>
  <c r="W27" i="13"/>
  <c r="W22" i="13"/>
  <c r="E91" i="7"/>
  <c r="AB22" i="11"/>
  <c r="AB27" i="11"/>
  <c r="AB18" i="6" s="1"/>
  <c r="N13" i="6"/>
  <c r="AI20" i="11"/>
  <c r="AI12" i="6"/>
  <c r="F22" i="11"/>
  <c r="F27" i="11"/>
  <c r="F18" i="6" s="1"/>
  <c r="F13" i="6"/>
  <c r="AK12" i="6"/>
  <c r="AC20" i="11"/>
  <c r="F36" i="7"/>
  <c r="J27" i="12"/>
  <c r="J22" i="12"/>
  <c r="AA27" i="12"/>
  <c r="AA22" i="12"/>
  <c r="D8" i="7"/>
  <c r="Z27" i="12"/>
  <c r="Z22" i="12"/>
  <c r="K32" i="8"/>
  <c r="K9" i="8" s="1"/>
  <c r="K22" i="11"/>
  <c r="K27" i="11"/>
  <c r="K18" i="6" s="1"/>
  <c r="K13" i="6"/>
  <c r="J27" i="13"/>
  <c r="J22" i="13"/>
  <c r="N27" i="13"/>
  <c r="N22" i="13"/>
  <c r="D44" i="11"/>
  <c r="D28" i="6" s="1"/>
  <c r="P27" i="11"/>
  <c r="P18" i="6" s="1"/>
  <c r="P22" i="11"/>
  <c r="AJ20" i="11"/>
  <c r="AJ12" i="6"/>
  <c r="AD21" i="11" l="1"/>
  <c r="AD14" i="6" s="1"/>
  <c r="AD13" i="11"/>
  <c r="I4" i="11"/>
  <c r="H45" i="11"/>
  <c r="H29" i="6" s="1"/>
  <c r="H5" i="11"/>
  <c r="E98" i="7"/>
  <c r="F63" i="7"/>
  <c r="E40" i="7"/>
  <c r="Q15" i="6"/>
  <c r="AA15" i="6"/>
  <c r="G6" i="12"/>
  <c r="G26" i="12" s="1"/>
  <c r="G7" i="12"/>
  <c r="E38" i="7"/>
  <c r="E11" i="7" s="1"/>
  <c r="D16" i="9"/>
  <c r="D10" i="7"/>
  <c r="X15" i="6"/>
  <c r="F13" i="9"/>
  <c r="F9" i="7"/>
  <c r="N15" i="6"/>
  <c r="E41" i="7"/>
  <c r="E14" i="7" s="1"/>
  <c r="E16" i="9"/>
  <c r="E17" i="9" s="1"/>
  <c r="E10" i="7"/>
  <c r="E92" i="7"/>
  <c r="AE19" i="11"/>
  <c r="AE21" i="11" s="1"/>
  <c r="AF11" i="11"/>
  <c r="AE11" i="6"/>
  <c r="AD13" i="12"/>
  <c r="AC22" i="11"/>
  <c r="AC27" i="11"/>
  <c r="AC13" i="6"/>
  <c r="E93" i="7"/>
  <c r="M15" i="6"/>
  <c r="AD21" i="12"/>
  <c r="D39" i="7"/>
  <c r="E14" i="6"/>
  <c r="E44" i="7"/>
  <c r="E17" i="7" s="1"/>
  <c r="Q18" i="6"/>
  <c r="G39" i="13"/>
  <c r="G37" i="13"/>
  <c r="G8" i="13"/>
  <c r="G38" i="13"/>
  <c r="AC14" i="6"/>
  <c r="Z15" i="6"/>
  <c r="E65" i="7"/>
  <c r="AC19" i="12"/>
  <c r="AC13" i="12"/>
  <c r="F28" i="11"/>
  <c r="F15" i="6"/>
  <c r="AE11" i="12"/>
  <c r="AC20" i="13"/>
  <c r="F90" i="7"/>
  <c r="AC13" i="13"/>
  <c r="K78" i="8"/>
  <c r="L15" i="6"/>
  <c r="G34" i="13"/>
  <c r="W15" i="6"/>
  <c r="P31" i="13"/>
  <c r="H45" i="12"/>
  <c r="I4" i="12"/>
  <c r="H5" i="12"/>
  <c r="D71" i="7"/>
  <c r="AB15" i="6"/>
  <c r="E67" i="7"/>
  <c r="E68" i="7" s="1"/>
  <c r="AF18" i="12"/>
  <c r="AG10" i="12"/>
  <c r="O15" i="6"/>
  <c r="H79" i="8"/>
  <c r="I79" i="8" s="1"/>
  <c r="J79" i="8" s="1"/>
  <c r="H15" i="6"/>
  <c r="E28" i="11"/>
  <c r="D40" i="7"/>
  <c r="E15" i="6"/>
  <c r="P15" i="6"/>
  <c r="F34" i="13"/>
  <c r="E28" i="12"/>
  <c r="D67" i="7"/>
  <c r="AD27" i="11"/>
  <c r="AD18" i="6" s="1"/>
  <c r="AD22" i="11"/>
  <c r="AD13" i="6"/>
  <c r="K15" i="6"/>
  <c r="E39" i="7"/>
  <c r="E12" i="7" s="1"/>
  <c r="Q14" i="6"/>
  <c r="J54" i="8"/>
  <c r="F28" i="12"/>
  <c r="E20" i="6"/>
  <c r="E24" i="6"/>
  <c r="G39" i="11"/>
  <c r="G40" i="11" s="1"/>
  <c r="G24" i="6" s="1"/>
  <c r="G38" i="11"/>
  <c r="G8" i="11"/>
  <c r="G37" i="11"/>
  <c r="G31" i="11"/>
  <c r="F33" i="11"/>
  <c r="F20" i="6" s="1"/>
  <c r="S15" i="6"/>
  <c r="AF18" i="11"/>
  <c r="AF13" i="11"/>
  <c r="AG10" i="11"/>
  <c r="AF10" i="6"/>
  <c r="F38" i="12"/>
  <c r="F37" i="12"/>
  <c r="F8" i="12"/>
  <c r="F39" i="12"/>
  <c r="H7" i="6"/>
  <c r="H6" i="6"/>
  <c r="V15" i="6"/>
  <c r="G55" i="8"/>
  <c r="AP12" i="12"/>
  <c r="AO20" i="12"/>
  <c r="AN20" i="13"/>
  <c r="AO12" i="13"/>
  <c r="D8" i="9"/>
  <c r="Y15" i="6"/>
  <c r="AE18" i="13"/>
  <c r="AE13" i="13"/>
  <c r="AF10" i="13"/>
  <c r="AP12" i="11"/>
  <c r="AO20" i="11"/>
  <c r="AO12" i="6"/>
  <c r="AF19" i="13"/>
  <c r="AG11" i="13"/>
  <c r="AD13" i="13"/>
  <c r="AE13" i="11"/>
  <c r="E94" i="7"/>
  <c r="E95" i="7" s="1"/>
  <c r="D44" i="7"/>
  <c r="E18" i="6"/>
  <c r="E71" i="7"/>
  <c r="I5" i="6"/>
  <c r="J4" i="6"/>
  <c r="H33" i="12"/>
  <c r="G28" i="11"/>
  <c r="G15" i="6"/>
  <c r="AD21" i="13"/>
  <c r="R15" i="6"/>
  <c r="D93" i="7"/>
  <c r="E22" i="13"/>
  <c r="G10" i="8"/>
  <c r="H33" i="8"/>
  <c r="K54" i="8"/>
  <c r="D11" i="9"/>
  <c r="T15" i="6"/>
  <c r="H7" i="13"/>
  <c r="H6" i="13"/>
  <c r="H26" i="13" s="1"/>
  <c r="D66" i="7"/>
  <c r="D98" i="7"/>
  <c r="J4" i="13"/>
  <c r="I5" i="13"/>
  <c r="I45" i="13"/>
  <c r="I33" i="13"/>
  <c r="J31" i="12"/>
  <c r="H6" i="11" l="1"/>
  <c r="H26" i="11" s="1"/>
  <c r="H7" i="11"/>
  <c r="J4" i="11"/>
  <c r="I45" i="11"/>
  <c r="I29" i="6" s="1"/>
  <c r="I5" i="11"/>
  <c r="H38" i="11"/>
  <c r="AE14" i="6"/>
  <c r="AC18" i="6"/>
  <c r="G37" i="12"/>
  <c r="G8" i="12"/>
  <c r="G39" i="12"/>
  <c r="G40" i="12" s="1"/>
  <c r="G38" i="12"/>
  <c r="D19" i="9"/>
  <c r="D13" i="7"/>
  <c r="AC15" i="6"/>
  <c r="D41" i="7"/>
  <c r="D14" i="7" s="1"/>
  <c r="AD15" i="6"/>
  <c r="I45" i="12"/>
  <c r="J4" i="12"/>
  <c r="J33" i="12" s="1"/>
  <c r="I5" i="12"/>
  <c r="AD22" i="13"/>
  <c r="AD27" i="13"/>
  <c r="K79" i="8"/>
  <c r="AE19" i="12"/>
  <c r="AE21" i="12" s="1"/>
  <c r="AE13" i="12"/>
  <c r="AF11" i="12"/>
  <c r="G28" i="12"/>
  <c r="I6" i="6"/>
  <c r="I7" i="6"/>
  <c r="I8" i="6" s="1"/>
  <c r="D17" i="9"/>
  <c r="Q31" i="13"/>
  <c r="K31" i="12"/>
  <c r="AG19" i="13"/>
  <c r="AH11" i="13"/>
  <c r="G80" i="8"/>
  <c r="AF19" i="11"/>
  <c r="AF21" i="11" s="1"/>
  <c r="AG11" i="11"/>
  <c r="AF11" i="6"/>
  <c r="E28" i="13"/>
  <c r="D94" i="7"/>
  <c r="G56" i="8"/>
  <c r="J55" i="8"/>
  <c r="H55" i="8"/>
  <c r="I55" i="8" s="1"/>
  <c r="K55" i="8" s="1"/>
  <c r="F34" i="11"/>
  <c r="F19" i="6"/>
  <c r="AQ12" i="12"/>
  <c r="AP20" i="12"/>
  <c r="D91" i="8"/>
  <c r="I33" i="12"/>
  <c r="AH10" i="12"/>
  <c r="AG18" i="12"/>
  <c r="I7" i="13"/>
  <c r="I6" i="13"/>
  <c r="I26" i="13" s="1"/>
  <c r="I28" i="13" s="1"/>
  <c r="E43" i="12"/>
  <c r="E34" i="12"/>
  <c r="AC27" i="12"/>
  <c r="G33" i="11"/>
  <c r="G20" i="6" s="1"/>
  <c r="H31" i="11"/>
  <c r="AO20" i="13"/>
  <c r="AP12" i="13"/>
  <c r="D12" i="7"/>
  <c r="K4" i="13"/>
  <c r="J5" i="13"/>
  <c r="J45" i="13"/>
  <c r="J33" i="13"/>
  <c r="H8" i="6"/>
  <c r="I33" i="8"/>
  <c r="H10" i="8"/>
  <c r="AC21" i="12"/>
  <c r="E43" i="11"/>
  <c r="E34" i="11"/>
  <c r="E19" i="6"/>
  <c r="AD22" i="12"/>
  <c r="AD27" i="12"/>
  <c r="AC22" i="13"/>
  <c r="AC27" i="13"/>
  <c r="F34" i="12"/>
  <c r="E19" i="9"/>
  <c r="E20" i="9" s="1"/>
  <c r="E13" i="7"/>
  <c r="AE27" i="13"/>
  <c r="AF27" i="11"/>
  <c r="AF18" i="6" s="1"/>
  <c r="AF13" i="6"/>
  <c r="AE21" i="13"/>
  <c r="AE22" i="13" s="1"/>
  <c r="D17" i="7"/>
  <c r="H7" i="12"/>
  <c r="H6" i="12"/>
  <c r="H26" i="12" s="1"/>
  <c r="H28" i="12" s="1"/>
  <c r="G40" i="13"/>
  <c r="AE22" i="11"/>
  <c r="AE27" i="11"/>
  <c r="AE18" i="6" s="1"/>
  <c r="AE13" i="6"/>
  <c r="AQ12" i="11"/>
  <c r="AP20" i="11"/>
  <c r="AP12" i="6"/>
  <c r="F40" i="12"/>
  <c r="G19" i="6"/>
  <c r="D68" i="7"/>
  <c r="H28" i="13"/>
  <c r="H37" i="13"/>
  <c r="H38" i="13"/>
  <c r="H39" i="13"/>
  <c r="H40" i="13" s="1"/>
  <c r="H8" i="13"/>
  <c r="J5" i="6"/>
  <c r="K4" i="6"/>
  <c r="AF18" i="13"/>
  <c r="AF21" i="13" s="1"/>
  <c r="AF13" i="13"/>
  <c r="AG10" i="13"/>
  <c r="AG18" i="11"/>
  <c r="AG10" i="6"/>
  <c r="AH10" i="11"/>
  <c r="F14" i="9"/>
  <c r="AC21" i="13"/>
  <c r="I6" i="11" l="1"/>
  <c r="I26" i="11" s="1"/>
  <c r="I7" i="11"/>
  <c r="G34" i="11"/>
  <c r="K4" i="11"/>
  <c r="J5" i="11"/>
  <c r="J45" i="11"/>
  <c r="J29" i="6" s="1"/>
  <c r="H39" i="11"/>
  <c r="H40" i="11" s="1"/>
  <c r="H24" i="6" s="1"/>
  <c r="H37" i="11"/>
  <c r="H8" i="11"/>
  <c r="H17" i="6"/>
  <c r="H28" i="11"/>
  <c r="H19" i="6" s="1"/>
  <c r="AF14" i="6"/>
  <c r="AF22" i="11"/>
  <c r="J6" i="13"/>
  <c r="J26" i="13" s="1"/>
  <c r="J28" i="13" s="1"/>
  <c r="J7" i="13"/>
  <c r="E50" i="12"/>
  <c r="E46" i="12"/>
  <c r="E57" i="12"/>
  <c r="I37" i="13"/>
  <c r="I38" i="13"/>
  <c r="I39" i="13"/>
  <c r="I40" i="13" s="1"/>
  <c r="I8" i="13"/>
  <c r="E34" i="13"/>
  <c r="E43" i="13"/>
  <c r="D20" i="9"/>
  <c r="G21" i="6"/>
  <c r="E36" i="11"/>
  <c r="E21" i="6"/>
  <c r="AF19" i="12"/>
  <c r="AF21" i="12" s="1"/>
  <c r="AG11" i="12"/>
  <c r="AF13" i="12"/>
  <c r="D95" i="7"/>
  <c r="G34" i="12"/>
  <c r="E50" i="11"/>
  <c r="E57" i="11"/>
  <c r="E46" i="11"/>
  <c r="E27" i="6"/>
  <c r="AE22" i="12"/>
  <c r="AE27" i="12"/>
  <c r="L4" i="13"/>
  <c r="K5" i="13"/>
  <c r="K45" i="13"/>
  <c r="K33" i="13"/>
  <c r="I34" i="13"/>
  <c r="AG19" i="11"/>
  <c r="AG11" i="6"/>
  <c r="AH11" i="11"/>
  <c r="AE15" i="6"/>
  <c r="AG13" i="11"/>
  <c r="L31" i="12"/>
  <c r="I6" i="12"/>
  <c r="I26" i="12" s="1"/>
  <c r="I7" i="12"/>
  <c r="K5" i="6"/>
  <c r="L4" i="6"/>
  <c r="AH18" i="12"/>
  <c r="AI10" i="12"/>
  <c r="AP20" i="13"/>
  <c r="AQ12" i="13"/>
  <c r="H34" i="13"/>
  <c r="AR12" i="11"/>
  <c r="AQ12" i="6"/>
  <c r="AQ20" i="11"/>
  <c r="L80" i="8"/>
  <c r="L77" i="8"/>
  <c r="L78" i="8"/>
  <c r="L76" i="8"/>
  <c r="D92" i="8" s="1"/>
  <c r="I21" i="5" s="1"/>
  <c r="L79" i="8"/>
  <c r="AQ20" i="12"/>
  <c r="AR12" i="12"/>
  <c r="AH19" i="13"/>
  <c r="AI11" i="13"/>
  <c r="AH13" i="11"/>
  <c r="AH18" i="11"/>
  <c r="AH10" i="6"/>
  <c r="AI10" i="11"/>
  <c r="H34" i="12"/>
  <c r="J45" i="12"/>
  <c r="J5" i="12"/>
  <c r="K4" i="12"/>
  <c r="H80" i="8"/>
  <c r="I80" i="8" s="1"/>
  <c r="K80" i="8" s="1"/>
  <c r="AG21" i="11"/>
  <c r="AG14" i="6" s="1"/>
  <c r="H37" i="12"/>
  <c r="H39" i="12"/>
  <c r="H8" i="12"/>
  <c r="H38" i="12"/>
  <c r="AC22" i="12"/>
  <c r="F21" i="6"/>
  <c r="R31" i="13"/>
  <c r="AF27" i="13"/>
  <c r="AF22" i="13"/>
  <c r="E36" i="12"/>
  <c r="H56" i="8"/>
  <c r="I56" i="8" s="1"/>
  <c r="K56" i="8" s="1"/>
  <c r="J7" i="6"/>
  <c r="J6" i="6"/>
  <c r="I10" i="8"/>
  <c r="D45" i="8"/>
  <c r="J33" i="8"/>
  <c r="J10" i="8" s="1"/>
  <c r="K33" i="8"/>
  <c r="K10" i="8" s="1"/>
  <c r="G34" i="8"/>
  <c r="I31" i="11"/>
  <c r="H33" i="11"/>
  <c r="AG18" i="13"/>
  <c r="AG21" i="13" s="1"/>
  <c r="AG13" i="13"/>
  <c r="AH10" i="13"/>
  <c r="D68" i="8"/>
  <c r="J56" i="8" l="1"/>
  <c r="G57" i="8"/>
  <c r="J6" i="11"/>
  <c r="J26" i="11" s="1"/>
  <c r="J7" i="11"/>
  <c r="K45" i="11"/>
  <c r="K29" i="6" s="1"/>
  <c r="L4" i="11"/>
  <c r="K5" i="11"/>
  <c r="I8" i="11"/>
  <c r="I39" i="11"/>
  <c r="I40" i="11" s="1"/>
  <c r="I24" i="6" s="1"/>
  <c r="I37" i="11"/>
  <c r="I17" i="6"/>
  <c r="I28" i="11"/>
  <c r="I19" i="6" s="1"/>
  <c r="I38" i="11"/>
  <c r="J38" i="11" s="1"/>
  <c r="K7" i="13"/>
  <c r="K6" i="13"/>
  <c r="K26" i="13" s="1"/>
  <c r="K28" i="13" s="1"/>
  <c r="AG19" i="12"/>
  <c r="AH11" i="12"/>
  <c r="AG13" i="12"/>
  <c r="E58" i="12"/>
  <c r="L5" i="13"/>
  <c r="L45" i="13"/>
  <c r="M4" i="13"/>
  <c r="L33" i="13"/>
  <c r="E48" i="12"/>
  <c r="AG22" i="11"/>
  <c r="AG27" i="11"/>
  <c r="AG13" i="6"/>
  <c r="E51" i="12"/>
  <c r="K45" i="12"/>
  <c r="K5" i="12"/>
  <c r="L4" i="12"/>
  <c r="L33" i="12" s="1"/>
  <c r="J39" i="13"/>
  <c r="J37" i="13"/>
  <c r="J38" i="13"/>
  <c r="J8" i="13"/>
  <c r="AG22" i="13"/>
  <c r="AG27" i="13"/>
  <c r="J34" i="13"/>
  <c r="E41" i="11"/>
  <c r="E23" i="6"/>
  <c r="AF15" i="6"/>
  <c r="AS12" i="11"/>
  <c r="AR20" i="11"/>
  <c r="AR12" i="6"/>
  <c r="AI18" i="11"/>
  <c r="AI10" i="6"/>
  <c r="AJ10" i="11"/>
  <c r="E48" i="11"/>
  <c r="E30" i="6"/>
  <c r="AQ20" i="13"/>
  <c r="AR12" i="13"/>
  <c r="AI18" i="12"/>
  <c r="AJ10" i="12"/>
  <c r="E58" i="11"/>
  <c r="H40" i="12"/>
  <c r="E51" i="11"/>
  <c r="E35" i="6"/>
  <c r="E46" i="13"/>
  <c r="E57" i="13"/>
  <c r="E50" i="13"/>
  <c r="M4" i="6"/>
  <c r="L5" i="6"/>
  <c r="E36" i="13"/>
  <c r="L53" i="8"/>
  <c r="D69" i="8" s="1"/>
  <c r="H21" i="5" s="1"/>
  <c r="L57" i="8"/>
  <c r="L55" i="8"/>
  <c r="L54" i="8"/>
  <c r="L56" i="8"/>
  <c r="E41" i="12"/>
  <c r="J6" i="12"/>
  <c r="J26" i="12" s="1"/>
  <c r="J28" i="12" s="1"/>
  <c r="J7" i="12"/>
  <c r="S31" i="13"/>
  <c r="H34" i="8"/>
  <c r="G11" i="8"/>
  <c r="L30" i="8"/>
  <c r="L34" i="8"/>
  <c r="L11" i="8" s="1"/>
  <c r="L32" i="8"/>
  <c r="L9" i="8" s="1"/>
  <c r="L31" i="8"/>
  <c r="L8" i="8" s="1"/>
  <c r="D22" i="8"/>
  <c r="L33" i="8"/>
  <c r="L10" i="8" s="1"/>
  <c r="K7" i="6"/>
  <c r="K6" i="6"/>
  <c r="I37" i="12"/>
  <c r="I8" i="12"/>
  <c r="I39" i="12"/>
  <c r="I40" i="12" s="1"/>
  <c r="I38" i="12"/>
  <c r="I28" i="12"/>
  <c r="J80" i="8"/>
  <c r="AR20" i="12"/>
  <c r="AS12" i="12"/>
  <c r="K33" i="12"/>
  <c r="J31" i="11"/>
  <c r="I33" i="11"/>
  <c r="AH27" i="11"/>
  <c r="AH18" i="6" s="1"/>
  <c r="AH13" i="6"/>
  <c r="AH19" i="11"/>
  <c r="AH21" i="11" s="1"/>
  <c r="AI11" i="11"/>
  <c r="AI13" i="11" s="1"/>
  <c r="AH11" i="6"/>
  <c r="AJ11" i="13"/>
  <c r="AI19" i="13"/>
  <c r="M31" i="12"/>
  <c r="AH18" i="13"/>
  <c r="AH21" i="13" s="1"/>
  <c r="AH13" i="13"/>
  <c r="AI10" i="13"/>
  <c r="H20" i="6"/>
  <c r="H34" i="11"/>
  <c r="J8" i="6"/>
  <c r="H57" i="8"/>
  <c r="I57" i="8" s="1"/>
  <c r="J57" i="8" s="1"/>
  <c r="K57" i="8"/>
  <c r="AF27" i="12"/>
  <c r="AF22" i="12"/>
  <c r="K7" i="11" l="1"/>
  <c r="K6" i="11"/>
  <c r="K26" i="11" s="1"/>
  <c r="L45" i="11"/>
  <c r="L29" i="6" s="1"/>
  <c r="L5" i="11"/>
  <c r="M4" i="11"/>
  <c r="J39" i="11"/>
  <c r="J40" i="11" s="1"/>
  <c r="J24" i="6" s="1"/>
  <c r="J37" i="11"/>
  <c r="J8" i="11"/>
  <c r="J17" i="6"/>
  <c r="J28" i="11"/>
  <c r="J19" i="6" s="1"/>
  <c r="AH14" i="6"/>
  <c r="AH22" i="11"/>
  <c r="AI27" i="11"/>
  <c r="AI18" i="6" s="1"/>
  <c r="AI13" i="6"/>
  <c r="E41" i="13"/>
  <c r="AG18" i="6"/>
  <c r="AG15" i="6"/>
  <c r="D46" i="8"/>
  <c r="L7" i="8"/>
  <c r="L7" i="6"/>
  <c r="L8" i="6" s="1"/>
  <c r="L6" i="6"/>
  <c r="K31" i="11"/>
  <c r="J33" i="11"/>
  <c r="E53" i="12"/>
  <c r="E72" i="12"/>
  <c r="F47" i="12"/>
  <c r="I20" i="6"/>
  <c r="I34" i="11"/>
  <c r="N4" i="6"/>
  <c r="M5" i="6"/>
  <c r="I34" i="8"/>
  <c r="H11" i="8"/>
  <c r="E51" i="13"/>
  <c r="AJ18" i="12"/>
  <c r="AK10" i="12"/>
  <c r="M45" i="13"/>
  <c r="M5" i="13"/>
  <c r="N4" i="13"/>
  <c r="M33" i="13"/>
  <c r="AI19" i="11"/>
  <c r="AI21" i="11" s="1"/>
  <c r="AI11" i="6"/>
  <c r="AJ11" i="11"/>
  <c r="AJ13" i="11" s="1"/>
  <c r="J40" i="13"/>
  <c r="L7" i="13"/>
  <c r="L6" i="13"/>
  <c r="L26" i="13" s="1"/>
  <c r="E58" i="13"/>
  <c r="E48" i="13"/>
  <c r="AG27" i="12"/>
  <c r="AS20" i="11"/>
  <c r="AT12" i="11"/>
  <c r="AS12" i="6"/>
  <c r="T31" i="13"/>
  <c r="AR20" i="13"/>
  <c r="AS12" i="13"/>
  <c r="AG21" i="12"/>
  <c r="AG22" i="12" s="1"/>
  <c r="J8" i="12"/>
  <c r="J39" i="12"/>
  <c r="J40" i="12" s="1"/>
  <c r="J38" i="12"/>
  <c r="J37" i="12"/>
  <c r="J34" i="12"/>
  <c r="E52" i="11"/>
  <c r="E36" i="6" s="1"/>
  <c r="K34" i="13"/>
  <c r="K7" i="12"/>
  <c r="K6" i="12"/>
  <c r="K26" i="12" s="1"/>
  <c r="E52" i="12"/>
  <c r="K39" i="13"/>
  <c r="K40" i="13" s="1"/>
  <c r="K38" i="13"/>
  <c r="K37" i="13"/>
  <c r="K8" i="13"/>
  <c r="AH19" i="12"/>
  <c r="AH21" i="12" s="1"/>
  <c r="AI11" i="12"/>
  <c r="AH13" i="12"/>
  <c r="AT12" i="12"/>
  <c r="AS20" i="12"/>
  <c r="AI18" i="13"/>
  <c r="AI21" i="13" s="1"/>
  <c r="AI13" i="13"/>
  <c r="AJ10" i="13"/>
  <c r="F47" i="11"/>
  <c r="E72" i="11"/>
  <c r="E53" i="11"/>
  <c r="E32" i="6"/>
  <c r="E25" i="6"/>
  <c r="AH22" i="13"/>
  <c r="AH27" i="13"/>
  <c r="N31" i="12"/>
  <c r="M33" i="12"/>
  <c r="AJ19" i="13"/>
  <c r="AK11" i="13"/>
  <c r="K8" i="6"/>
  <c r="AJ18" i="11"/>
  <c r="AK10" i="11"/>
  <c r="AJ10" i="6"/>
  <c r="H21" i="6"/>
  <c r="L45" i="12"/>
  <c r="M4" i="12"/>
  <c r="L5" i="12"/>
  <c r="I34" i="12"/>
  <c r="N4" i="11" l="1"/>
  <c r="M45" i="11"/>
  <c r="M29" i="6" s="1"/>
  <c r="M5" i="11"/>
  <c r="L7" i="11"/>
  <c r="L6" i="11"/>
  <c r="L26" i="11" s="1"/>
  <c r="K17" i="6"/>
  <c r="K28" i="11"/>
  <c r="K19" i="6" s="1"/>
  <c r="K37" i="11"/>
  <c r="K39" i="11"/>
  <c r="K40" i="11" s="1"/>
  <c r="K24" i="6" s="1"/>
  <c r="K8" i="11"/>
  <c r="K38" i="11"/>
  <c r="AI14" i="6"/>
  <c r="AI22" i="11"/>
  <c r="N45" i="13"/>
  <c r="N5" i="13"/>
  <c r="O4" i="13"/>
  <c r="N33" i="13"/>
  <c r="AU12" i="11"/>
  <c r="AT20" i="11"/>
  <c r="AT12" i="6"/>
  <c r="M6" i="13"/>
  <c r="M26" i="13" s="1"/>
  <c r="M28" i="13" s="1"/>
  <c r="M7" i="13"/>
  <c r="J20" i="6"/>
  <c r="J34" i="11"/>
  <c r="F35" i="11"/>
  <c r="F31" i="6"/>
  <c r="L31" i="11"/>
  <c r="K33" i="11"/>
  <c r="K39" i="12"/>
  <c r="K8" i="12"/>
  <c r="K38" i="12"/>
  <c r="K37" i="12"/>
  <c r="AK18" i="11"/>
  <c r="AK13" i="11"/>
  <c r="AK10" i="6"/>
  <c r="AL10" i="11"/>
  <c r="F35" i="12"/>
  <c r="AK18" i="12"/>
  <c r="AL10" i="12"/>
  <c r="AJ13" i="13"/>
  <c r="AJ18" i="13"/>
  <c r="AJ21" i="13" s="1"/>
  <c r="AK10" i="13"/>
  <c r="E52" i="13"/>
  <c r="U31" i="13"/>
  <c r="AK19" i="13"/>
  <c r="AL11" i="13"/>
  <c r="AI27" i="13"/>
  <c r="AI22" i="13"/>
  <c r="E53" i="13"/>
  <c r="F47" i="13"/>
  <c r="E72" i="13"/>
  <c r="G21" i="5"/>
  <c r="D23" i="8"/>
  <c r="C21" i="5"/>
  <c r="L28" i="13"/>
  <c r="K28" i="12"/>
  <c r="AH15" i="6"/>
  <c r="AJ27" i="11"/>
  <c r="AJ13" i="6"/>
  <c r="I11" i="8"/>
  <c r="J34" i="8"/>
  <c r="J11" i="8" s="1"/>
  <c r="K34" i="8"/>
  <c r="K11" i="8" s="1"/>
  <c r="L39" i="13"/>
  <c r="L38" i="13"/>
  <c r="L37" i="13"/>
  <c r="L8" i="13"/>
  <c r="M45" i="12"/>
  <c r="N4" i="12"/>
  <c r="M5" i="12"/>
  <c r="M7" i="6"/>
  <c r="M6" i="6"/>
  <c r="L7" i="12"/>
  <c r="L6" i="12"/>
  <c r="L26" i="12" s="1"/>
  <c r="L28" i="12" s="1"/>
  <c r="AS20" i="13"/>
  <c r="AT12" i="13"/>
  <c r="O4" i="6"/>
  <c r="N5" i="6"/>
  <c r="O31" i="12"/>
  <c r="N33" i="12"/>
  <c r="AU12" i="12"/>
  <c r="AT20" i="12"/>
  <c r="AH27" i="12"/>
  <c r="AH22" i="12"/>
  <c r="AI19" i="12"/>
  <c r="AI21" i="12" s="1"/>
  <c r="AJ11" i="12"/>
  <c r="AI13" i="12"/>
  <c r="AJ19" i="11"/>
  <c r="AJ21" i="11" s="1"/>
  <c r="AK11" i="11"/>
  <c r="AJ11" i="6"/>
  <c r="I21" i="6"/>
  <c r="AJ14" i="6" l="1"/>
  <c r="AJ22" i="11"/>
  <c r="L28" i="11"/>
  <c r="L19" i="6" s="1"/>
  <c r="L17" i="6"/>
  <c r="L39" i="11"/>
  <c r="L40" i="11" s="1"/>
  <c r="L24" i="6" s="1"/>
  <c r="L37" i="11"/>
  <c r="L38" i="11"/>
  <c r="L8" i="11"/>
  <c r="M7" i="11"/>
  <c r="M6" i="11"/>
  <c r="M26" i="11" s="1"/>
  <c r="N45" i="11"/>
  <c r="O4" i="11"/>
  <c r="N5" i="11"/>
  <c r="F35" i="13"/>
  <c r="F43" i="12"/>
  <c r="F36" i="12"/>
  <c r="L34" i="12"/>
  <c r="J21" i="6"/>
  <c r="L39" i="12"/>
  <c r="L40" i="12" s="1"/>
  <c r="L37" i="12"/>
  <c r="L8" i="12"/>
  <c r="L38" i="12"/>
  <c r="AL18" i="11"/>
  <c r="AL10" i="6"/>
  <c r="AM10" i="11"/>
  <c r="AK27" i="11"/>
  <c r="AK18" i="6" s="1"/>
  <c r="AK13" i="6"/>
  <c r="AJ15" i="6"/>
  <c r="M37" i="13"/>
  <c r="M39" i="13"/>
  <c r="M40" i="13" s="1"/>
  <c r="M38" i="13"/>
  <c r="M8" i="13"/>
  <c r="AJ18" i="6"/>
  <c r="M34" i="13"/>
  <c r="AV12" i="11"/>
  <c r="AU20" i="11"/>
  <c r="AU12" i="6"/>
  <c r="M31" i="11"/>
  <c r="L33" i="11"/>
  <c r="K40" i="12"/>
  <c r="AK13" i="13"/>
  <c r="AK18" i="13"/>
  <c r="AK21" i="13" s="1"/>
  <c r="AL10" i="13"/>
  <c r="AI27" i="12"/>
  <c r="AI22" i="12"/>
  <c r="AJ19" i="12"/>
  <c r="AJ21" i="12" s="1"/>
  <c r="AK11" i="12"/>
  <c r="AJ13" i="12"/>
  <c r="L34" i="13"/>
  <c r="M7" i="12"/>
  <c r="M6" i="12"/>
  <c r="M26" i="12" s="1"/>
  <c r="M28" i="12" s="1"/>
  <c r="AI15" i="6"/>
  <c r="AL19" i="13"/>
  <c r="AM11" i="13"/>
  <c r="M8" i="6"/>
  <c r="V31" i="13"/>
  <c r="K34" i="12"/>
  <c r="N45" i="12"/>
  <c r="O4" i="12"/>
  <c r="N5" i="12"/>
  <c r="AJ27" i="13"/>
  <c r="AJ22" i="13"/>
  <c r="K20" i="6"/>
  <c r="K34" i="11"/>
  <c r="N7" i="6"/>
  <c r="N6" i="6"/>
  <c r="AV12" i="12"/>
  <c r="AU20" i="12"/>
  <c r="P31" i="12"/>
  <c r="O45" i="13"/>
  <c r="O5" i="13"/>
  <c r="P4" i="13"/>
  <c r="O33" i="13"/>
  <c r="AU12" i="13"/>
  <c r="AT20" i="13"/>
  <c r="AL18" i="12"/>
  <c r="AM10" i="12"/>
  <c r="F22" i="6"/>
  <c r="F43" i="11"/>
  <c r="F36" i="11"/>
  <c r="N6" i="13"/>
  <c r="N26" i="13" s="1"/>
  <c r="N28" i="13" s="1"/>
  <c r="N7" i="13"/>
  <c r="P4" i="6"/>
  <c r="O5" i="6"/>
  <c r="AK19" i="11"/>
  <c r="AK21" i="11" s="1"/>
  <c r="AL11" i="11"/>
  <c r="AK11" i="6"/>
  <c r="L40" i="13"/>
  <c r="M39" i="11" l="1"/>
  <c r="M40" i="11" s="1"/>
  <c r="M24" i="6" s="1"/>
  <c r="M38" i="11"/>
  <c r="M37" i="11"/>
  <c r="M8" i="11"/>
  <c r="N7" i="11"/>
  <c r="N6" i="11"/>
  <c r="N26" i="11" s="1"/>
  <c r="M17" i="6"/>
  <c r="M28" i="11"/>
  <c r="M19" i="6" s="1"/>
  <c r="N29" i="6"/>
  <c r="P4" i="11"/>
  <c r="O45" i="11"/>
  <c r="O29" i="6" s="1"/>
  <c r="O5" i="11"/>
  <c r="AK14" i="6"/>
  <c r="AK22" i="11"/>
  <c r="M39" i="12"/>
  <c r="M40" i="12" s="1"/>
  <c r="M8" i="12"/>
  <c r="M38" i="12"/>
  <c r="M37" i="12"/>
  <c r="O6" i="13"/>
  <c r="O26" i="13" s="1"/>
  <c r="O28" i="13" s="1"/>
  <c r="O7" i="13"/>
  <c r="AL19" i="11"/>
  <c r="AL21" i="11" s="1"/>
  <c r="AL14" i="6" s="1"/>
  <c r="AL11" i="6"/>
  <c r="AM11" i="11"/>
  <c r="N7" i="12"/>
  <c r="N6" i="12"/>
  <c r="N26" i="12" s="1"/>
  <c r="N28" i="12" s="1"/>
  <c r="O45" i="12"/>
  <c r="P4" i="12"/>
  <c r="O5" i="12"/>
  <c r="AW12" i="11"/>
  <c r="AV20" i="11"/>
  <c r="AV12" i="6"/>
  <c r="O33" i="12"/>
  <c r="O7" i="6"/>
  <c r="O6" i="6"/>
  <c r="Q31" i="12"/>
  <c r="AJ22" i="12"/>
  <c r="AJ27" i="12"/>
  <c r="AK19" i="12"/>
  <c r="AK21" i="12" s="1"/>
  <c r="AL11" i="12"/>
  <c r="AK13" i="12"/>
  <c r="F41" i="11"/>
  <c r="F23" i="6"/>
  <c r="AL13" i="13"/>
  <c r="AL18" i="13"/>
  <c r="AL21" i="13" s="1"/>
  <c r="AM10" i="13"/>
  <c r="AW12" i="12"/>
  <c r="AV20" i="12"/>
  <c r="N34" i="13"/>
  <c r="F41" i="12"/>
  <c r="Q4" i="6"/>
  <c r="P5" i="6"/>
  <c r="AK27" i="13"/>
  <c r="AK22" i="13"/>
  <c r="F50" i="12"/>
  <c r="F46" i="12"/>
  <c r="F57" i="12"/>
  <c r="AM19" i="13"/>
  <c r="AN11" i="13"/>
  <c r="N37" i="13"/>
  <c r="N39" i="13"/>
  <c r="N40" i="13" s="1"/>
  <c r="N38" i="13"/>
  <c r="N8" i="13"/>
  <c r="F43" i="13"/>
  <c r="F36" i="13"/>
  <c r="P45" i="13"/>
  <c r="D109" i="7" s="1"/>
  <c r="P5" i="13"/>
  <c r="Q4" i="13"/>
  <c r="P33" i="13"/>
  <c r="D101" i="7" s="1"/>
  <c r="W31" i="13"/>
  <c r="AM18" i="11"/>
  <c r="AN10" i="11"/>
  <c r="AM10" i="6"/>
  <c r="F34" i="7"/>
  <c r="AM18" i="12"/>
  <c r="AN10" i="12"/>
  <c r="N8" i="6"/>
  <c r="L20" i="6"/>
  <c r="L34" i="11"/>
  <c r="AU20" i="13"/>
  <c r="AV12" i="13"/>
  <c r="K21" i="6"/>
  <c r="N31" i="11"/>
  <c r="M33" i="11"/>
  <c r="AL13" i="11"/>
  <c r="F50" i="11"/>
  <c r="F46" i="11"/>
  <c r="F27" i="6"/>
  <c r="F57" i="11"/>
  <c r="M34" i="12"/>
  <c r="O6" i="11" l="1"/>
  <c r="O26" i="11" s="1"/>
  <c r="O7" i="11"/>
  <c r="Q4" i="11"/>
  <c r="P5" i="11"/>
  <c r="P45" i="11"/>
  <c r="P29" i="6" s="1"/>
  <c r="N28" i="11"/>
  <c r="N17" i="6"/>
  <c r="N38" i="11"/>
  <c r="N37" i="11"/>
  <c r="N39" i="11"/>
  <c r="N40" i="11" s="1"/>
  <c r="N24" i="6" s="1"/>
  <c r="N8" i="11"/>
  <c r="D55" i="7"/>
  <c r="D28" i="7" s="1"/>
  <c r="AW20" i="11"/>
  <c r="AX12" i="11"/>
  <c r="AW12" i="6"/>
  <c r="O7" i="12"/>
  <c r="O6" i="12"/>
  <c r="O26" i="12" s="1"/>
  <c r="O28" i="12" s="1"/>
  <c r="P45" i="12"/>
  <c r="D82" i="7" s="1"/>
  <c r="P5" i="12"/>
  <c r="Q4" i="12"/>
  <c r="AN18" i="12"/>
  <c r="AO10" i="12"/>
  <c r="F61" i="7"/>
  <c r="N34" i="12"/>
  <c r="AM19" i="11"/>
  <c r="AM21" i="11" s="1"/>
  <c r="AM14" i="6" s="1"/>
  <c r="AM11" i="6"/>
  <c r="AN11" i="11"/>
  <c r="AW20" i="12"/>
  <c r="AX12" i="12"/>
  <c r="N39" i="12"/>
  <c r="N40" i="12" s="1"/>
  <c r="N38" i="12"/>
  <c r="N8" i="12"/>
  <c r="N37" i="12"/>
  <c r="F59" i="11"/>
  <c r="F58" i="11"/>
  <c r="AN13" i="11"/>
  <c r="AN18" i="11"/>
  <c r="AO10" i="11"/>
  <c r="AN10" i="6"/>
  <c r="AM13" i="11"/>
  <c r="F59" i="12"/>
  <c r="F58" i="12"/>
  <c r="O39" i="13"/>
  <c r="O40" i="13" s="1"/>
  <c r="O8" i="13"/>
  <c r="O37" i="13"/>
  <c r="O38" i="13"/>
  <c r="O34" i="13"/>
  <c r="F51" i="12"/>
  <c r="M20" i="6"/>
  <c r="M34" i="11"/>
  <c r="P33" i="12"/>
  <c r="D74" i="7" s="1"/>
  <c r="AL19" i="12"/>
  <c r="AL21" i="12" s="1"/>
  <c r="AM11" i="12"/>
  <c r="AL13" i="12"/>
  <c r="F7" i="9"/>
  <c r="F7" i="7"/>
  <c r="F35" i="6"/>
  <c r="F51" i="11"/>
  <c r="F52" i="11" s="1"/>
  <c r="F36" i="6" s="1"/>
  <c r="AL27" i="11"/>
  <c r="AL22" i="11"/>
  <c r="AL13" i="6"/>
  <c r="AL27" i="13"/>
  <c r="AL22" i="13"/>
  <c r="F30" i="6"/>
  <c r="F48" i="11"/>
  <c r="Q45" i="13"/>
  <c r="Q5" i="13"/>
  <c r="R4" i="13"/>
  <c r="Q33" i="13"/>
  <c r="P6" i="13"/>
  <c r="P26" i="13" s="1"/>
  <c r="P7" i="13"/>
  <c r="P7" i="6"/>
  <c r="P6" i="6"/>
  <c r="F48" i="12"/>
  <c r="AM13" i="13"/>
  <c r="AM18" i="13"/>
  <c r="AM21" i="13" s="1"/>
  <c r="AN10" i="13"/>
  <c r="X31" i="13"/>
  <c r="R31" i="12"/>
  <c r="F25" i="6"/>
  <c r="O8" i="6"/>
  <c r="O31" i="11"/>
  <c r="N33" i="11"/>
  <c r="Q5" i="6"/>
  <c r="R4" i="6"/>
  <c r="F41" i="13"/>
  <c r="AK15" i="6"/>
  <c r="AN19" i="13"/>
  <c r="AO11" i="13"/>
  <c r="F89" i="7"/>
  <c r="AV20" i="13"/>
  <c r="AW12" i="13"/>
  <c r="L21" i="6"/>
  <c r="F46" i="13"/>
  <c r="F50" i="13"/>
  <c r="F57" i="13"/>
  <c r="AK22" i="12"/>
  <c r="AK27" i="12"/>
  <c r="N19" i="6" l="1"/>
  <c r="P6" i="11"/>
  <c r="P26" i="11" s="1"/>
  <c r="P7" i="11"/>
  <c r="P8" i="11" s="1"/>
  <c r="Q45" i="11"/>
  <c r="Q29" i="6" s="1"/>
  <c r="Q5" i="11"/>
  <c r="R4" i="11"/>
  <c r="O38" i="11"/>
  <c r="O37" i="11"/>
  <c r="O39" i="11"/>
  <c r="O40" i="11" s="1"/>
  <c r="O24" i="6" s="1"/>
  <c r="O8" i="11"/>
  <c r="O17" i="6"/>
  <c r="O28" i="11"/>
  <c r="O19" i="6" s="1"/>
  <c r="D43" i="7"/>
  <c r="D16" i="7" s="1"/>
  <c r="AL18" i="6"/>
  <c r="AN27" i="11"/>
  <c r="AN18" i="6" s="1"/>
  <c r="AN13" i="6"/>
  <c r="F37" i="7"/>
  <c r="AO19" i="13"/>
  <c r="AP11" i="13"/>
  <c r="AM27" i="13"/>
  <c r="AM22" i="13"/>
  <c r="S31" i="12"/>
  <c r="AL15" i="6"/>
  <c r="F53" i="12"/>
  <c r="F72" i="12"/>
  <c r="G47" i="12"/>
  <c r="AO10" i="13"/>
  <c r="AN18" i="13"/>
  <c r="AN21" i="13" s="1"/>
  <c r="F93" i="7" s="1"/>
  <c r="AN13" i="13"/>
  <c r="F88" i="7"/>
  <c r="F59" i="13"/>
  <c r="F58" i="13"/>
  <c r="P8" i="6"/>
  <c r="F8" i="9"/>
  <c r="P28" i="13"/>
  <c r="D97" i="7"/>
  <c r="AL27" i="12"/>
  <c r="AL22" i="12"/>
  <c r="Q45" i="12"/>
  <c r="R4" i="12"/>
  <c r="R33" i="12" s="1"/>
  <c r="Q5" i="12"/>
  <c r="Y31" i="13"/>
  <c r="Q6" i="6"/>
  <c r="Q7" i="6"/>
  <c r="Q8" i="6" s="1"/>
  <c r="R45" i="13"/>
  <c r="R5" i="13"/>
  <c r="S4" i="13"/>
  <c r="R33" i="13"/>
  <c r="AM19" i="12"/>
  <c r="AM21" i="12" s="1"/>
  <c r="AN11" i="12"/>
  <c r="AM13" i="12"/>
  <c r="AY12" i="12"/>
  <c r="AX20" i="12"/>
  <c r="P6" i="12"/>
  <c r="P26" i="12" s="1"/>
  <c r="P7" i="12"/>
  <c r="S4" i="6"/>
  <c r="R5" i="6"/>
  <c r="F72" i="11"/>
  <c r="G47" i="11"/>
  <c r="F53" i="11"/>
  <c r="F32" i="6"/>
  <c r="AO11" i="11"/>
  <c r="AN19" i="11"/>
  <c r="AN21" i="11" s="1"/>
  <c r="AN11" i="6"/>
  <c r="F35" i="7"/>
  <c r="O34" i="12"/>
  <c r="AW20" i="13"/>
  <c r="AX12" i="13"/>
  <c r="P8" i="13"/>
  <c r="AX20" i="11"/>
  <c r="AY12" i="11"/>
  <c r="AX12" i="6"/>
  <c r="M21" i="6"/>
  <c r="AM27" i="11"/>
  <c r="AM18" i="6" s="1"/>
  <c r="AM22" i="11"/>
  <c r="AM13" i="6"/>
  <c r="Q6" i="13"/>
  <c r="Q26" i="13" s="1"/>
  <c r="Q7" i="13"/>
  <c r="O39" i="12"/>
  <c r="O40" i="12" s="1"/>
  <c r="O38" i="12"/>
  <c r="O8" i="12"/>
  <c r="O37" i="12"/>
  <c r="F52" i="12"/>
  <c r="AP10" i="12"/>
  <c r="AO18" i="12"/>
  <c r="F51" i="13"/>
  <c r="F48" i="13"/>
  <c r="N20" i="6"/>
  <c r="N34" i="11"/>
  <c r="P31" i="11"/>
  <c r="O33" i="11"/>
  <c r="Q33" i="12"/>
  <c r="AO18" i="11"/>
  <c r="AP10" i="11"/>
  <c r="AO10" i="6"/>
  <c r="R45" i="11" l="1"/>
  <c r="R29" i="6" s="1"/>
  <c r="S4" i="11"/>
  <c r="R5" i="11"/>
  <c r="Q7" i="11"/>
  <c r="Q6" i="11"/>
  <c r="Q26" i="11" s="1"/>
  <c r="P17" i="6"/>
  <c r="P28" i="11"/>
  <c r="P19" i="6" s="1"/>
  <c r="D45" i="7"/>
  <c r="AN14" i="6"/>
  <c r="F39" i="7"/>
  <c r="AN22" i="11"/>
  <c r="AY12" i="13"/>
  <c r="AX20" i="13"/>
  <c r="AZ12" i="12"/>
  <c r="AY20" i="12"/>
  <c r="AM22" i="12"/>
  <c r="AM27" i="12"/>
  <c r="P34" i="13"/>
  <c r="D99" i="7"/>
  <c r="T31" i="12"/>
  <c r="N21" i="6"/>
  <c r="R7" i="13"/>
  <c r="R6" i="13"/>
  <c r="R26" i="13" s="1"/>
  <c r="R28" i="13" s="1"/>
  <c r="AP11" i="11"/>
  <c r="AO19" i="11"/>
  <c r="AO11" i="6"/>
  <c r="Q28" i="13"/>
  <c r="Z31" i="13"/>
  <c r="AN27" i="13"/>
  <c r="F98" i="7" s="1"/>
  <c r="AN22" i="13"/>
  <c r="F91" i="7"/>
  <c r="F10" i="9"/>
  <c r="F8" i="7"/>
  <c r="F16" i="9"/>
  <c r="F10" i="7"/>
  <c r="F38" i="7"/>
  <c r="F11" i="7" s="1"/>
  <c r="AO11" i="12"/>
  <c r="AN19" i="12"/>
  <c r="AN21" i="12" s="1"/>
  <c r="F66" i="7" s="1"/>
  <c r="F62" i="7"/>
  <c r="AN13" i="12"/>
  <c r="O20" i="6"/>
  <c r="O34" i="11"/>
  <c r="R45" i="12"/>
  <c r="S4" i="12"/>
  <c r="R5" i="12"/>
  <c r="AP10" i="13"/>
  <c r="AO13" i="13"/>
  <c r="AO18" i="13"/>
  <c r="AO21" i="13" s="1"/>
  <c r="R6" i="6"/>
  <c r="R7" i="6"/>
  <c r="R8" i="6" s="1"/>
  <c r="Q6" i="12"/>
  <c r="Q26" i="12" s="1"/>
  <c r="Q7" i="12"/>
  <c r="F52" i="13"/>
  <c r="AZ12" i="11"/>
  <c r="AY20" i="11"/>
  <c r="AY12" i="6"/>
  <c r="G35" i="11"/>
  <c r="G31" i="6"/>
  <c r="AP19" i="13"/>
  <c r="AQ11" i="13"/>
  <c r="T4" i="6"/>
  <c r="S5" i="6"/>
  <c r="G35" i="12"/>
  <c r="Q39" i="13"/>
  <c r="Q40" i="13" s="1"/>
  <c r="Q37" i="13"/>
  <c r="Q8" i="13"/>
  <c r="Q31" i="11"/>
  <c r="P33" i="11"/>
  <c r="AO21" i="11"/>
  <c r="F44" i="7"/>
  <c r="S45" i="13"/>
  <c r="S5" i="13"/>
  <c r="T4" i="13"/>
  <c r="S33" i="13"/>
  <c r="AM15" i="6"/>
  <c r="P8" i="12"/>
  <c r="F53" i="13"/>
  <c r="F72" i="13"/>
  <c r="G47" i="13"/>
  <c r="AQ10" i="11"/>
  <c r="AP13" i="11"/>
  <c r="AP18" i="11"/>
  <c r="AP10" i="6"/>
  <c r="AP18" i="12"/>
  <c r="AQ10" i="12"/>
  <c r="AO13" i="11"/>
  <c r="P28" i="12"/>
  <c r="D70" i="7"/>
  <c r="D18" i="7" l="1"/>
  <c r="D22" i="9"/>
  <c r="D23" i="9" s="1"/>
  <c r="D46" i="7"/>
  <c r="D19" i="7" s="1"/>
  <c r="Q28" i="11"/>
  <c r="Q19" i="6" s="1"/>
  <c r="Q17" i="6"/>
  <c r="Q39" i="11"/>
  <c r="Q40" i="11" s="1"/>
  <c r="Q24" i="6" s="1"/>
  <c r="Q37" i="11"/>
  <c r="Q8" i="11"/>
  <c r="R6" i="11"/>
  <c r="R26" i="11" s="1"/>
  <c r="R7" i="11"/>
  <c r="S45" i="11"/>
  <c r="S29" i="6" s="1"/>
  <c r="S5" i="11"/>
  <c r="T4" i="11"/>
  <c r="P34" i="12"/>
  <c r="D72" i="7"/>
  <c r="S7" i="13"/>
  <c r="S6" i="13"/>
  <c r="S26" i="13" s="1"/>
  <c r="S28" i="13" s="1"/>
  <c r="D100" i="7"/>
  <c r="BA12" i="11"/>
  <c r="AZ20" i="11"/>
  <c r="AZ12" i="6"/>
  <c r="G36" i="7"/>
  <c r="AO19" i="12"/>
  <c r="AO21" i="12" s="1"/>
  <c r="AP11" i="12"/>
  <c r="AO13" i="12"/>
  <c r="AP19" i="11"/>
  <c r="AQ11" i="11"/>
  <c r="AP11" i="6"/>
  <c r="AO14" i="6"/>
  <c r="P20" i="6"/>
  <c r="D47" i="7"/>
  <c r="P34" i="11"/>
  <c r="AP27" i="11"/>
  <c r="AP18" i="6" s="1"/>
  <c r="AP13" i="6"/>
  <c r="F17" i="7"/>
  <c r="F17" i="9"/>
  <c r="R31" i="11"/>
  <c r="Q33" i="11"/>
  <c r="G43" i="12"/>
  <c r="G36" i="12"/>
  <c r="AO27" i="13"/>
  <c r="AO22" i="13"/>
  <c r="AP13" i="13"/>
  <c r="AQ10" i="13"/>
  <c r="AP18" i="13"/>
  <c r="AP21" i="13" s="1"/>
  <c r="F11" i="9"/>
  <c r="U4" i="6"/>
  <c r="T5" i="6"/>
  <c r="AR10" i="12"/>
  <c r="AQ18" i="12"/>
  <c r="AR10" i="11"/>
  <c r="AQ13" i="11"/>
  <c r="AQ18" i="11"/>
  <c r="AQ10" i="6"/>
  <c r="AZ12" i="13"/>
  <c r="AY20" i="13"/>
  <c r="AP21" i="11"/>
  <c r="AP14" i="6" s="1"/>
  <c r="R39" i="13"/>
  <c r="R40" i="13" s="1"/>
  <c r="R37" i="13"/>
  <c r="R8" i="13"/>
  <c r="S45" i="12"/>
  <c r="T4" i="12"/>
  <c r="S5" i="12"/>
  <c r="O21" i="6"/>
  <c r="AN15" i="6"/>
  <c r="F40" i="7"/>
  <c r="AO27" i="11"/>
  <c r="AO22" i="11"/>
  <c r="AO13" i="6"/>
  <c r="BA12" i="12"/>
  <c r="AZ20" i="12"/>
  <c r="G63" i="7"/>
  <c r="G35" i="13"/>
  <c r="AA31" i="13"/>
  <c r="S33" i="12"/>
  <c r="F12" i="7"/>
  <c r="Q39" i="12"/>
  <c r="Q40" i="12" s="1"/>
  <c r="Q37" i="12"/>
  <c r="Q8" i="12"/>
  <c r="F92" i="7"/>
  <c r="G22" i="6"/>
  <c r="G43" i="11"/>
  <c r="G36" i="11"/>
  <c r="AN22" i="12"/>
  <c r="AN27" i="12"/>
  <c r="F71" i="7" s="1"/>
  <c r="F64" i="7"/>
  <c r="U31" i="12"/>
  <c r="Q28" i="12"/>
  <c r="R34" i="13"/>
  <c r="R6" i="12"/>
  <c r="R26" i="12" s="1"/>
  <c r="R28" i="12" s="1"/>
  <c r="R7" i="12"/>
  <c r="S6" i="6"/>
  <c r="S7" i="6"/>
  <c r="F94" i="7"/>
  <c r="F95" i="7" s="1"/>
  <c r="AQ19" i="13"/>
  <c r="AR11" i="13"/>
  <c r="T45" i="13"/>
  <c r="U4" i="13"/>
  <c r="T5" i="13"/>
  <c r="T33" i="13"/>
  <c r="Q34" i="13"/>
  <c r="R39" i="11" l="1"/>
  <c r="R40" i="11" s="1"/>
  <c r="R24" i="6" s="1"/>
  <c r="R37" i="11"/>
  <c r="R8" i="11"/>
  <c r="R17" i="6"/>
  <c r="R28" i="11"/>
  <c r="R19" i="6" s="1"/>
  <c r="S7" i="11"/>
  <c r="S6" i="11"/>
  <c r="S26" i="11" s="1"/>
  <c r="S8" i="6"/>
  <c r="AP22" i="11"/>
  <c r="T45" i="11"/>
  <c r="T29" i="6" s="1"/>
  <c r="T5" i="11"/>
  <c r="U4" i="11"/>
  <c r="G41" i="12"/>
  <c r="R39" i="12"/>
  <c r="R40" i="12" s="1"/>
  <c r="R37" i="12"/>
  <c r="R8" i="12"/>
  <c r="T45" i="12"/>
  <c r="T5" i="12"/>
  <c r="U4" i="12"/>
  <c r="AO27" i="12"/>
  <c r="AO22" i="12"/>
  <c r="AP19" i="12"/>
  <c r="AP21" i="12" s="1"/>
  <c r="AQ11" i="12"/>
  <c r="AP13" i="12"/>
  <c r="S6" i="12"/>
  <c r="S26" i="12" s="1"/>
  <c r="S28" i="12" s="1"/>
  <c r="S7" i="12"/>
  <c r="AR10" i="13"/>
  <c r="AQ13" i="13"/>
  <c r="AQ18" i="13"/>
  <c r="AQ21" i="13" s="1"/>
  <c r="AP15" i="6"/>
  <c r="T33" i="12"/>
  <c r="AP27" i="13"/>
  <c r="AP22" i="13"/>
  <c r="G13" i="9"/>
  <c r="G9" i="7"/>
  <c r="R34" i="12"/>
  <c r="V31" i="12"/>
  <c r="AB31" i="13"/>
  <c r="P21" i="6"/>
  <c r="D20" i="7"/>
  <c r="BB12" i="11"/>
  <c r="BA20" i="11"/>
  <c r="BA12" i="6"/>
  <c r="F67" i="7"/>
  <c r="T6" i="13"/>
  <c r="T26" i="13" s="1"/>
  <c r="T28" i="13" s="1"/>
  <c r="T7" i="13"/>
  <c r="U45" i="13"/>
  <c r="U5" i="13"/>
  <c r="V4" i="13"/>
  <c r="U33" i="13"/>
  <c r="G50" i="12"/>
  <c r="G46" i="12"/>
  <c r="G57" i="12"/>
  <c r="G50" i="11"/>
  <c r="G46" i="11"/>
  <c r="G27" i="6"/>
  <c r="G57" i="11"/>
  <c r="G43" i="13"/>
  <c r="G36" i="13"/>
  <c r="S37" i="13"/>
  <c r="S39" i="13"/>
  <c r="S40" i="13" s="1"/>
  <c r="S8" i="13"/>
  <c r="AO15" i="6"/>
  <c r="S31" i="11"/>
  <c r="R33" i="11"/>
  <c r="D73" i="7"/>
  <c r="BB12" i="12"/>
  <c r="BA20" i="12"/>
  <c r="AQ27" i="11"/>
  <c r="AQ18" i="6" s="1"/>
  <c r="AQ13" i="6"/>
  <c r="AR19" i="13"/>
  <c r="AS11" i="13"/>
  <c r="Q34" i="12"/>
  <c r="F65" i="7"/>
  <c r="BA12" i="13"/>
  <c r="AZ20" i="13"/>
  <c r="G90" i="7"/>
  <c r="G41" i="11"/>
  <c r="G23" i="6"/>
  <c r="AQ21" i="11"/>
  <c r="F19" i="9"/>
  <c r="F13" i="7"/>
  <c r="F41" i="7"/>
  <c r="F14" i="7" s="1"/>
  <c r="AS10" i="12"/>
  <c r="AR18" i="12"/>
  <c r="T6" i="6"/>
  <c r="T7" i="6"/>
  <c r="T8" i="6" s="1"/>
  <c r="S34" i="13"/>
  <c r="AS10" i="11"/>
  <c r="AR18" i="11"/>
  <c r="AR10" i="6"/>
  <c r="Q20" i="6"/>
  <c r="Q34" i="11"/>
  <c r="AO18" i="6"/>
  <c r="V4" i="6"/>
  <c r="U5" i="6"/>
  <c r="AQ19" i="11"/>
  <c r="AR11" i="11"/>
  <c r="AR13" i="11" s="1"/>
  <c r="AQ11" i="6"/>
  <c r="S28" i="11" l="1"/>
  <c r="S19" i="6" s="1"/>
  <c r="S17" i="6"/>
  <c r="U45" i="11"/>
  <c r="U29" i="6" s="1"/>
  <c r="U5" i="11"/>
  <c r="V4" i="11"/>
  <c r="S39" i="11"/>
  <c r="S40" i="11" s="1"/>
  <c r="S24" i="6" s="1"/>
  <c r="S37" i="11"/>
  <c r="S8" i="11"/>
  <c r="T6" i="11"/>
  <c r="T26" i="11" s="1"/>
  <c r="T7" i="11"/>
  <c r="F20" i="9"/>
  <c r="Q21" i="6"/>
  <c r="G35" i="6"/>
  <c r="G51" i="11"/>
  <c r="T39" i="13"/>
  <c r="T40" i="13" s="1"/>
  <c r="T37" i="13"/>
  <c r="T8" i="13"/>
  <c r="U6" i="6"/>
  <c r="U7" i="6"/>
  <c r="AS18" i="12"/>
  <c r="AT10" i="12"/>
  <c r="G41" i="13"/>
  <c r="G50" i="13"/>
  <c r="G46" i="13"/>
  <c r="G57" i="13"/>
  <c r="G14" i="9"/>
  <c r="G59" i="11"/>
  <c r="G58" i="11"/>
  <c r="AS19" i="13"/>
  <c r="AT11" i="13"/>
  <c r="U5" i="12"/>
  <c r="U45" i="12"/>
  <c r="V4" i="12"/>
  <c r="V33" i="12" s="1"/>
  <c r="T6" i="12"/>
  <c r="T26" i="12" s="1"/>
  <c r="T7" i="12"/>
  <c r="AQ14" i="6"/>
  <c r="AQ22" i="11"/>
  <c r="G30" i="6"/>
  <c r="G48" i="11"/>
  <c r="W4" i="6"/>
  <c r="V5" i="6"/>
  <c r="AQ22" i="13"/>
  <c r="AQ27" i="13"/>
  <c r="G48" i="12"/>
  <c r="S37" i="12"/>
  <c r="S39" i="12"/>
  <c r="S40" i="12" s="1"/>
  <c r="S8" i="12"/>
  <c r="BC12" i="12"/>
  <c r="BB20" i="12"/>
  <c r="G51" i="12"/>
  <c r="G52" i="12" s="1"/>
  <c r="S34" i="12"/>
  <c r="BC12" i="11"/>
  <c r="BB20" i="11"/>
  <c r="BB12" i="6"/>
  <c r="G59" i="12"/>
  <c r="G58" i="12"/>
  <c r="G25" i="6"/>
  <c r="R20" i="6"/>
  <c r="R34" i="11"/>
  <c r="AT10" i="11"/>
  <c r="AS13" i="11"/>
  <c r="AS18" i="11"/>
  <c r="AS10" i="6"/>
  <c r="T31" i="11"/>
  <c r="S33" i="11"/>
  <c r="AQ19" i="12"/>
  <c r="AQ21" i="12" s="1"/>
  <c r="AR11" i="12"/>
  <c r="AQ13" i="12"/>
  <c r="AR13" i="13"/>
  <c r="AS10" i="13"/>
  <c r="AR18" i="13"/>
  <c r="AR21" i="13" s="1"/>
  <c r="AP22" i="12"/>
  <c r="AP27" i="12"/>
  <c r="AR19" i="11"/>
  <c r="AR21" i="11" s="1"/>
  <c r="AS11" i="11"/>
  <c r="AR11" i="6"/>
  <c r="V45" i="13"/>
  <c r="V5" i="13"/>
  <c r="W4" i="13"/>
  <c r="V33" i="13"/>
  <c r="F68" i="7"/>
  <c r="U6" i="13"/>
  <c r="U26" i="13" s="1"/>
  <c r="U7" i="13"/>
  <c r="AC31" i="13"/>
  <c r="AR27" i="11"/>
  <c r="AR13" i="6"/>
  <c r="BA20" i="13"/>
  <c r="BB12" i="13"/>
  <c r="U33" i="12"/>
  <c r="T34" i="13"/>
  <c r="W31" i="12"/>
  <c r="U8" i="6" l="1"/>
  <c r="T17" i="6"/>
  <c r="T28" i="11"/>
  <c r="T19" i="6" s="1"/>
  <c r="V45" i="11"/>
  <c r="V29" i="6" s="1"/>
  <c r="V5" i="11"/>
  <c r="W4" i="11"/>
  <c r="U7" i="11"/>
  <c r="U6" i="11"/>
  <c r="U26" i="11" s="1"/>
  <c r="G52" i="11"/>
  <c r="G36" i="6" s="1"/>
  <c r="T37" i="11"/>
  <c r="T39" i="11"/>
  <c r="T40" i="11" s="1"/>
  <c r="T24" i="6" s="1"/>
  <c r="T8" i="11"/>
  <c r="AR14" i="6"/>
  <c r="AR22" i="11"/>
  <c r="G59" i="13"/>
  <c r="G58" i="13"/>
  <c r="AR19" i="12"/>
  <c r="AR21" i="12" s="1"/>
  <c r="AS11" i="12"/>
  <c r="AR13" i="12"/>
  <c r="G48" i="13"/>
  <c r="AT18" i="11"/>
  <c r="AU10" i="11"/>
  <c r="AT10" i="6"/>
  <c r="V5" i="12"/>
  <c r="W4" i="12"/>
  <c r="V45" i="12"/>
  <c r="U39" i="13"/>
  <c r="U40" i="13" s="1"/>
  <c r="U8" i="13"/>
  <c r="U37" i="13"/>
  <c r="U7" i="12"/>
  <c r="U6" i="12"/>
  <c r="U26" i="12" s="1"/>
  <c r="U28" i="12" s="1"/>
  <c r="S20" i="6"/>
  <c r="S34" i="11"/>
  <c r="U31" i="11"/>
  <c r="T33" i="11"/>
  <c r="R21" i="6"/>
  <c r="G72" i="12"/>
  <c r="G53" i="12"/>
  <c r="H47" i="12"/>
  <c r="AT18" i="12"/>
  <c r="AU10" i="12"/>
  <c r="G51" i="13"/>
  <c r="AS27" i="11"/>
  <c r="AS18" i="6" s="1"/>
  <c r="AS13" i="6"/>
  <c r="W5" i="13"/>
  <c r="W45" i="13"/>
  <c r="X4" i="13"/>
  <c r="W33" i="13"/>
  <c r="AT19" i="13"/>
  <c r="AU11" i="13"/>
  <c r="V7" i="13"/>
  <c r="V6" i="13"/>
  <c r="V26" i="13" s="1"/>
  <c r="V28" i="13" s="1"/>
  <c r="U28" i="13"/>
  <c r="T37" i="12"/>
  <c r="T8" i="12"/>
  <c r="T39" i="12"/>
  <c r="T40" i="12" s="1"/>
  <c r="BD12" i="12"/>
  <c r="BC20" i="12"/>
  <c r="AT11" i="11"/>
  <c r="AS19" i="11"/>
  <c r="AS21" i="11" s="1"/>
  <c r="AS11" i="6"/>
  <c r="AD31" i="13"/>
  <c r="AQ27" i="12"/>
  <c r="AQ22" i="12"/>
  <c r="G72" i="11"/>
  <c r="H47" i="11"/>
  <c r="G53" i="11"/>
  <c r="G32" i="6"/>
  <c r="AQ15" i="6"/>
  <c r="AR18" i="6"/>
  <c r="BD12" i="11"/>
  <c r="BC20" i="11"/>
  <c r="BC12" i="6"/>
  <c r="T28" i="12"/>
  <c r="BC12" i="13"/>
  <c r="BB20" i="13"/>
  <c r="AT10" i="13"/>
  <c r="AS13" i="13"/>
  <c r="AS18" i="13"/>
  <c r="AS21" i="13" s="1"/>
  <c r="X31" i="12"/>
  <c r="W33" i="12"/>
  <c r="V6" i="6"/>
  <c r="V7" i="6"/>
  <c r="AR27" i="13"/>
  <c r="AR22" i="13"/>
  <c r="X4" i="6"/>
  <c r="W5" i="6"/>
  <c r="U39" i="11" l="1"/>
  <c r="U40" i="11" s="1"/>
  <c r="U24" i="6" s="1"/>
  <c r="U8" i="11"/>
  <c r="U37" i="11"/>
  <c r="U17" i="6"/>
  <c r="U28" i="11"/>
  <c r="U19" i="6" s="1"/>
  <c r="X4" i="11"/>
  <c r="W5" i="11"/>
  <c r="W45" i="11"/>
  <c r="W29" i="6" s="1"/>
  <c r="V7" i="11"/>
  <c r="V6" i="11"/>
  <c r="V26" i="11" s="1"/>
  <c r="AS14" i="6"/>
  <c r="AS22" i="11"/>
  <c r="BD12" i="13"/>
  <c r="BC20" i="13"/>
  <c r="H35" i="11"/>
  <c r="H31" i="6"/>
  <c r="V34" i="13"/>
  <c r="V39" i="13"/>
  <c r="V40" i="13" s="1"/>
  <c r="V37" i="13"/>
  <c r="V8" i="13"/>
  <c r="H47" i="13"/>
  <c r="G53" i="13"/>
  <c r="G72" i="13"/>
  <c r="T34" i="12"/>
  <c r="V31" i="11"/>
  <c r="U33" i="11"/>
  <c r="AU11" i="11"/>
  <c r="AT19" i="11"/>
  <c r="AT21" i="11" s="1"/>
  <c r="AT11" i="6"/>
  <c r="AR27" i="12"/>
  <c r="AR22" i="12"/>
  <c r="Y4" i="6"/>
  <c r="X5" i="6"/>
  <c r="W7" i="13"/>
  <c r="W6" i="13"/>
  <c r="W26" i="13" s="1"/>
  <c r="W28" i="13" s="1"/>
  <c r="AT11" i="12"/>
  <c r="AS19" i="12"/>
  <c r="AS21" i="12" s="1"/>
  <c r="AS13" i="12"/>
  <c r="T20" i="6"/>
  <c r="T34" i="11"/>
  <c r="U34" i="12"/>
  <c r="S21" i="6"/>
  <c r="U37" i="12"/>
  <c r="U39" i="12"/>
  <c r="U40" i="12" s="1"/>
  <c r="U8" i="12"/>
  <c r="W6" i="6"/>
  <c r="W7" i="6"/>
  <c r="W8" i="6" s="1"/>
  <c r="BE12" i="11"/>
  <c r="BD20" i="11"/>
  <c r="BD12" i="6"/>
  <c r="Y31" i="12"/>
  <c r="AE31" i="13"/>
  <c r="AU19" i="13"/>
  <c r="AV11" i="13"/>
  <c r="X45" i="13"/>
  <c r="Y4" i="13"/>
  <c r="X5" i="13"/>
  <c r="X33" i="13"/>
  <c r="BE12" i="12"/>
  <c r="BD20" i="12"/>
  <c r="U34" i="13"/>
  <c r="AV10" i="12"/>
  <c r="AU18" i="12"/>
  <c r="V7" i="12"/>
  <c r="V6" i="12"/>
  <c r="V26" i="12" s="1"/>
  <c r="AT13" i="11"/>
  <c r="V8" i="6"/>
  <c r="G52" i="13"/>
  <c r="AR15" i="6"/>
  <c r="W45" i="12"/>
  <c r="X4" i="12"/>
  <c r="W5" i="12"/>
  <c r="AS22" i="13"/>
  <c r="AS27" i="13"/>
  <c r="AT13" i="13"/>
  <c r="AU10" i="13"/>
  <c r="AT18" i="13"/>
  <c r="AT21" i="13" s="1"/>
  <c r="H35" i="12"/>
  <c r="AU13" i="11"/>
  <c r="AU18" i="11"/>
  <c r="AV10" i="11"/>
  <c r="AU10" i="6"/>
  <c r="V17" i="6" l="1"/>
  <c r="V28" i="11"/>
  <c r="V19" i="6" s="1"/>
  <c r="X45" i="11"/>
  <c r="X29" i="6" s="1"/>
  <c r="X5" i="11"/>
  <c r="Y4" i="11"/>
  <c r="V37" i="11"/>
  <c r="V39" i="11"/>
  <c r="V40" i="11" s="1"/>
  <c r="V24" i="6" s="1"/>
  <c r="V8" i="11"/>
  <c r="W7" i="11"/>
  <c r="W6" i="11"/>
  <c r="W26" i="11" s="1"/>
  <c r="AT14" i="6"/>
  <c r="W8" i="13"/>
  <c r="W39" i="13"/>
  <c r="W40" i="13" s="1"/>
  <c r="W37" i="13"/>
  <c r="X6" i="6"/>
  <c r="X7" i="6"/>
  <c r="H35" i="13"/>
  <c r="W6" i="12"/>
  <c r="W26" i="12" s="1"/>
  <c r="W28" i="12" s="1"/>
  <c r="W7" i="12"/>
  <c r="AW10" i="12"/>
  <c r="AV18" i="12"/>
  <c r="BE20" i="11"/>
  <c r="BF12" i="11"/>
  <c r="BE12" i="6"/>
  <c r="Z4" i="6"/>
  <c r="Y5" i="6"/>
  <c r="X45" i="12"/>
  <c r="X5" i="12"/>
  <c r="Y4" i="12"/>
  <c r="AU19" i="11"/>
  <c r="AU11" i="6"/>
  <c r="AV11" i="11"/>
  <c r="BE20" i="12"/>
  <c r="BF12" i="12"/>
  <c r="W31" i="11"/>
  <c r="V33" i="11"/>
  <c r="H22" i="6"/>
  <c r="H43" i="11"/>
  <c r="H36" i="11"/>
  <c r="AW10" i="11"/>
  <c r="AV18" i="11"/>
  <c r="AV10" i="6"/>
  <c r="AV19" i="13"/>
  <c r="AW11" i="13"/>
  <c r="X7" i="13"/>
  <c r="X6" i="13"/>
  <c r="X26" i="13" s="1"/>
  <c r="X28" i="13" s="1"/>
  <c r="AU21" i="11"/>
  <c r="AU14" i="6" s="1"/>
  <c r="AU27" i="11"/>
  <c r="AU18" i="6" s="1"/>
  <c r="AU13" i="6"/>
  <c r="AT22" i="11"/>
  <c r="AT27" i="11"/>
  <c r="AT13" i="6"/>
  <c r="BE12" i="13"/>
  <c r="BD20" i="13"/>
  <c r="Y45" i="13"/>
  <c r="Y5" i="13"/>
  <c r="Z4" i="13"/>
  <c r="Y33" i="13"/>
  <c r="T21" i="6"/>
  <c r="X33" i="12"/>
  <c r="AS22" i="12"/>
  <c r="AS27" i="12"/>
  <c r="AS15" i="6"/>
  <c r="Z31" i="12"/>
  <c r="Y33" i="12"/>
  <c r="H43" i="12"/>
  <c r="H36" i="12"/>
  <c r="AT27" i="13"/>
  <c r="AT22" i="13"/>
  <c r="V28" i="12"/>
  <c r="AT19" i="12"/>
  <c r="AT21" i="12" s="1"/>
  <c r="AU11" i="12"/>
  <c r="AT13" i="12"/>
  <c r="U20" i="6"/>
  <c r="U34" i="11"/>
  <c r="AF31" i="13"/>
  <c r="AV10" i="13"/>
  <c r="AU13" i="13"/>
  <c r="AU18" i="13"/>
  <c r="AU21" i="13" s="1"/>
  <c r="V37" i="12"/>
  <c r="V8" i="12"/>
  <c r="V39" i="12"/>
  <c r="V40" i="12" s="1"/>
  <c r="W34" i="13"/>
  <c r="W17" i="6" l="1"/>
  <c r="W28" i="11"/>
  <c r="W19" i="6" s="1"/>
  <c r="Y5" i="11"/>
  <c r="Y45" i="11"/>
  <c r="Y29" i="6" s="1"/>
  <c r="Z4" i="11"/>
  <c r="X6" i="11"/>
  <c r="X26" i="11" s="1"/>
  <c r="X7" i="11"/>
  <c r="W39" i="11"/>
  <c r="W40" i="11" s="1"/>
  <c r="W24" i="6" s="1"/>
  <c r="W8" i="11"/>
  <c r="W37" i="11"/>
  <c r="AU22" i="11"/>
  <c r="AU15" i="6" s="1"/>
  <c r="H46" i="11"/>
  <c r="H50" i="11"/>
  <c r="H27" i="6"/>
  <c r="H57" i="11"/>
  <c r="BF12" i="13"/>
  <c r="BE20" i="13"/>
  <c r="AX10" i="12"/>
  <c r="AW18" i="12"/>
  <c r="AT18" i="6"/>
  <c r="W37" i="12"/>
  <c r="W39" i="12"/>
  <c r="W40" i="12" s="1"/>
  <c r="W8" i="12"/>
  <c r="W34" i="12"/>
  <c r="H50" i="12"/>
  <c r="H46" i="12"/>
  <c r="H57" i="12"/>
  <c r="V20" i="6"/>
  <c r="V34" i="11"/>
  <c r="H43" i="13"/>
  <c r="H36" i="13"/>
  <c r="H41" i="12"/>
  <c r="X31" i="11"/>
  <c r="W33" i="11"/>
  <c r="AU27" i="13"/>
  <c r="AU22" i="13"/>
  <c r="U21" i="6"/>
  <c r="X34" i="13"/>
  <c r="X8" i="6"/>
  <c r="AW10" i="13"/>
  <c r="AV13" i="13"/>
  <c r="AV18" i="13"/>
  <c r="AV21" i="13" s="1"/>
  <c r="AW19" i="13"/>
  <c r="AX11" i="13"/>
  <c r="Y5" i="12"/>
  <c r="Y45" i="12"/>
  <c r="Z4" i="12"/>
  <c r="AT27" i="12"/>
  <c r="AT22" i="12"/>
  <c r="X6" i="12"/>
  <c r="X26" i="12" s="1"/>
  <c r="X28" i="12" s="1"/>
  <c r="X7" i="12"/>
  <c r="AT15" i="6"/>
  <c r="AA31" i="12"/>
  <c r="AV19" i="11"/>
  <c r="AV21" i="11" s="1"/>
  <c r="AV14" i="6" s="1"/>
  <c r="AW11" i="11"/>
  <c r="AV11" i="6"/>
  <c r="Y6" i="6"/>
  <c r="Y7" i="6"/>
  <c r="AV13" i="11"/>
  <c r="Z5" i="6"/>
  <c r="AA4" i="6"/>
  <c r="AU19" i="12"/>
  <c r="AU21" i="12" s="1"/>
  <c r="AV11" i="12"/>
  <c r="AU13" i="12"/>
  <c r="V34" i="12"/>
  <c r="BF20" i="12"/>
  <c r="BG12" i="12"/>
  <c r="Z45" i="13"/>
  <c r="AA4" i="13"/>
  <c r="Z5" i="13"/>
  <c r="Z33" i="13"/>
  <c r="BF20" i="11"/>
  <c r="BG12" i="11"/>
  <c r="BF12" i="6"/>
  <c r="AG31" i="13"/>
  <c r="X8" i="13"/>
  <c r="X37" i="13"/>
  <c r="X39" i="13"/>
  <c r="X40" i="13" s="1"/>
  <c r="AW18" i="11"/>
  <c r="AX10" i="11"/>
  <c r="AW10" i="6"/>
  <c r="Y7" i="13"/>
  <c r="Y6" i="13"/>
  <c r="Y26" i="13" s="1"/>
  <c r="Y28" i="13" s="1"/>
  <c r="H41" i="11"/>
  <c r="H23" i="6"/>
  <c r="X37" i="11" l="1"/>
  <c r="X39" i="11"/>
  <c r="X40" i="11" s="1"/>
  <c r="X24" i="6" s="1"/>
  <c r="X8" i="11"/>
  <c r="X17" i="6"/>
  <c r="X28" i="11"/>
  <c r="X19" i="6" s="1"/>
  <c r="Z45" i="11"/>
  <c r="Z29" i="6" s="1"/>
  <c r="Z5" i="11"/>
  <c r="AA4" i="11"/>
  <c r="Y6" i="11"/>
  <c r="Y26" i="11" s="1"/>
  <c r="Y7" i="11"/>
  <c r="AV19" i="12"/>
  <c r="AV21" i="12" s="1"/>
  <c r="AW11" i="12"/>
  <c r="AV13" i="12"/>
  <c r="AA4" i="12"/>
  <c r="Z5" i="12"/>
  <c r="Z45" i="12"/>
  <c r="Y6" i="12"/>
  <c r="Y26" i="12" s="1"/>
  <c r="Y28" i="12" s="1"/>
  <c r="Y7" i="12"/>
  <c r="AA5" i="6"/>
  <c r="AB4" i="6"/>
  <c r="H41" i="13"/>
  <c r="AY10" i="12"/>
  <c r="AX18" i="12"/>
  <c r="AV27" i="11"/>
  <c r="AV22" i="11"/>
  <c r="AV13" i="6"/>
  <c r="AV22" i="13"/>
  <c r="AV27" i="13"/>
  <c r="V21" i="6"/>
  <c r="Z7" i="6"/>
  <c r="Z6" i="6"/>
  <c r="H46" i="13"/>
  <c r="H50" i="13"/>
  <c r="H57" i="13"/>
  <c r="Z6" i="13"/>
  <c r="Z26" i="13" s="1"/>
  <c r="Z28" i="13" s="1"/>
  <c r="Z7" i="13"/>
  <c r="Y8" i="6"/>
  <c r="AW18" i="13"/>
  <c r="AW21" i="13" s="1"/>
  <c r="AX10" i="13"/>
  <c r="AW13" i="13"/>
  <c r="H59" i="12"/>
  <c r="H58" i="12"/>
  <c r="BG12" i="13"/>
  <c r="BF20" i="13"/>
  <c r="H25" i="6"/>
  <c r="BG20" i="12"/>
  <c r="BH12" i="12"/>
  <c r="H48" i="12"/>
  <c r="AH31" i="13"/>
  <c r="AX19" i="13"/>
  <c r="AY11" i="13"/>
  <c r="BG20" i="11"/>
  <c r="BH12" i="11"/>
  <c r="BG12" i="6"/>
  <c r="AA45" i="13"/>
  <c r="AA5" i="13"/>
  <c r="AB4" i="13"/>
  <c r="AA33" i="13"/>
  <c r="H51" i="12"/>
  <c r="Y8" i="13"/>
  <c r="Y37" i="13"/>
  <c r="Y39" i="13"/>
  <c r="Y40" i="13" s="1"/>
  <c r="AB31" i="12"/>
  <c r="AA33" i="12"/>
  <c r="AX18" i="11"/>
  <c r="AY10" i="11"/>
  <c r="AX10" i="6"/>
  <c r="Z33" i="12"/>
  <c r="W20" i="6"/>
  <c r="W34" i="11"/>
  <c r="Y31" i="11"/>
  <c r="X33" i="11"/>
  <c r="H35" i="6"/>
  <c r="H51" i="11"/>
  <c r="H52" i="11" s="1"/>
  <c r="H36" i="6" s="1"/>
  <c r="H30" i="6"/>
  <c r="H48" i="11"/>
  <c r="H59" i="11"/>
  <c r="H58" i="11"/>
  <c r="X34" i="12"/>
  <c r="Y34" i="13"/>
  <c r="AW19" i="11"/>
  <c r="AW21" i="11" s="1"/>
  <c r="AW14" i="6" s="1"/>
  <c r="AX11" i="11"/>
  <c r="AX13" i="11" s="1"/>
  <c r="AW11" i="6"/>
  <c r="AW13" i="11"/>
  <c r="X39" i="12"/>
  <c r="X40" i="12" s="1"/>
  <c r="X37" i="12"/>
  <c r="X8" i="12"/>
  <c r="AU27" i="12"/>
  <c r="AU22" i="12"/>
  <c r="H52" i="12" l="1"/>
  <c r="Y8" i="11"/>
  <c r="Y37" i="11"/>
  <c r="Y39" i="11"/>
  <c r="Y40" i="11" s="1"/>
  <c r="Y24" i="6" s="1"/>
  <c r="Y28" i="11"/>
  <c r="Y19" i="6" s="1"/>
  <c r="Y17" i="6"/>
  <c r="AB4" i="11"/>
  <c r="AA45" i="11"/>
  <c r="AA5" i="11"/>
  <c r="Z6" i="11"/>
  <c r="Z26" i="11" s="1"/>
  <c r="Z7" i="11"/>
  <c r="AX27" i="11"/>
  <c r="AX18" i="6" s="1"/>
  <c r="AX13" i="6"/>
  <c r="Z37" i="13"/>
  <c r="Z39" i="13"/>
  <c r="Z40" i="13" s="1"/>
  <c r="Z8" i="13"/>
  <c r="AC4" i="13"/>
  <c r="AB45" i="13"/>
  <c r="E109" i="7" s="1"/>
  <c r="AB5" i="13"/>
  <c r="AB33" i="13"/>
  <c r="E101" i="7" s="1"/>
  <c r="Z34" i="13"/>
  <c r="AX13" i="13"/>
  <c r="AX18" i="13"/>
  <c r="AX21" i="13" s="1"/>
  <c r="AY10" i="13"/>
  <c r="AA7" i="13"/>
  <c r="AA6" i="13"/>
  <c r="AA26" i="13" s="1"/>
  <c r="AA28" i="13" s="1"/>
  <c r="H59" i="13"/>
  <c r="H58" i="13"/>
  <c r="AC4" i="6"/>
  <c r="AB5" i="6"/>
  <c r="Z31" i="11"/>
  <c r="Y33" i="11"/>
  <c r="AY18" i="12"/>
  <c r="AZ10" i="12"/>
  <c r="AW27" i="11"/>
  <c r="AW18" i="6" s="1"/>
  <c r="AW22" i="11"/>
  <c r="AW13" i="6"/>
  <c r="AA6" i="6"/>
  <c r="AA7" i="6"/>
  <c r="AA8" i="6" s="1"/>
  <c r="W21" i="6"/>
  <c r="BH20" i="11"/>
  <c r="BI12" i="11"/>
  <c r="BH12" i="6"/>
  <c r="BG20" i="13"/>
  <c r="BH12" i="13"/>
  <c r="Y37" i="12"/>
  <c r="Y39" i="12"/>
  <c r="Y40" i="12" s="1"/>
  <c r="Y8" i="12"/>
  <c r="Z8" i="6"/>
  <c r="Y34" i="12"/>
  <c r="AZ11" i="13"/>
  <c r="AY19" i="13"/>
  <c r="AY18" i="11"/>
  <c r="AZ10" i="11"/>
  <c r="AY10" i="6"/>
  <c r="Z7" i="12"/>
  <c r="Z6" i="12"/>
  <c r="Z26" i="12" s="1"/>
  <c r="Z28" i="12" s="1"/>
  <c r="AA45" i="12"/>
  <c r="AB4" i="12"/>
  <c r="AA5" i="12"/>
  <c r="AC31" i="12"/>
  <c r="AB33" i="12"/>
  <c r="E74" i="7" s="1"/>
  <c r="H48" i="13"/>
  <c r="AI31" i="13"/>
  <c r="H72" i="11"/>
  <c r="I47" i="11"/>
  <c r="H53" i="11"/>
  <c r="H32" i="6"/>
  <c r="BH20" i="12"/>
  <c r="BI12" i="12"/>
  <c r="AV15" i="6"/>
  <c r="AV27" i="12"/>
  <c r="AV22" i="12"/>
  <c r="X20" i="6"/>
  <c r="X34" i="11"/>
  <c r="AV18" i="6"/>
  <c r="AW19" i="12"/>
  <c r="AW21" i="12" s="1"/>
  <c r="AX11" i="12"/>
  <c r="AW13" i="12"/>
  <c r="AX19" i="11"/>
  <c r="AX21" i="11" s="1"/>
  <c r="AY11" i="11"/>
  <c r="AX11" i="6"/>
  <c r="H51" i="13"/>
  <c r="H72" i="12"/>
  <c r="H53" i="12"/>
  <c r="I47" i="12"/>
  <c r="AW22" i="13"/>
  <c r="AW27" i="13"/>
  <c r="Z8" i="11" l="1"/>
  <c r="Z39" i="11"/>
  <c r="Z40" i="11" s="1"/>
  <c r="Z24" i="6" s="1"/>
  <c r="Z37" i="11"/>
  <c r="AB5" i="11"/>
  <c r="AB45" i="11"/>
  <c r="AB29" i="6" s="1"/>
  <c r="AC4" i="11"/>
  <c r="Z28" i="11"/>
  <c r="Z19" i="6" s="1"/>
  <c r="Z17" i="6"/>
  <c r="AA29" i="6"/>
  <c r="E55" i="7"/>
  <c r="E28" i="7" s="1"/>
  <c r="AA7" i="11"/>
  <c r="AA6" i="11"/>
  <c r="AA26" i="11" s="1"/>
  <c r="AX14" i="6"/>
  <c r="AX22" i="11"/>
  <c r="Z34" i="12"/>
  <c r="AY13" i="13"/>
  <c r="AY18" i="13"/>
  <c r="AY21" i="13" s="1"/>
  <c r="AZ10" i="13"/>
  <c r="Z37" i="12"/>
  <c r="Z39" i="12"/>
  <c r="Z40" i="12" s="1"/>
  <c r="Z8" i="12"/>
  <c r="AX27" i="13"/>
  <c r="AX22" i="13"/>
  <c r="AW15" i="6"/>
  <c r="AB6" i="13"/>
  <c r="AB26" i="13" s="1"/>
  <c r="AB7" i="13"/>
  <c r="AC45" i="13"/>
  <c r="AD4" i="13"/>
  <c r="AC5" i="13"/>
  <c r="AC33" i="13"/>
  <c r="AB7" i="6"/>
  <c r="AB6" i="6"/>
  <c r="BA11" i="13"/>
  <c r="AZ19" i="13"/>
  <c r="G89" i="7"/>
  <c r="AA31" i="11"/>
  <c r="Z33" i="11"/>
  <c r="AW27" i="12"/>
  <c r="AW22" i="12"/>
  <c r="Y20" i="6"/>
  <c r="Y34" i="11"/>
  <c r="AC5" i="6"/>
  <c r="AD4" i="6"/>
  <c r="AJ31" i="13"/>
  <c r="H72" i="13"/>
  <c r="I47" i="13"/>
  <c r="H53" i="13"/>
  <c r="AA34" i="13"/>
  <c r="AD31" i="12"/>
  <c r="AY19" i="11"/>
  <c r="AY21" i="11" s="1"/>
  <c r="AY14" i="6" s="1"/>
  <c r="AZ11" i="11"/>
  <c r="AY11" i="6"/>
  <c r="AZ13" i="11"/>
  <c r="AZ18" i="11"/>
  <c r="BA10" i="11"/>
  <c r="AZ10" i="6"/>
  <c r="G34" i="7"/>
  <c r="AY13" i="11"/>
  <c r="I35" i="11"/>
  <c r="I31" i="6"/>
  <c r="X21" i="6"/>
  <c r="I35" i="12"/>
  <c r="BI20" i="12"/>
  <c r="BJ12" i="12"/>
  <c r="BH20" i="13"/>
  <c r="BI12" i="13"/>
  <c r="AB45" i="12"/>
  <c r="E82" i="7" s="1"/>
  <c r="AB5" i="12"/>
  <c r="AC4" i="12"/>
  <c r="AC33" i="12" s="1"/>
  <c r="AA6" i="12"/>
  <c r="AA26" i="12" s="1"/>
  <c r="AA28" i="12" s="1"/>
  <c r="AA7" i="12"/>
  <c r="BJ12" i="11"/>
  <c r="BI20" i="11"/>
  <c r="BI12" i="6"/>
  <c r="AY11" i="12"/>
  <c r="AX19" i="12"/>
  <c r="AX21" i="12" s="1"/>
  <c r="AX13" i="12"/>
  <c r="AZ18" i="12"/>
  <c r="BA10" i="12"/>
  <c r="G61" i="7"/>
  <c r="AA8" i="13"/>
  <c r="AA39" i="13"/>
  <c r="AA40" i="13" s="1"/>
  <c r="AA37" i="13"/>
  <c r="H52" i="13"/>
  <c r="AD4" i="11" l="1"/>
  <c r="AC5" i="11"/>
  <c r="AC45" i="11"/>
  <c r="AC29" i="6" s="1"/>
  <c r="AB7" i="11"/>
  <c r="AB6" i="11"/>
  <c r="AB26" i="11" s="1"/>
  <c r="AA17" i="6"/>
  <c r="AA28" i="11"/>
  <c r="AA37" i="11"/>
  <c r="AA8" i="11"/>
  <c r="AA39" i="11"/>
  <c r="AA40" i="11" s="1"/>
  <c r="AA24" i="6" s="1"/>
  <c r="AB8" i="13"/>
  <c r="AE31" i="12"/>
  <c r="AD5" i="6"/>
  <c r="AE4" i="6"/>
  <c r="AB28" i="13"/>
  <c r="E97" i="7"/>
  <c r="AC7" i="6"/>
  <c r="AC6" i="6"/>
  <c r="Y21" i="6"/>
  <c r="AX27" i="12"/>
  <c r="AX22" i="12"/>
  <c r="I35" i="13"/>
  <c r="AB31" i="11"/>
  <c r="AA33" i="11"/>
  <c r="AY22" i="11"/>
  <c r="AY27" i="11"/>
  <c r="AY18" i="6" s="1"/>
  <c r="AY13" i="6"/>
  <c r="AZ18" i="13"/>
  <c r="AZ21" i="13" s="1"/>
  <c r="G93" i="7" s="1"/>
  <c r="BA10" i="13"/>
  <c r="AZ13" i="13"/>
  <c r="G88" i="7"/>
  <c r="Z20" i="6"/>
  <c r="Z34" i="11"/>
  <c r="AB7" i="12"/>
  <c r="AB6" i="12"/>
  <c r="AB26" i="12" s="1"/>
  <c r="AA34" i="12"/>
  <c r="BA18" i="11"/>
  <c r="BB10" i="11"/>
  <c r="BA10" i="6"/>
  <c r="AZ11" i="12"/>
  <c r="AY19" i="12"/>
  <c r="AY21" i="12" s="1"/>
  <c r="AY13" i="12"/>
  <c r="BI20" i="13"/>
  <c r="BJ12" i="13"/>
  <c r="BJ20" i="11"/>
  <c r="BK12" i="11"/>
  <c r="BJ12" i="6"/>
  <c r="AA37" i="12"/>
  <c r="AA39" i="12"/>
  <c r="AA40" i="12" s="1"/>
  <c r="AA8" i="12"/>
  <c r="I22" i="6"/>
  <c r="I43" i="11"/>
  <c r="I36" i="11"/>
  <c r="G7" i="9"/>
  <c r="G7" i="7"/>
  <c r="AY22" i="13"/>
  <c r="AY27" i="13"/>
  <c r="AZ27" i="11"/>
  <c r="AZ13" i="6"/>
  <c r="G37" i="7"/>
  <c r="AC6" i="13"/>
  <c r="AC26" i="13" s="1"/>
  <c r="AC7" i="13"/>
  <c r="AB8" i="6"/>
  <c r="BJ20" i="12"/>
  <c r="BK12" i="12"/>
  <c r="AD45" i="13"/>
  <c r="AE4" i="13"/>
  <c r="AD5" i="13"/>
  <c r="AD33" i="13"/>
  <c r="AK31" i="13"/>
  <c r="AC45" i="12"/>
  <c r="AC5" i="12"/>
  <c r="AD4" i="12"/>
  <c r="AD33" i="12" s="1"/>
  <c r="BA19" i="13"/>
  <c r="BB11" i="13"/>
  <c r="BA11" i="11"/>
  <c r="BA13" i="11" s="1"/>
  <c r="AZ19" i="11"/>
  <c r="AZ21" i="11" s="1"/>
  <c r="AZ11" i="6"/>
  <c r="G35" i="7"/>
  <c r="AX15" i="6"/>
  <c r="BB10" i="12"/>
  <c r="BA18" i="12"/>
  <c r="I43" i="12"/>
  <c r="I36" i="12"/>
  <c r="AB17" i="6" l="1"/>
  <c r="AB28" i="11"/>
  <c r="AB19" i="6" s="1"/>
  <c r="AB8" i="11"/>
  <c r="AC6" i="11"/>
  <c r="AC26" i="11" s="1"/>
  <c r="AC7" i="11"/>
  <c r="AD45" i="11"/>
  <c r="AD29" i="6" s="1"/>
  <c r="AD5" i="11"/>
  <c r="AE4" i="11"/>
  <c r="AA19" i="6"/>
  <c r="E45" i="7"/>
  <c r="E43" i="7"/>
  <c r="E16" i="7" s="1"/>
  <c r="AZ14" i="6"/>
  <c r="G39" i="7"/>
  <c r="AZ22" i="11"/>
  <c r="AZ27" i="13"/>
  <c r="G98" i="7" s="1"/>
  <c r="AZ22" i="13"/>
  <c r="G91" i="7"/>
  <c r="BK20" i="11"/>
  <c r="BL12" i="11"/>
  <c r="BK12" i="6"/>
  <c r="BA18" i="13"/>
  <c r="BA21" i="13" s="1"/>
  <c r="BB10" i="13"/>
  <c r="BA13" i="13"/>
  <c r="AC28" i="13"/>
  <c r="AY27" i="12"/>
  <c r="AY22" i="12"/>
  <c r="G16" i="9"/>
  <c r="G10" i="7"/>
  <c r="G38" i="7"/>
  <c r="G11" i="7" s="1"/>
  <c r="BA11" i="12"/>
  <c r="AZ19" i="12"/>
  <c r="AZ21" i="12" s="1"/>
  <c r="G66" i="7" s="1"/>
  <c r="G62" i="7"/>
  <c r="AZ13" i="12"/>
  <c r="AA20" i="6"/>
  <c r="AA34" i="11"/>
  <c r="G10" i="9"/>
  <c r="G8" i="7"/>
  <c r="AC31" i="11"/>
  <c r="AB33" i="11"/>
  <c r="BB11" i="11"/>
  <c r="BB13" i="11" s="1"/>
  <c r="BA19" i="11"/>
  <c r="BA21" i="11" s="1"/>
  <c r="BA11" i="6"/>
  <c r="BB18" i="11"/>
  <c r="BC10" i="11"/>
  <c r="BB10" i="6"/>
  <c r="BC11" i="13"/>
  <c r="BB19" i="13"/>
  <c r="AC8" i="6"/>
  <c r="BK12" i="13"/>
  <c r="BJ20" i="13"/>
  <c r="AZ18" i="6"/>
  <c r="G44" i="7"/>
  <c r="AC7" i="12"/>
  <c r="AC6" i="12"/>
  <c r="AC26" i="12" s="1"/>
  <c r="G8" i="9"/>
  <c r="AB34" i="13"/>
  <c r="E99" i="7"/>
  <c r="AC8" i="13"/>
  <c r="AC39" i="13"/>
  <c r="AC40" i="13" s="1"/>
  <c r="AC37" i="13"/>
  <c r="I43" i="13"/>
  <c r="I36" i="13"/>
  <c r="AF4" i="6"/>
  <c r="AE5" i="6"/>
  <c r="AD7" i="6"/>
  <c r="AD8" i="6" s="1"/>
  <c r="AD6" i="6"/>
  <c r="I41" i="12"/>
  <c r="I41" i="11"/>
  <c r="I23" i="6"/>
  <c r="I46" i="12"/>
  <c r="I50" i="12"/>
  <c r="I57" i="12"/>
  <c r="AF31" i="12"/>
  <c r="AE33" i="12"/>
  <c r="BA27" i="11"/>
  <c r="BA13" i="6"/>
  <c r="I50" i="11"/>
  <c r="I46" i="11"/>
  <c r="I27" i="6"/>
  <c r="I57" i="11"/>
  <c r="AE45" i="13"/>
  <c r="AF4" i="13"/>
  <c r="AE5" i="13"/>
  <c r="AE33" i="13"/>
  <c r="AB8" i="12"/>
  <c r="AD45" i="12"/>
  <c r="AD5" i="12"/>
  <c r="AE4" i="12"/>
  <c r="Z21" i="6"/>
  <c r="AY15" i="6"/>
  <c r="AL31" i="13"/>
  <c r="AD6" i="13"/>
  <c r="AD26" i="13" s="1"/>
  <c r="AD28" i="13" s="1"/>
  <c r="AD7" i="13"/>
  <c r="AB28" i="12"/>
  <c r="E70" i="7"/>
  <c r="BC10" i="12"/>
  <c r="BB18" i="12"/>
  <c r="BL12" i="12"/>
  <c r="BK20" i="12"/>
  <c r="E22" i="9" l="1"/>
  <c r="E23" i="9" s="1"/>
  <c r="E18" i="7"/>
  <c r="E46" i="7"/>
  <c r="E19" i="7" s="1"/>
  <c r="AE5" i="11"/>
  <c r="AF4" i="11"/>
  <c r="AE45" i="11"/>
  <c r="AE29" i="6" s="1"/>
  <c r="AD6" i="11"/>
  <c r="AD26" i="11" s="1"/>
  <c r="AD7" i="11"/>
  <c r="AC37" i="11"/>
  <c r="AC8" i="11"/>
  <c r="AC39" i="11"/>
  <c r="AC40" i="11" s="1"/>
  <c r="AC24" i="6" s="1"/>
  <c r="AC17" i="6"/>
  <c r="AC28" i="11"/>
  <c r="AC19" i="6" s="1"/>
  <c r="BA14" i="6"/>
  <c r="BA22" i="11"/>
  <c r="BC18" i="11"/>
  <c r="BD10" i="11"/>
  <c r="BC10" i="6"/>
  <c r="AB34" i="12"/>
  <c r="E72" i="7"/>
  <c r="BB27" i="11"/>
  <c r="BB18" i="6" s="1"/>
  <c r="BB13" i="6"/>
  <c r="G17" i="9"/>
  <c r="AC39" i="12"/>
  <c r="AC40" i="12" s="1"/>
  <c r="AC8" i="12"/>
  <c r="AC37" i="12"/>
  <c r="AM31" i="13"/>
  <c r="BA18" i="6"/>
  <c r="G17" i="7"/>
  <c r="AC34" i="13"/>
  <c r="BC11" i="11"/>
  <c r="BB19" i="11"/>
  <c r="BB21" i="11" s="1"/>
  <c r="BB11" i="6"/>
  <c r="AD34" i="13"/>
  <c r="AB20" i="6"/>
  <c r="E47" i="7"/>
  <c r="AB34" i="11"/>
  <c r="BA22" i="13"/>
  <c r="BA27" i="13"/>
  <c r="AE7" i="6"/>
  <c r="AE6" i="6"/>
  <c r="AD7" i="12"/>
  <c r="AD6" i="12"/>
  <c r="AD26" i="12" s="1"/>
  <c r="AD28" i="12" s="1"/>
  <c r="AD31" i="11"/>
  <c r="AC33" i="11"/>
  <c r="BC10" i="13"/>
  <c r="BB13" i="13"/>
  <c r="BB18" i="13"/>
  <c r="BB21" i="13" s="1"/>
  <c r="AD39" i="13"/>
  <c r="AD40" i="13" s="1"/>
  <c r="AD8" i="13"/>
  <c r="AD37" i="13"/>
  <c r="I30" i="6"/>
  <c r="I48" i="11"/>
  <c r="BL12" i="13"/>
  <c r="BK20" i="13"/>
  <c r="AE45" i="12"/>
  <c r="AE5" i="12"/>
  <c r="AF4" i="12"/>
  <c r="AF33" i="12" s="1"/>
  <c r="I41" i="13"/>
  <c r="AC28" i="12"/>
  <c r="G11" i="9"/>
  <c r="BL20" i="11"/>
  <c r="D20" i="11" s="1"/>
  <c r="BL12" i="6"/>
  <c r="D12" i="11"/>
  <c r="D12" i="6" s="1"/>
  <c r="H36" i="7"/>
  <c r="BL20" i="12"/>
  <c r="D20" i="12" s="1"/>
  <c r="D12" i="12"/>
  <c r="H63" i="7"/>
  <c r="I63" i="7" s="1"/>
  <c r="I48" i="12"/>
  <c r="AA21" i="6"/>
  <c r="I35" i="6"/>
  <c r="I51" i="11"/>
  <c r="I51" i="12"/>
  <c r="I52" i="12" s="1"/>
  <c r="G92" i="7"/>
  <c r="AG4" i="6"/>
  <c r="AF5" i="6"/>
  <c r="AZ27" i="12"/>
  <c r="G71" i="7" s="1"/>
  <c r="AZ22" i="12"/>
  <c r="G64" i="7"/>
  <c r="G94" i="7"/>
  <c r="G95" i="7" s="1"/>
  <c r="I46" i="13"/>
  <c r="I50" i="13"/>
  <c r="I57" i="13"/>
  <c r="AE6" i="13"/>
  <c r="AE26" i="13" s="1"/>
  <c r="AE28" i="13" s="1"/>
  <c r="AE7" i="13"/>
  <c r="I59" i="12"/>
  <c r="I58" i="12"/>
  <c r="AF45" i="13"/>
  <c r="AG4" i="13"/>
  <c r="AF5" i="13"/>
  <c r="AF33" i="13"/>
  <c r="E100" i="7"/>
  <c r="BB11" i="12"/>
  <c r="BA19" i="12"/>
  <c r="BA21" i="12" s="1"/>
  <c r="BA13" i="12"/>
  <c r="AZ15" i="6"/>
  <c r="G40" i="7"/>
  <c r="AG31" i="12"/>
  <c r="BC18" i="12"/>
  <c r="BD10" i="12"/>
  <c r="I25" i="6"/>
  <c r="G12" i="7"/>
  <c r="BD11" i="13"/>
  <c r="BC19" i="13"/>
  <c r="I59" i="11"/>
  <c r="I58" i="11"/>
  <c r="AD17" i="6" l="1"/>
  <c r="AD28" i="11"/>
  <c r="AD19" i="6" s="1"/>
  <c r="AD37" i="11"/>
  <c r="AD8" i="11"/>
  <c r="AD39" i="11"/>
  <c r="AD40" i="11" s="1"/>
  <c r="AD24" i="6" s="1"/>
  <c r="I52" i="11"/>
  <c r="I36" i="6" s="1"/>
  <c r="AF5" i="11"/>
  <c r="AG4" i="11"/>
  <c r="AF45" i="11"/>
  <c r="AF29" i="6" s="1"/>
  <c r="AE6" i="11"/>
  <c r="AE26" i="11" s="1"/>
  <c r="AE7" i="11"/>
  <c r="BB14" i="6"/>
  <c r="BB22" i="11"/>
  <c r="BD18" i="12"/>
  <c r="BE10" i="12"/>
  <c r="AG45" i="13"/>
  <c r="AH4" i="13"/>
  <c r="AG5" i="13"/>
  <c r="AG33" i="13"/>
  <c r="BC18" i="13"/>
  <c r="BC21" i="13" s="1"/>
  <c r="BD10" i="13"/>
  <c r="BC13" i="13"/>
  <c r="AH31" i="12"/>
  <c r="AC20" i="6"/>
  <c r="AC34" i="11"/>
  <c r="AC34" i="12"/>
  <c r="AE31" i="11"/>
  <c r="AD33" i="11"/>
  <c r="G19" i="9"/>
  <c r="G13" i="7"/>
  <c r="G41" i="7"/>
  <c r="G14" i="7" s="1"/>
  <c r="AD34" i="12"/>
  <c r="BD11" i="11"/>
  <c r="BD13" i="11" s="1"/>
  <c r="BC19" i="11"/>
  <c r="BC21" i="11" s="1"/>
  <c r="BC11" i="6"/>
  <c r="AE39" i="13"/>
  <c r="AE40" i="13" s="1"/>
  <c r="AE8" i="13"/>
  <c r="AE37" i="13"/>
  <c r="AD39" i="12"/>
  <c r="AD40" i="12" s="1"/>
  <c r="AD8" i="12"/>
  <c r="AD37" i="12"/>
  <c r="BB22" i="13"/>
  <c r="BB27" i="13"/>
  <c r="BA27" i="12"/>
  <c r="BA22" i="12"/>
  <c r="E73" i="7"/>
  <c r="AE34" i="13"/>
  <c r="I59" i="13"/>
  <c r="I58" i="13"/>
  <c r="AE8" i="6"/>
  <c r="BE11" i="13"/>
  <c r="BD19" i="13"/>
  <c r="I51" i="13"/>
  <c r="AB21" i="6"/>
  <c r="BD18" i="11"/>
  <c r="BE10" i="11"/>
  <c r="BD10" i="6"/>
  <c r="E20" i="7"/>
  <c r="BL20" i="13"/>
  <c r="D20" i="13" s="1"/>
  <c r="D12" i="13"/>
  <c r="H90" i="7"/>
  <c r="I90" i="7" s="1"/>
  <c r="BC13" i="11"/>
  <c r="AF7" i="13"/>
  <c r="AF6" i="13"/>
  <c r="AF26" i="13" s="1"/>
  <c r="AF28" i="13" s="1"/>
  <c r="I72" i="12"/>
  <c r="I53" i="12"/>
  <c r="J47" i="12"/>
  <c r="BA15" i="6"/>
  <c r="I72" i="11"/>
  <c r="J47" i="11"/>
  <c r="I53" i="11"/>
  <c r="I32" i="6"/>
  <c r="AN31" i="13"/>
  <c r="BC11" i="12"/>
  <c r="BB19" i="12"/>
  <c r="BB21" i="12" s="1"/>
  <c r="BB13" i="12"/>
  <c r="G65" i="7"/>
  <c r="AG4" i="12"/>
  <c r="AF45" i="12"/>
  <c r="AF5" i="12"/>
  <c r="AF7" i="6"/>
  <c r="AF6" i="6"/>
  <c r="H13" i="9"/>
  <c r="H9" i="7"/>
  <c r="I36" i="7"/>
  <c r="I9" i="7" s="1"/>
  <c r="AE7" i="12"/>
  <c r="AE6" i="12"/>
  <c r="AE26" i="12" s="1"/>
  <c r="I48" i="13"/>
  <c r="G67" i="7"/>
  <c r="AG5" i="6"/>
  <c r="AH4" i="6"/>
  <c r="D32" i="9"/>
  <c r="E32" i="9" s="1"/>
  <c r="AF6" i="11" l="1"/>
  <c r="AF26" i="11" s="1"/>
  <c r="AF7" i="11"/>
  <c r="AE17" i="6"/>
  <c r="AE28" i="11"/>
  <c r="AE19" i="6" s="1"/>
  <c r="AE8" i="11"/>
  <c r="AE37" i="11"/>
  <c r="AE39" i="11"/>
  <c r="AE40" i="11" s="1"/>
  <c r="AE24" i="6" s="1"/>
  <c r="AH4" i="11"/>
  <c r="AG45" i="11"/>
  <c r="AG29" i="6" s="1"/>
  <c r="AG5" i="11"/>
  <c r="BC14" i="6"/>
  <c r="BE11" i="11"/>
  <c r="BD19" i="11"/>
  <c r="BD21" i="11" s="1"/>
  <c r="BD11" i="6"/>
  <c r="BC22" i="13"/>
  <c r="BC27" i="13"/>
  <c r="BE10" i="13"/>
  <c r="BD18" i="13"/>
  <c r="BD21" i="13" s="1"/>
  <c r="BD13" i="13"/>
  <c r="BE18" i="11"/>
  <c r="BE13" i="11"/>
  <c r="BF10" i="11"/>
  <c r="BE10" i="6"/>
  <c r="AG7" i="13"/>
  <c r="AG6" i="13"/>
  <c r="AG26" i="13" s="1"/>
  <c r="AG28" i="13" s="1"/>
  <c r="AI4" i="13"/>
  <c r="AH45" i="13"/>
  <c r="AH5" i="13"/>
  <c r="AH33" i="13"/>
  <c r="I52" i="13"/>
  <c r="BF10" i="12"/>
  <c r="BE18" i="12"/>
  <c r="J35" i="11"/>
  <c r="J31" i="6"/>
  <c r="I72" i="13"/>
  <c r="I53" i="13"/>
  <c r="J47" i="13"/>
  <c r="AD20" i="6"/>
  <c r="AD34" i="11"/>
  <c r="AF31" i="11"/>
  <c r="AE33" i="11"/>
  <c r="BF11" i="13"/>
  <c r="BE19" i="13"/>
  <c r="BD27" i="11"/>
  <c r="BD18" i="6" s="1"/>
  <c r="BD13" i="6"/>
  <c r="AH4" i="12"/>
  <c r="AG45" i="12"/>
  <c r="AG5" i="12"/>
  <c r="BB15" i="6"/>
  <c r="AH5" i="6"/>
  <c r="AI4" i="6"/>
  <c r="AE28" i="12"/>
  <c r="H14" i="9"/>
  <c r="I13" i="9"/>
  <c r="I14" i="9" s="1"/>
  <c r="AC21" i="6"/>
  <c r="BD11" i="12"/>
  <c r="BC19" i="12"/>
  <c r="BC21" i="12" s="1"/>
  <c r="BC13" i="12"/>
  <c r="AF6" i="12"/>
  <c r="AF26" i="12" s="1"/>
  <c r="AF28" i="12" s="1"/>
  <c r="AF7" i="12"/>
  <c r="G68" i="7"/>
  <c r="AF37" i="13"/>
  <c r="AF39" i="13"/>
  <c r="AF40" i="13" s="1"/>
  <c r="AF8" i="13"/>
  <c r="G20" i="9"/>
  <c r="AO31" i="13"/>
  <c r="AG33" i="12"/>
  <c r="AG6" i="6"/>
  <c r="AG7" i="6"/>
  <c r="AG8" i="6" s="1"/>
  <c r="J35" i="12"/>
  <c r="AF34" i="13"/>
  <c r="AF8" i="6"/>
  <c r="AI31" i="12"/>
  <c r="AH33" i="12"/>
  <c r="AE37" i="12"/>
  <c r="AE8" i="12"/>
  <c r="AE39" i="12"/>
  <c r="AE40" i="12" s="1"/>
  <c r="BB27" i="12"/>
  <c r="BB22" i="12"/>
  <c r="BC27" i="11"/>
  <c r="BC22" i="11"/>
  <c r="BC13" i="6"/>
  <c r="AG6" i="11" l="1"/>
  <c r="AG26" i="11" s="1"/>
  <c r="AG7" i="11"/>
  <c r="AI4" i="11"/>
  <c r="AH5" i="11"/>
  <c r="AH45" i="11"/>
  <c r="AH29" i="6" s="1"/>
  <c r="AF39" i="11"/>
  <c r="AF40" i="11" s="1"/>
  <c r="AF24" i="6" s="1"/>
  <c r="AF8" i="11"/>
  <c r="AF37" i="11"/>
  <c r="AF17" i="6"/>
  <c r="AF28" i="11"/>
  <c r="AF19" i="6" s="1"/>
  <c r="BD14" i="6"/>
  <c r="BD22" i="11"/>
  <c r="AG6" i="12"/>
  <c r="AG26" i="12" s="1"/>
  <c r="AG28" i="12" s="1"/>
  <c r="AG7" i="12"/>
  <c r="J22" i="6"/>
  <c r="J43" i="11"/>
  <c r="J36" i="11"/>
  <c r="BF18" i="11"/>
  <c r="BG10" i="11"/>
  <c r="BF10" i="6"/>
  <c r="AF37" i="12"/>
  <c r="AF8" i="12"/>
  <c r="AF39" i="12"/>
  <c r="AF40" i="12" s="1"/>
  <c r="AH45" i="12"/>
  <c r="AI4" i="12"/>
  <c r="AH5" i="12"/>
  <c r="AJ31" i="12"/>
  <c r="AF34" i="12"/>
  <c r="BD22" i="13"/>
  <c r="BD27" i="13"/>
  <c r="BC27" i="12"/>
  <c r="BC22" i="12"/>
  <c r="BF10" i="13"/>
  <c r="BE18" i="13"/>
  <c r="BE21" i="13" s="1"/>
  <c r="BE13" i="13"/>
  <c r="BE11" i="12"/>
  <c r="BD19" i="12"/>
  <c r="BD21" i="12" s="1"/>
  <c r="BD13" i="12"/>
  <c r="J43" i="12"/>
  <c r="J36" i="12"/>
  <c r="BG11" i="13"/>
  <c r="BF19" i="13"/>
  <c r="AE20" i="6"/>
  <c r="AE34" i="11"/>
  <c r="AH6" i="13"/>
  <c r="AH26" i="13" s="1"/>
  <c r="AH7" i="13"/>
  <c r="AG31" i="11"/>
  <c r="AF33" i="11"/>
  <c r="BE19" i="11"/>
  <c r="BE21" i="11" s="1"/>
  <c r="BF11" i="11"/>
  <c r="BE11" i="6"/>
  <c r="AI45" i="13"/>
  <c r="AJ4" i="13"/>
  <c r="AI5" i="13"/>
  <c r="AI33" i="13"/>
  <c r="BE27" i="11"/>
  <c r="BE18" i="6" s="1"/>
  <c r="BE13" i="6"/>
  <c r="AD21" i="6"/>
  <c r="AG37" i="13"/>
  <c r="AG8" i="13"/>
  <c r="AG39" i="13"/>
  <c r="AG40" i="13" s="1"/>
  <c r="BC15" i="6"/>
  <c r="AP31" i="13"/>
  <c r="AG34" i="13"/>
  <c r="AE34" i="12"/>
  <c r="J35" i="13"/>
  <c r="BC18" i="6"/>
  <c r="AI5" i="6"/>
  <c r="AJ4" i="6"/>
  <c r="AH6" i="6"/>
  <c r="AH7" i="6"/>
  <c r="BG10" i="12"/>
  <c r="BF18" i="12"/>
  <c r="AH7" i="11" l="1"/>
  <c r="AH6" i="11"/>
  <c r="AH26" i="11" s="1"/>
  <c r="AI5" i="11"/>
  <c r="AJ4" i="11"/>
  <c r="AI45" i="11"/>
  <c r="AI29" i="6" s="1"/>
  <c r="AG8" i="11"/>
  <c r="AG37" i="11"/>
  <c r="AG39" i="11"/>
  <c r="AG40" i="11" s="1"/>
  <c r="AG24" i="6" s="1"/>
  <c r="AH8" i="6"/>
  <c r="AG17" i="6"/>
  <c r="AG28" i="11"/>
  <c r="AG19" i="6" s="1"/>
  <c r="BE14" i="6"/>
  <c r="BE22" i="11"/>
  <c r="AH6" i="12"/>
  <c r="AH26" i="12" s="1"/>
  <c r="AH28" i="12" s="1"/>
  <c r="AH7" i="12"/>
  <c r="BD27" i="12"/>
  <c r="BD22" i="12"/>
  <c r="AJ4" i="12"/>
  <c r="AI45" i="12"/>
  <c r="AI5" i="12"/>
  <c r="AI7" i="13"/>
  <c r="AI6" i="13"/>
  <c r="AI26" i="13" s="1"/>
  <c r="AI28" i="13" s="1"/>
  <c r="BG18" i="12"/>
  <c r="BH10" i="12"/>
  <c r="AJ45" i="13"/>
  <c r="AK4" i="13"/>
  <c r="AJ5" i="13"/>
  <c r="AJ33" i="13"/>
  <c r="BE19" i="12"/>
  <c r="BE21" i="12" s="1"/>
  <c r="BF11" i="12"/>
  <c r="BE13" i="12"/>
  <c r="AQ31" i="13"/>
  <c r="BF19" i="11"/>
  <c r="BF21" i="11" s="1"/>
  <c r="BF14" i="6" s="1"/>
  <c r="BG11" i="11"/>
  <c r="BF11" i="6"/>
  <c r="AJ5" i="6"/>
  <c r="AK4" i="6"/>
  <c r="AF20" i="6"/>
  <c r="AF34" i="11"/>
  <c r="AI7" i="6"/>
  <c r="AI6" i="6"/>
  <c r="AH31" i="11"/>
  <c r="AG33" i="11"/>
  <c r="BH10" i="11"/>
  <c r="BG18" i="11"/>
  <c r="BG10" i="6"/>
  <c r="BF18" i="13"/>
  <c r="BF21" i="13" s="1"/>
  <c r="BG10" i="13"/>
  <c r="BF13" i="13"/>
  <c r="BF13" i="11"/>
  <c r="AE21" i="6"/>
  <c r="J41" i="11"/>
  <c r="J25" i="6" s="1"/>
  <c r="J23" i="6"/>
  <c r="BH11" i="13"/>
  <c r="BG19" i="13"/>
  <c r="AG37" i="12"/>
  <c r="AG8" i="12"/>
  <c r="AG39" i="12"/>
  <c r="AG40" i="12" s="1"/>
  <c r="AG34" i="12"/>
  <c r="BE22" i="13"/>
  <c r="BE27" i="13"/>
  <c r="AH8" i="13"/>
  <c r="AH37" i="13"/>
  <c r="AH39" i="13"/>
  <c r="AH40" i="13" s="1"/>
  <c r="AH28" i="13"/>
  <c r="J46" i="11"/>
  <c r="J50" i="11"/>
  <c r="J27" i="6"/>
  <c r="J57" i="11"/>
  <c r="J43" i="13"/>
  <c r="J36" i="13"/>
  <c r="J41" i="12"/>
  <c r="AI33" i="12"/>
  <c r="BD15" i="6"/>
  <c r="J46" i="12"/>
  <c r="J48" i="12" s="1"/>
  <c r="J50" i="12"/>
  <c r="J57" i="12"/>
  <c r="AK31" i="12"/>
  <c r="AJ33" i="12"/>
  <c r="AJ5" i="11" l="1"/>
  <c r="AK4" i="11"/>
  <c r="AJ45" i="11"/>
  <c r="AJ29" i="6" s="1"/>
  <c r="AI6" i="11"/>
  <c r="AI26" i="11" s="1"/>
  <c r="AI7" i="11"/>
  <c r="AH17" i="6"/>
  <c r="AH28" i="11"/>
  <c r="AH19" i="6" s="1"/>
  <c r="AH8" i="11"/>
  <c r="AH39" i="11"/>
  <c r="AH40" i="11" s="1"/>
  <c r="AH24" i="6" s="1"/>
  <c r="AH37" i="11"/>
  <c r="BE27" i="12"/>
  <c r="BE22" i="12"/>
  <c r="J41" i="13"/>
  <c r="AI31" i="11"/>
  <c r="AH33" i="11"/>
  <c r="BF19" i="12"/>
  <c r="BF21" i="12" s="1"/>
  <c r="BG11" i="12"/>
  <c r="BF13" i="12"/>
  <c r="J46" i="13"/>
  <c r="J48" i="13" s="1"/>
  <c r="J50" i="13"/>
  <c r="J57" i="13"/>
  <c r="AI8" i="6"/>
  <c r="AJ6" i="13"/>
  <c r="AJ26" i="13" s="1"/>
  <c r="AJ28" i="13" s="1"/>
  <c r="AJ7" i="13"/>
  <c r="AK45" i="13"/>
  <c r="AL4" i="13"/>
  <c r="AK5" i="13"/>
  <c r="AK33" i="13"/>
  <c r="J30" i="6"/>
  <c r="J48" i="11"/>
  <c r="BI11" i="13"/>
  <c r="BH19" i="13"/>
  <c r="BH18" i="12"/>
  <c r="BI10" i="12"/>
  <c r="AJ7" i="6"/>
  <c r="AJ6" i="6"/>
  <c r="AI34" i="13"/>
  <c r="AH34" i="13"/>
  <c r="AI39" i="13"/>
  <c r="AI40" i="13" s="1"/>
  <c r="AI37" i="13"/>
  <c r="AI8" i="13"/>
  <c r="BH11" i="11"/>
  <c r="BH13" i="11" s="1"/>
  <c r="BG19" i="11"/>
  <c r="BG21" i="11" s="1"/>
  <c r="BG14" i="6" s="1"/>
  <c r="BG11" i="6"/>
  <c r="AF21" i="6"/>
  <c r="AI7" i="12"/>
  <c r="AI6" i="12"/>
  <c r="AI26" i="12" s="1"/>
  <c r="J59" i="11"/>
  <c r="J58" i="11"/>
  <c r="AK5" i="6"/>
  <c r="AL4" i="6"/>
  <c r="J51" i="12"/>
  <c r="J52" i="12" s="1"/>
  <c r="BF22" i="13"/>
  <c r="BF27" i="13"/>
  <c r="AG20" i="6"/>
  <c r="AG34" i="11"/>
  <c r="J59" i="12"/>
  <c r="J58" i="12"/>
  <c r="AR31" i="13"/>
  <c r="AJ45" i="12"/>
  <c r="AK4" i="12"/>
  <c r="AJ5" i="12"/>
  <c r="BF22" i="11"/>
  <c r="BF27" i="11"/>
  <c r="BF13" i="6"/>
  <c r="J72" i="12"/>
  <c r="J53" i="12"/>
  <c r="K47" i="12"/>
  <c r="J35" i="6"/>
  <c r="J51" i="11"/>
  <c r="AL31" i="12"/>
  <c r="BG18" i="13"/>
  <c r="BG21" i="13" s="1"/>
  <c r="BG13" i="13"/>
  <c r="BH10" i="13"/>
  <c r="AH34" i="12"/>
  <c r="BH18" i="11"/>
  <c r="BI10" i="11"/>
  <c r="BH10" i="6"/>
  <c r="BG13" i="11"/>
  <c r="BE15" i="6"/>
  <c r="AH37" i="12"/>
  <c r="AH8" i="12"/>
  <c r="AH39" i="12"/>
  <c r="AH40" i="12" s="1"/>
  <c r="AI8" i="11" l="1"/>
  <c r="AI37" i="11"/>
  <c r="AI39" i="11"/>
  <c r="AI40" i="11" s="1"/>
  <c r="AI24" i="6" s="1"/>
  <c r="AI17" i="6"/>
  <c r="AI28" i="11"/>
  <c r="AI19" i="6" s="1"/>
  <c r="AK5" i="11"/>
  <c r="AK45" i="11"/>
  <c r="AK29" i="6" s="1"/>
  <c r="AL4" i="11"/>
  <c r="AJ7" i="11"/>
  <c r="AJ6" i="11"/>
  <c r="AJ26" i="11" s="1"/>
  <c r="J53" i="11"/>
  <c r="K47" i="11"/>
  <c r="J72" i="11"/>
  <c r="J32" i="6"/>
  <c r="BH19" i="11"/>
  <c r="BH21" i="11" s="1"/>
  <c r="BI11" i="11"/>
  <c r="BH11" i="6"/>
  <c r="AS31" i="13"/>
  <c r="AK7" i="13"/>
  <c r="AK6" i="13"/>
  <c r="AK26" i="13" s="1"/>
  <c r="AK28" i="13" s="1"/>
  <c r="AL45" i="13"/>
  <c r="AM4" i="13"/>
  <c r="AL5" i="13"/>
  <c r="AL33" i="13"/>
  <c r="AK45" i="12"/>
  <c r="AL4" i="12"/>
  <c r="AK5" i="12"/>
  <c r="BH13" i="13"/>
  <c r="BH18" i="13"/>
  <c r="BH21" i="13" s="1"/>
  <c r="BI10" i="13"/>
  <c r="BG22" i="13"/>
  <c r="BG27" i="13"/>
  <c r="AJ34" i="13"/>
  <c r="AG21" i="6"/>
  <c r="AK33" i="12"/>
  <c r="AM31" i="12"/>
  <c r="J59" i="13"/>
  <c r="J58" i="13"/>
  <c r="J52" i="11"/>
  <c r="J36" i="6" s="1"/>
  <c r="J51" i="13"/>
  <c r="J52" i="13" s="1"/>
  <c r="AJ39" i="13"/>
  <c r="AJ40" i="13" s="1"/>
  <c r="AJ37" i="13"/>
  <c r="AJ8" i="13"/>
  <c r="AJ8" i="6"/>
  <c r="BH11" i="12"/>
  <c r="BG19" i="12"/>
  <c r="BG21" i="12" s="1"/>
  <c r="BG13" i="12"/>
  <c r="BF27" i="12"/>
  <c r="BF22" i="12"/>
  <c r="K35" i="12"/>
  <c r="AH20" i="6"/>
  <c r="AH34" i="11"/>
  <c r="AJ31" i="11"/>
  <c r="AI33" i="11"/>
  <c r="BF18" i="6"/>
  <c r="AI28" i="12"/>
  <c r="BH27" i="11"/>
  <c r="BH18" i="6" s="1"/>
  <c r="BH13" i="6"/>
  <c r="J72" i="13"/>
  <c r="K47" i="13"/>
  <c r="J53" i="13"/>
  <c r="BG27" i="11"/>
  <c r="BG18" i="6" s="1"/>
  <c r="BG22" i="11"/>
  <c r="BG13" i="6"/>
  <c r="BF15" i="6"/>
  <c r="AI8" i="12"/>
  <c r="AI39" i="12"/>
  <c r="AI40" i="12" s="1"/>
  <c r="AI37" i="12"/>
  <c r="AL5" i="6"/>
  <c r="AM4" i="6"/>
  <c r="AK6" i="6"/>
  <c r="AK7" i="6"/>
  <c r="BI18" i="12"/>
  <c r="BJ10" i="12"/>
  <c r="BI18" i="11"/>
  <c r="BJ10" i="11"/>
  <c r="BI13" i="11"/>
  <c r="BI10" i="6"/>
  <c r="AJ7" i="12"/>
  <c r="AJ6" i="12"/>
  <c r="AJ26" i="12" s="1"/>
  <c r="AJ28" i="12" s="1"/>
  <c r="BI19" i="13"/>
  <c r="BJ11" i="13"/>
  <c r="AJ28" i="11" l="1"/>
  <c r="AJ19" i="6" s="1"/>
  <c r="AJ17" i="6"/>
  <c r="AK7" i="11"/>
  <c r="AK6" i="11"/>
  <c r="AK26" i="11" s="1"/>
  <c r="AL45" i="11"/>
  <c r="AL5" i="11"/>
  <c r="AM4" i="11"/>
  <c r="AJ37" i="11"/>
  <c r="AJ8" i="11"/>
  <c r="AJ39" i="11"/>
  <c r="AJ40" i="11" s="1"/>
  <c r="AJ24" i="6" s="1"/>
  <c r="BH14" i="6"/>
  <c r="BH22" i="11"/>
  <c r="BH27" i="13"/>
  <c r="BH22" i="13"/>
  <c r="AM4" i="12"/>
  <c r="AL5" i="12"/>
  <c r="AL45" i="12"/>
  <c r="AL7" i="13"/>
  <c r="AL6" i="13"/>
  <c r="AL26" i="13" s="1"/>
  <c r="AL28" i="13" s="1"/>
  <c r="AK7" i="12"/>
  <c r="AK6" i="12"/>
  <c r="AK26" i="12" s="1"/>
  <c r="AK28" i="12" s="1"/>
  <c r="AI20" i="6"/>
  <c r="AI34" i="11"/>
  <c r="BJ18" i="12"/>
  <c r="BK10" i="12"/>
  <c r="K35" i="13"/>
  <c r="AL33" i="12"/>
  <c r="AJ39" i="12"/>
  <c r="AJ40" i="12" s="1"/>
  <c r="AJ8" i="12"/>
  <c r="AJ37" i="12"/>
  <c r="K43" i="12"/>
  <c r="K36" i="12"/>
  <c r="K41" i="12" s="1"/>
  <c r="BI27" i="11"/>
  <c r="BI18" i="6" s="1"/>
  <c r="BI13" i="6"/>
  <c r="BG15" i="6"/>
  <c r="BJ18" i="11"/>
  <c r="BK10" i="11"/>
  <c r="BJ10" i="6"/>
  <c r="BJ13" i="11"/>
  <c r="AH21" i="6"/>
  <c r="AM5" i="6"/>
  <c r="AN4" i="6"/>
  <c r="AL7" i="6"/>
  <c r="AL6" i="6"/>
  <c r="AN31" i="12"/>
  <c r="AI34" i="12"/>
  <c r="AT31" i="13"/>
  <c r="AN4" i="13"/>
  <c r="AM45" i="13"/>
  <c r="AM5" i="13"/>
  <c r="AM33" i="13"/>
  <c r="BI11" i="12"/>
  <c r="BH19" i="12"/>
  <c r="BH21" i="12" s="1"/>
  <c r="BH13" i="12"/>
  <c r="AK31" i="11"/>
  <c r="AJ33" i="11"/>
  <c r="BJ11" i="11"/>
  <c r="BI19" i="11"/>
  <c r="BI21" i="11" s="1"/>
  <c r="BI11" i="6"/>
  <c r="AK8" i="6"/>
  <c r="BI13" i="13"/>
  <c r="BI18" i="13"/>
  <c r="BI21" i="13" s="1"/>
  <c r="BJ10" i="13"/>
  <c r="AK34" i="13"/>
  <c r="BG27" i="12"/>
  <c r="BG22" i="12"/>
  <c r="AK37" i="13"/>
  <c r="AK39" i="13"/>
  <c r="AK40" i="13" s="1"/>
  <c r="AK8" i="13"/>
  <c r="BJ19" i="13"/>
  <c r="BK11" i="13"/>
  <c r="K35" i="11"/>
  <c r="K31" i="6"/>
  <c r="AJ34" i="12"/>
  <c r="BI14" i="6" l="1"/>
  <c r="BI22" i="11"/>
  <c r="AM5" i="11"/>
  <c r="AN4" i="11"/>
  <c r="AM45" i="11"/>
  <c r="AM29" i="6" s="1"/>
  <c r="AL29" i="6"/>
  <c r="AK28" i="11"/>
  <c r="AK19" i="6" s="1"/>
  <c r="AK17" i="6"/>
  <c r="AL7" i="11"/>
  <c r="AL6" i="11"/>
  <c r="AL26" i="11" s="1"/>
  <c r="AK39" i="11"/>
  <c r="AK40" i="11" s="1"/>
  <c r="AK24" i="6" s="1"/>
  <c r="AK8" i="11"/>
  <c r="AK37" i="11"/>
  <c r="AM6" i="6"/>
  <c r="AM7" i="6"/>
  <c r="K43" i="13"/>
  <c r="K36" i="13"/>
  <c r="K41" i="13" s="1"/>
  <c r="BL10" i="12"/>
  <c r="BK18" i="12"/>
  <c r="AI21" i="6"/>
  <c r="AL34" i="13"/>
  <c r="AK39" i="12"/>
  <c r="AK40" i="12" s="1"/>
  <c r="AK37" i="12"/>
  <c r="AK8" i="12"/>
  <c r="BJ11" i="12"/>
  <c r="BI19" i="12"/>
  <c r="BI21" i="12" s="1"/>
  <c r="BI13" i="12"/>
  <c r="AM6" i="13"/>
  <c r="AM26" i="13" s="1"/>
  <c r="AM28" i="13" s="1"/>
  <c r="AM7" i="13"/>
  <c r="BJ27" i="11"/>
  <c r="BJ18" i="6" s="1"/>
  <c r="BJ13" i="6"/>
  <c r="BI15" i="6"/>
  <c r="AL7" i="12"/>
  <c r="AL6" i="12"/>
  <c r="AL26" i="12" s="1"/>
  <c r="AL28" i="12" s="1"/>
  <c r="AN4" i="12"/>
  <c r="AN33" i="12" s="1"/>
  <c r="F74" i="7" s="1"/>
  <c r="AM5" i="12"/>
  <c r="AM45" i="12"/>
  <c r="AL31" i="11"/>
  <c r="AK33" i="11"/>
  <c r="BK19" i="13"/>
  <c r="BL11" i="13"/>
  <c r="BH27" i="12"/>
  <c r="BH22" i="12"/>
  <c r="AU31" i="13"/>
  <c r="AM33" i="12"/>
  <c r="AO4" i="6"/>
  <c r="AN5" i="6"/>
  <c r="AK34" i="12"/>
  <c r="AL37" i="13"/>
  <c r="AL39" i="13"/>
  <c r="AL40" i="13" s="1"/>
  <c r="AL8" i="13"/>
  <c r="AO4" i="13"/>
  <c r="AN5" i="13"/>
  <c r="AN45" i="13"/>
  <c r="F109" i="7" s="1"/>
  <c r="AN33" i="13"/>
  <c r="F101" i="7" s="1"/>
  <c r="BJ13" i="13"/>
  <c r="BJ18" i="13"/>
  <c r="BJ21" i="13" s="1"/>
  <c r="BK10" i="13"/>
  <c r="K22" i="6"/>
  <c r="K43" i="11"/>
  <c r="K36" i="11"/>
  <c r="BK11" i="11"/>
  <c r="BJ19" i="11"/>
  <c r="BJ21" i="11" s="1"/>
  <c r="BJ14" i="6" s="1"/>
  <c r="BJ11" i="6"/>
  <c r="AO31" i="12"/>
  <c r="K46" i="12"/>
  <c r="K48" i="12" s="1"/>
  <c r="K50" i="12"/>
  <c r="K57" i="12"/>
  <c r="BH15" i="6"/>
  <c r="AJ20" i="6"/>
  <c r="AJ34" i="11"/>
  <c r="BK18" i="11"/>
  <c r="BL10" i="11"/>
  <c r="BK10" i="6"/>
  <c r="BI27" i="13"/>
  <c r="BI22" i="13"/>
  <c r="AL8" i="6"/>
  <c r="AM8" i="6" l="1"/>
  <c r="AL39" i="11"/>
  <c r="AL40" i="11" s="1"/>
  <c r="AL24" i="6" s="1"/>
  <c r="AL37" i="11"/>
  <c r="AL8" i="11"/>
  <c r="AL17" i="6"/>
  <c r="AL28" i="11"/>
  <c r="AL19" i="6" s="1"/>
  <c r="AO4" i="11"/>
  <c r="AN45" i="11"/>
  <c r="AN5" i="11"/>
  <c r="AM7" i="11"/>
  <c r="AM6" i="11"/>
  <c r="AM26" i="11" s="1"/>
  <c r="AN6" i="13"/>
  <c r="AN26" i="13" s="1"/>
  <c r="AN7" i="13"/>
  <c r="AV31" i="13"/>
  <c r="BL19" i="13"/>
  <c r="D19" i="13" s="1"/>
  <c r="D11" i="13"/>
  <c r="H89" i="7"/>
  <c r="I89" i="7" s="1"/>
  <c r="BJ19" i="12"/>
  <c r="BJ21" i="12" s="1"/>
  <c r="BK11" i="12"/>
  <c r="BJ13" i="12"/>
  <c r="BI22" i="12"/>
  <c r="BI27" i="12"/>
  <c r="AM7" i="12"/>
  <c r="AM6" i="12"/>
  <c r="AM26" i="12" s="1"/>
  <c r="AM28" i="12" s="1"/>
  <c r="K59" i="12"/>
  <c r="K58" i="12"/>
  <c r="AP31" i="12"/>
  <c r="AL34" i="12"/>
  <c r="K72" i="12"/>
  <c r="K53" i="12"/>
  <c r="L47" i="12"/>
  <c r="BL18" i="12"/>
  <c r="D10" i="12"/>
  <c r="H61" i="7"/>
  <c r="I61" i="7" s="1"/>
  <c r="AO45" i="13"/>
  <c r="AO5" i="13"/>
  <c r="AP4" i="13"/>
  <c r="AO33" i="13"/>
  <c r="K51" i="12"/>
  <c r="K52" i="12" s="1"/>
  <c r="K46" i="11"/>
  <c r="K50" i="11"/>
  <c r="K27" i="6"/>
  <c r="K57" i="11"/>
  <c r="BL11" i="11"/>
  <c r="BK19" i="11"/>
  <c r="BK11" i="6"/>
  <c r="BK21" i="11"/>
  <c r="BK14" i="6" s="1"/>
  <c r="AN6" i="6"/>
  <c r="AN7" i="6"/>
  <c r="AN8" i="6" s="1"/>
  <c r="AM39" i="13"/>
  <c r="AM40" i="13" s="1"/>
  <c r="AM37" i="13"/>
  <c r="AM8" i="13"/>
  <c r="AM31" i="11"/>
  <c r="AL33" i="11"/>
  <c r="AL39" i="12"/>
  <c r="AL40" i="12" s="1"/>
  <c r="AL37" i="12"/>
  <c r="AL8" i="12"/>
  <c r="BL18" i="11"/>
  <c r="BL10" i="6"/>
  <c r="D10" i="11"/>
  <c r="D30" i="9"/>
  <c r="E30" i="9" s="1"/>
  <c r="H34" i="7"/>
  <c r="AP4" i="6"/>
  <c r="AO5" i="6"/>
  <c r="AM34" i="13"/>
  <c r="K46" i="13"/>
  <c r="K48" i="13" s="1"/>
  <c r="K50" i="13"/>
  <c r="K57" i="13"/>
  <c r="AN45" i="12"/>
  <c r="F82" i="7" s="1"/>
  <c r="AO4" i="12"/>
  <c r="AN5" i="12"/>
  <c r="BK13" i="11"/>
  <c r="BJ22" i="11"/>
  <c r="AJ21" i="6"/>
  <c r="BK13" i="13"/>
  <c r="BL10" i="13"/>
  <c r="BK18" i="13"/>
  <c r="BK21" i="13" s="1"/>
  <c r="AK20" i="6"/>
  <c r="AK34" i="11"/>
  <c r="K41" i="11"/>
  <c r="K25" i="6" s="1"/>
  <c r="K23" i="6"/>
  <c r="BJ22" i="13"/>
  <c r="BJ27" i="13"/>
  <c r="AM28" i="11" l="1"/>
  <c r="AM17" i="6"/>
  <c r="AM37" i="11"/>
  <c r="AM8" i="11"/>
  <c r="AM39" i="11"/>
  <c r="AM40" i="11" s="1"/>
  <c r="AM24" i="6" s="1"/>
  <c r="AN6" i="11"/>
  <c r="AN26" i="11" s="1"/>
  <c r="AN7" i="11"/>
  <c r="AN8" i="11" s="1"/>
  <c r="AN29" i="6"/>
  <c r="F55" i="7"/>
  <c r="F28" i="7" s="1"/>
  <c r="AO5" i="11"/>
  <c r="AO45" i="11"/>
  <c r="AO29" i="6" s="1"/>
  <c r="AP4" i="11"/>
  <c r="F43" i="7"/>
  <c r="F16" i="7" s="1"/>
  <c r="AP45" i="13"/>
  <c r="AP5" i="13"/>
  <c r="AQ4" i="13"/>
  <c r="AP33" i="13"/>
  <c r="AM34" i="12"/>
  <c r="AM39" i="12"/>
  <c r="AM40" i="12" s="1"/>
  <c r="AM37" i="12"/>
  <c r="AM8" i="12"/>
  <c r="K51" i="13"/>
  <c r="K52" i="13" s="1"/>
  <c r="D18" i="12"/>
  <c r="BJ27" i="12"/>
  <c r="BJ22" i="12"/>
  <c r="AO6" i="6"/>
  <c r="AO7" i="6"/>
  <c r="AO8" i="6" s="1"/>
  <c r="AQ4" i="6"/>
  <c r="AP5" i="6"/>
  <c r="AO6" i="13"/>
  <c r="AO26" i="13" s="1"/>
  <c r="AO7" i="13"/>
  <c r="K72" i="13"/>
  <c r="L47" i="13"/>
  <c r="K53" i="13"/>
  <c r="AK21" i="6"/>
  <c r="L35" i="12"/>
  <c r="BL19" i="11"/>
  <c r="D19" i="11" s="1"/>
  <c r="BL11" i="6"/>
  <c r="D11" i="11"/>
  <c r="D11" i="6" s="1"/>
  <c r="H35" i="7"/>
  <c r="K59" i="11"/>
  <c r="K58" i="11"/>
  <c r="K59" i="13"/>
  <c r="K58" i="13"/>
  <c r="BK22" i="13"/>
  <c r="BK27" i="13"/>
  <c r="K35" i="6"/>
  <c r="K51" i="11"/>
  <c r="K52" i="11" s="1"/>
  <c r="K36" i="6" s="1"/>
  <c r="BL13" i="11"/>
  <c r="BJ15" i="6"/>
  <c r="AW31" i="13"/>
  <c r="K30" i="6"/>
  <c r="K48" i="11"/>
  <c r="H7" i="9"/>
  <c r="H7" i="7"/>
  <c r="I34" i="7"/>
  <c r="I7" i="7" s="1"/>
  <c r="D18" i="11"/>
  <c r="BK27" i="11"/>
  <c r="BK18" i="6" s="1"/>
  <c r="BK22" i="11"/>
  <c r="BK13" i="6"/>
  <c r="AO45" i="12"/>
  <c r="AO5" i="12"/>
  <c r="AP4" i="12"/>
  <c r="AP33" i="12" s="1"/>
  <c r="AL20" i="6"/>
  <c r="AL34" i="11"/>
  <c r="AO33" i="12"/>
  <c r="D10" i="6"/>
  <c r="BK19" i="12"/>
  <c r="BK21" i="12" s="1"/>
  <c r="BL11" i="12"/>
  <c r="BK13" i="12"/>
  <c r="BL13" i="13"/>
  <c r="BL18" i="13"/>
  <c r="D10" i="13"/>
  <c r="H88" i="7"/>
  <c r="I88" i="7" s="1"/>
  <c r="AN7" i="12"/>
  <c r="AN6" i="12"/>
  <c r="AN26" i="12" s="1"/>
  <c r="AN31" i="11"/>
  <c r="AM33" i="11"/>
  <c r="AQ31" i="12"/>
  <c r="AN8" i="13"/>
  <c r="AN28" i="13"/>
  <c r="F97" i="7"/>
  <c r="AQ4" i="11" l="1"/>
  <c r="AP5" i="11"/>
  <c r="AP45" i="11"/>
  <c r="AP29" i="6" s="1"/>
  <c r="AO7" i="11"/>
  <c r="AO6" i="11"/>
  <c r="AO26" i="11" s="1"/>
  <c r="AN17" i="6"/>
  <c r="AN28" i="11"/>
  <c r="AN19" i="6" s="1"/>
  <c r="AM19" i="6"/>
  <c r="F45" i="7"/>
  <c r="BL19" i="12"/>
  <c r="D11" i="12"/>
  <c r="H62" i="7"/>
  <c r="I62" i="7" s="1"/>
  <c r="BL13" i="12"/>
  <c r="D40" i="8"/>
  <c r="BL27" i="11"/>
  <c r="BL13" i="6"/>
  <c r="D13" i="11"/>
  <c r="H37" i="7"/>
  <c r="D31" i="9"/>
  <c r="E31" i="9" s="1"/>
  <c r="AL21" i="6"/>
  <c r="L43" i="12"/>
  <c r="L36" i="12"/>
  <c r="L41" i="12" s="1"/>
  <c r="AX31" i="13"/>
  <c r="H10" i="9"/>
  <c r="H8" i="7"/>
  <c r="I35" i="7"/>
  <c r="I8" i="7" s="1"/>
  <c r="AO7" i="12"/>
  <c r="AO6" i="12"/>
  <c r="AO26" i="12" s="1"/>
  <c r="L35" i="13"/>
  <c r="AR31" i="12"/>
  <c r="AO39" i="13"/>
  <c r="AO40" i="13" s="1"/>
  <c r="AO37" i="13"/>
  <c r="AO8" i="13"/>
  <c r="AO31" i="11"/>
  <c r="AN33" i="11"/>
  <c r="AO28" i="13"/>
  <c r="AQ45" i="13"/>
  <c r="AQ5" i="13"/>
  <c r="AR4" i="13"/>
  <c r="AQ33" i="13"/>
  <c r="AM20" i="6"/>
  <c r="AM34" i="11"/>
  <c r="AN28" i="12"/>
  <c r="F70" i="7"/>
  <c r="AP7" i="13"/>
  <c r="AP6" i="13"/>
  <c r="AP26" i="13" s="1"/>
  <c r="AP28" i="13" s="1"/>
  <c r="BK22" i="12"/>
  <c r="BK27" i="12"/>
  <c r="BL21" i="11"/>
  <c r="AR4" i="6"/>
  <c r="AQ5" i="6"/>
  <c r="K72" i="11"/>
  <c r="K53" i="11"/>
  <c r="L47" i="11"/>
  <c r="K32" i="6"/>
  <c r="AP45" i="12"/>
  <c r="AP5" i="12"/>
  <c r="AQ4" i="12"/>
  <c r="AQ33" i="12" s="1"/>
  <c r="BK15" i="6"/>
  <c r="AN8" i="12"/>
  <c r="AN34" i="13"/>
  <c r="F99" i="7"/>
  <c r="AP7" i="6"/>
  <c r="AP6" i="6"/>
  <c r="H8" i="9"/>
  <c r="I7" i="9"/>
  <c r="I8" i="9" s="1"/>
  <c r="BL21" i="13"/>
  <c r="D18" i="13"/>
  <c r="BL27" i="13"/>
  <c r="D86" i="8"/>
  <c r="D87" i="8" s="1"/>
  <c r="D88" i="8" s="1"/>
  <c r="D13" i="13"/>
  <c r="H91" i="7"/>
  <c r="F46" i="7" l="1"/>
  <c r="F19" i="7" s="1"/>
  <c r="F18" i="7"/>
  <c r="F22" i="9"/>
  <c r="F23" i="9" s="1"/>
  <c r="AO17" i="6"/>
  <c r="AO28" i="11"/>
  <c r="AO19" i="6" s="1"/>
  <c r="AO8" i="11"/>
  <c r="AO37" i="11"/>
  <c r="AO39" i="11"/>
  <c r="AO40" i="11" s="1"/>
  <c r="AO24" i="6" s="1"/>
  <c r="AP6" i="11"/>
  <c r="AP26" i="11" s="1"/>
  <c r="AP7" i="11"/>
  <c r="AP8" i="6"/>
  <c r="AR4" i="11"/>
  <c r="AQ5" i="11"/>
  <c r="AQ45" i="11"/>
  <c r="AQ29" i="6" s="1"/>
  <c r="D27" i="13"/>
  <c r="H98" i="7"/>
  <c r="I98" i="7" s="1"/>
  <c r="AP31" i="11"/>
  <c r="AO33" i="11"/>
  <c r="H16" i="9"/>
  <c r="C6" i="5"/>
  <c r="G6" i="5"/>
  <c r="H10" i="7"/>
  <c r="C17" i="1" s="1"/>
  <c r="I37" i="7"/>
  <c r="H38" i="7"/>
  <c r="H11" i="7" s="1"/>
  <c r="BL14" i="6"/>
  <c r="D21" i="11"/>
  <c r="D14" i="6" s="1"/>
  <c r="H39" i="7"/>
  <c r="L43" i="13"/>
  <c r="L36" i="13"/>
  <c r="L41" i="13" s="1"/>
  <c r="D13" i="6"/>
  <c r="AY31" i="13"/>
  <c r="AQ7" i="6"/>
  <c r="AQ8" i="6" s="1"/>
  <c r="AQ6" i="6"/>
  <c r="L50" i="12"/>
  <c r="L46" i="12"/>
  <c r="L48" i="12" s="1"/>
  <c r="L57" i="12"/>
  <c r="AM21" i="6"/>
  <c r="BL22" i="11"/>
  <c r="BL18" i="6"/>
  <c r="D27" i="11"/>
  <c r="D18" i="6" s="1"/>
  <c r="H44" i="7"/>
  <c r="D21" i="13"/>
  <c r="H93" i="7"/>
  <c r="I93" i="7" s="1"/>
  <c r="F100" i="7"/>
  <c r="AQ45" i="12"/>
  <c r="AQ5" i="12"/>
  <c r="AR4" i="12"/>
  <c r="AP6" i="12"/>
  <c r="AP26" i="12" s="1"/>
  <c r="AP28" i="12" s="1"/>
  <c r="AP7" i="12"/>
  <c r="AR45" i="13"/>
  <c r="AR5" i="13"/>
  <c r="AS4" i="13"/>
  <c r="AR33" i="13"/>
  <c r="AO39" i="12"/>
  <c r="AO40" i="12" s="1"/>
  <c r="AO37" i="12"/>
  <c r="AO8" i="12"/>
  <c r="BL27" i="12"/>
  <c r="D63" i="8"/>
  <c r="D64" i="8" s="1"/>
  <c r="D65" i="8" s="1"/>
  <c r="D13" i="12"/>
  <c r="H64" i="7"/>
  <c r="AP34" i="13"/>
  <c r="AP37" i="13"/>
  <c r="AP8" i="13"/>
  <c r="AP39" i="13"/>
  <c r="AP40" i="13" s="1"/>
  <c r="AS31" i="12"/>
  <c r="AR33" i="12"/>
  <c r="AN34" i="12"/>
  <c r="F72" i="7"/>
  <c r="D41" i="8"/>
  <c r="D17" i="8"/>
  <c r="AQ7" i="13"/>
  <c r="AQ6" i="13"/>
  <c r="AQ26" i="13" s="1"/>
  <c r="AO28" i="12"/>
  <c r="I6" i="5"/>
  <c r="I91" i="7"/>
  <c r="H92" i="7"/>
  <c r="L35" i="11"/>
  <c r="L31" i="6"/>
  <c r="AN20" i="6"/>
  <c r="F47" i="7"/>
  <c r="AN34" i="11"/>
  <c r="AS4" i="6"/>
  <c r="AR5" i="6"/>
  <c r="I19" i="5"/>
  <c r="BL22" i="13"/>
  <c r="AO34" i="13"/>
  <c r="H11" i="9"/>
  <c r="I10" i="9"/>
  <c r="I11" i="9" s="1"/>
  <c r="D19" i="12"/>
  <c r="BL21" i="12"/>
  <c r="BL22" i="12" s="1"/>
  <c r="AQ6" i="11" l="1"/>
  <c r="AQ26" i="11" s="1"/>
  <c r="AQ7" i="11"/>
  <c r="AR45" i="11"/>
  <c r="AR29" i="6" s="1"/>
  <c r="AR5" i="11"/>
  <c r="AS4" i="11"/>
  <c r="AP8" i="11"/>
  <c r="AP39" i="11"/>
  <c r="AP40" i="11" s="1"/>
  <c r="AP24" i="6" s="1"/>
  <c r="AP37" i="11"/>
  <c r="AP28" i="11"/>
  <c r="AP19" i="6" s="1"/>
  <c r="AP17" i="6"/>
  <c r="AQ37" i="13"/>
  <c r="AQ39" i="13"/>
  <c r="AQ40" i="13" s="1"/>
  <c r="AQ8" i="13"/>
  <c r="H19" i="5"/>
  <c r="H12" i="7"/>
  <c r="I39" i="7"/>
  <c r="I12" i="7" s="1"/>
  <c r="AQ28" i="13"/>
  <c r="BL15" i="6"/>
  <c r="D22" i="11"/>
  <c r="D15" i="6" s="1"/>
  <c r="H40" i="7"/>
  <c r="D42" i="8"/>
  <c r="D18" i="8"/>
  <c r="I10" i="7"/>
  <c r="D35" i="9"/>
  <c r="E35" i="9" s="1"/>
  <c r="H17" i="7"/>
  <c r="I44" i="7"/>
  <c r="I17" i="7" s="1"/>
  <c r="D22" i="12"/>
  <c r="H67" i="7"/>
  <c r="I67" i="7" s="1"/>
  <c r="D22" i="13"/>
  <c r="H94" i="7"/>
  <c r="L59" i="12"/>
  <c r="L58" i="12"/>
  <c r="L53" i="12"/>
  <c r="L72" i="12"/>
  <c r="M47" i="12"/>
  <c r="L50" i="13"/>
  <c r="L46" i="13"/>
  <c r="L48" i="13" s="1"/>
  <c r="L57" i="13"/>
  <c r="AT4" i="6"/>
  <c r="AS5" i="6"/>
  <c r="AP34" i="12"/>
  <c r="AR45" i="12"/>
  <c r="AR5" i="12"/>
  <c r="AS4" i="12"/>
  <c r="AS33" i="12" s="1"/>
  <c r="L51" i="12"/>
  <c r="L52" i="12" s="1"/>
  <c r="D27" i="12"/>
  <c r="H71" i="7"/>
  <c r="I71" i="7" s="1"/>
  <c r="F73" i="7"/>
  <c r="AQ6" i="12"/>
  <c r="AQ26" i="12" s="1"/>
  <c r="AQ28" i="12" s="1"/>
  <c r="AQ7" i="12"/>
  <c r="H17" i="9"/>
  <c r="I16" i="9"/>
  <c r="I17" i="9" s="1"/>
  <c r="L22" i="6"/>
  <c r="L43" i="11"/>
  <c r="L36" i="11"/>
  <c r="AR7" i="6"/>
  <c r="AR6" i="6"/>
  <c r="AS45" i="13"/>
  <c r="AS5" i="13"/>
  <c r="AT4" i="13"/>
  <c r="AS33" i="13"/>
  <c r="AP39" i="12"/>
  <c r="AP40" i="12" s="1"/>
  <c r="AP37" i="12"/>
  <c r="AP8" i="12"/>
  <c r="AO20" i="6"/>
  <c r="AO34" i="11"/>
  <c r="AZ31" i="13"/>
  <c r="AQ31" i="11"/>
  <c r="AP33" i="11"/>
  <c r="AT31" i="12"/>
  <c r="AN21" i="6"/>
  <c r="AR7" i="13"/>
  <c r="AR6" i="13"/>
  <c r="AR26" i="13" s="1"/>
  <c r="AR28" i="13" s="1"/>
  <c r="F20" i="7"/>
  <c r="D21" i="12"/>
  <c r="H66" i="7"/>
  <c r="I66" i="7" s="1"/>
  <c r="AO34" i="12"/>
  <c r="H68" i="7"/>
  <c r="H6" i="5"/>
  <c r="H65" i="7"/>
  <c r="I64" i="7"/>
  <c r="AT4" i="11" l="1"/>
  <c r="AS45" i="11"/>
  <c r="AS29" i="6" s="1"/>
  <c r="AS5" i="11"/>
  <c r="AR7" i="11"/>
  <c r="AR6" i="11"/>
  <c r="AR26" i="11" s="1"/>
  <c r="AQ37" i="11"/>
  <c r="AQ39" i="11"/>
  <c r="AQ40" i="11" s="1"/>
  <c r="AQ24" i="6" s="1"/>
  <c r="AQ8" i="11"/>
  <c r="AQ17" i="6"/>
  <c r="AQ28" i="11"/>
  <c r="AQ19" i="6" s="1"/>
  <c r="BA31" i="13"/>
  <c r="AO21" i="6"/>
  <c r="AS6" i="6"/>
  <c r="AS7" i="6"/>
  <c r="AS8" i="6" s="1"/>
  <c r="AU4" i="6"/>
  <c r="AT5" i="6"/>
  <c r="L72" i="13"/>
  <c r="M47" i="13"/>
  <c r="L53" i="13"/>
  <c r="D45" i="9"/>
  <c r="E45" i="9" s="1"/>
  <c r="G19" i="5"/>
  <c r="C19" i="5"/>
  <c r="D19" i="8"/>
  <c r="AT45" i="13"/>
  <c r="AT5" i="13"/>
  <c r="AU4" i="13"/>
  <c r="AT33" i="13"/>
  <c r="AQ37" i="12"/>
  <c r="AQ39" i="12"/>
  <c r="AQ40" i="12" s="1"/>
  <c r="AQ8" i="12"/>
  <c r="M35" i="12"/>
  <c r="L51" i="13"/>
  <c r="L52" i="13" s="1"/>
  <c r="AQ34" i="13"/>
  <c r="L59" i="13"/>
  <c r="L58" i="13"/>
  <c r="AR8" i="6"/>
  <c r="AS6" i="13"/>
  <c r="AS26" i="13" s="1"/>
  <c r="AS28" i="13" s="1"/>
  <c r="AS7" i="13"/>
  <c r="AQ34" i="12"/>
  <c r="AR34" i="13"/>
  <c r="AR39" i="13"/>
  <c r="AR40" i="13" s="1"/>
  <c r="AR8" i="13"/>
  <c r="AR37" i="13"/>
  <c r="I94" i="7"/>
  <c r="I95" i="7" s="1"/>
  <c r="H95" i="7"/>
  <c r="H19" i="9"/>
  <c r="H13" i="7"/>
  <c r="I40" i="7"/>
  <c r="H41" i="7"/>
  <c r="H14" i="7" s="1"/>
  <c r="AU31" i="12"/>
  <c r="AR7" i="12"/>
  <c r="AR6" i="12"/>
  <c r="AR26" i="12" s="1"/>
  <c r="AR28" i="12" s="1"/>
  <c r="L41" i="11"/>
  <c r="L25" i="6" s="1"/>
  <c r="L23" i="6"/>
  <c r="I68" i="7"/>
  <c r="AS5" i="12"/>
  <c r="AS45" i="12"/>
  <c r="AT4" i="12"/>
  <c r="AT33" i="12" s="1"/>
  <c r="AP20" i="6"/>
  <c r="AP34" i="11"/>
  <c r="L46" i="11"/>
  <c r="L50" i="11"/>
  <c r="L27" i="6"/>
  <c r="L57" i="11"/>
  <c r="AR31" i="11"/>
  <c r="AQ33" i="11"/>
  <c r="AR28" i="11" l="1"/>
  <c r="AR19" i="6" s="1"/>
  <c r="AR17" i="6"/>
  <c r="AR37" i="11"/>
  <c r="AR39" i="11"/>
  <c r="AR40" i="11" s="1"/>
  <c r="AR24" i="6" s="1"/>
  <c r="AR8" i="11"/>
  <c r="AS7" i="11"/>
  <c r="AS6" i="11"/>
  <c r="AS26" i="11" s="1"/>
  <c r="AT45" i="11"/>
  <c r="AT29" i="6" s="1"/>
  <c r="AT5" i="11"/>
  <c r="AU4" i="11"/>
  <c r="L59" i="11"/>
  <c r="L58" i="11"/>
  <c r="AT6" i="13"/>
  <c r="AT26" i="13" s="1"/>
  <c r="AT7" i="13"/>
  <c r="L30" i="6"/>
  <c r="L48" i="11"/>
  <c r="L35" i="6"/>
  <c r="L51" i="11"/>
  <c r="L52" i="11" s="1"/>
  <c r="L36" i="6" s="1"/>
  <c r="AT6" i="6"/>
  <c r="AT7" i="6"/>
  <c r="AV4" i="6"/>
  <c r="AU5" i="6"/>
  <c r="AR34" i="12"/>
  <c r="M43" i="12"/>
  <c r="M36" i="12"/>
  <c r="M41" i="12" s="1"/>
  <c r="AR37" i="12"/>
  <c r="AR8" i="12"/>
  <c r="AR39" i="12"/>
  <c r="AR40" i="12" s="1"/>
  <c r="AP21" i="6"/>
  <c r="M35" i="13"/>
  <c r="AU45" i="13"/>
  <c r="AU5" i="13"/>
  <c r="AV4" i="13"/>
  <c r="AU33" i="13"/>
  <c r="AT5" i="12"/>
  <c r="AT45" i="12"/>
  <c r="AU4" i="12"/>
  <c r="AU33" i="12" s="1"/>
  <c r="AS37" i="13"/>
  <c r="AS39" i="13"/>
  <c r="AS40" i="13" s="1"/>
  <c r="AS8" i="13"/>
  <c r="AQ20" i="6"/>
  <c r="AQ34" i="11"/>
  <c r="AS7" i="12"/>
  <c r="AS6" i="12"/>
  <c r="AS26" i="12" s="1"/>
  <c r="AS28" i="12" s="1"/>
  <c r="BB31" i="13"/>
  <c r="H20" i="9"/>
  <c r="I19" i="9"/>
  <c r="I20" i="9" s="1"/>
  <c r="AS34" i="13"/>
  <c r="AV31" i="12"/>
  <c r="AS31" i="11"/>
  <c r="AR33" i="11"/>
  <c r="I13" i="7"/>
  <c r="I41" i="7"/>
  <c r="I14" i="7" s="1"/>
  <c r="AT7" i="11" l="1"/>
  <c r="AT6" i="11"/>
  <c r="AT26" i="11" s="1"/>
  <c r="AU45" i="11"/>
  <c r="AU29" i="6" s="1"/>
  <c r="AU5" i="11"/>
  <c r="AV4" i="11"/>
  <c r="AS17" i="6"/>
  <c r="AS28" i="11"/>
  <c r="AS19" i="6" s="1"/>
  <c r="AS39" i="11"/>
  <c r="AS40" i="11" s="1"/>
  <c r="AS24" i="6" s="1"/>
  <c r="AS8" i="11"/>
  <c r="AS37" i="11"/>
  <c r="AV5" i="6"/>
  <c r="AW4" i="6"/>
  <c r="AT8" i="6"/>
  <c r="AU7" i="13"/>
  <c r="AU6" i="13"/>
  <c r="AU26" i="13" s="1"/>
  <c r="AU28" i="13" s="1"/>
  <c r="AV45" i="13"/>
  <c r="AV5" i="13"/>
  <c r="AW4" i="13"/>
  <c r="AV33" i="13"/>
  <c r="AS37" i="12"/>
  <c r="AS39" i="12"/>
  <c r="AS40" i="12" s="1"/>
  <c r="AS8" i="12"/>
  <c r="M50" i="12"/>
  <c r="M46" i="12"/>
  <c r="M48" i="12" s="1"/>
  <c r="M57" i="12"/>
  <c r="AQ21" i="6"/>
  <c r="M43" i="13"/>
  <c r="M36" i="13"/>
  <c r="M41" i="13" s="1"/>
  <c r="AT31" i="11"/>
  <c r="AS33" i="11"/>
  <c r="AU6" i="6"/>
  <c r="AU7" i="6"/>
  <c r="AU8" i="6" s="1"/>
  <c r="BC31" i="13"/>
  <c r="AT28" i="13"/>
  <c r="AT7" i="12"/>
  <c r="AT6" i="12"/>
  <c r="AT26" i="12" s="1"/>
  <c r="AT28" i="12" s="1"/>
  <c r="AW31" i="12"/>
  <c r="AU45" i="12"/>
  <c r="AU5" i="12"/>
  <c r="AV4" i="12"/>
  <c r="AS34" i="12"/>
  <c r="M47" i="11"/>
  <c r="L53" i="11"/>
  <c r="L72" i="11"/>
  <c r="L32" i="6"/>
  <c r="AT39" i="13"/>
  <c r="AT40" i="13" s="1"/>
  <c r="AT37" i="13"/>
  <c r="AT8" i="13"/>
  <c r="AR20" i="6"/>
  <c r="AR34" i="11"/>
  <c r="AU6" i="11" l="1"/>
  <c r="AU26" i="11" s="1"/>
  <c r="AU7" i="11"/>
  <c r="AT17" i="6"/>
  <c r="AT28" i="11"/>
  <c r="AT19" i="6" s="1"/>
  <c r="AV45" i="11"/>
  <c r="AV29" i="6" s="1"/>
  <c r="AV5" i="11"/>
  <c r="AW4" i="11"/>
  <c r="AT39" i="11"/>
  <c r="AT40" i="11" s="1"/>
  <c r="AT24" i="6" s="1"/>
  <c r="AT8" i="11"/>
  <c r="AT37" i="11"/>
  <c r="AS20" i="6"/>
  <c r="AS34" i="11"/>
  <c r="AV45" i="12"/>
  <c r="AW4" i="12"/>
  <c r="AW33" i="12" s="1"/>
  <c r="AV5" i="12"/>
  <c r="AU31" i="11"/>
  <c r="AT33" i="11"/>
  <c r="M50" i="13"/>
  <c r="M46" i="13"/>
  <c r="M48" i="13" s="1"/>
  <c r="M57" i="13"/>
  <c r="AU6" i="12"/>
  <c r="AU26" i="12" s="1"/>
  <c r="AU28" i="12" s="1"/>
  <c r="AU7" i="12"/>
  <c r="M59" i="12"/>
  <c r="M58" i="12"/>
  <c r="N47" i="12"/>
  <c r="M53" i="12"/>
  <c r="M72" i="12"/>
  <c r="AT39" i="12"/>
  <c r="AT40" i="12" s="1"/>
  <c r="AT37" i="12"/>
  <c r="AT8" i="12"/>
  <c r="AR21" i="6"/>
  <c r="AV33" i="12"/>
  <c r="AT34" i="12"/>
  <c r="BD31" i="13"/>
  <c r="AW5" i="6"/>
  <c r="AX4" i="6"/>
  <c r="M51" i="12"/>
  <c r="M52" i="12" s="1"/>
  <c r="AU39" i="13"/>
  <c r="AU40" i="13" s="1"/>
  <c r="AU37" i="13"/>
  <c r="AU8" i="13"/>
  <c r="AV6" i="6"/>
  <c r="AV7" i="6"/>
  <c r="AV8" i="6" s="1"/>
  <c r="AX31" i="12"/>
  <c r="AT34" i="13"/>
  <c r="AW45" i="13"/>
  <c r="AW5" i="13"/>
  <c r="AX4" i="13"/>
  <c r="AW33" i="13"/>
  <c r="AV7" i="13"/>
  <c r="AV6" i="13"/>
  <c r="AV26" i="13" s="1"/>
  <c r="AU34" i="13"/>
  <c r="M35" i="11"/>
  <c r="M31" i="6"/>
  <c r="AV6" i="11" l="1"/>
  <c r="AV26" i="11" s="1"/>
  <c r="AV7" i="11"/>
  <c r="AU37" i="11"/>
  <c r="AU39" i="11"/>
  <c r="AU40" i="11" s="1"/>
  <c r="AU24" i="6" s="1"/>
  <c r="AU8" i="11"/>
  <c r="AW45" i="11"/>
  <c r="AW29" i="6" s="1"/>
  <c r="AW5" i="11"/>
  <c r="AX4" i="11"/>
  <c r="AU17" i="6"/>
  <c r="AU28" i="11"/>
  <c r="AU19" i="6" s="1"/>
  <c r="AW6" i="6"/>
  <c r="AW7" i="6"/>
  <c r="AW8" i="6" s="1"/>
  <c r="AU39" i="12"/>
  <c r="AU40" i="12" s="1"/>
  <c r="AU8" i="12"/>
  <c r="AU37" i="12"/>
  <c r="AX5" i="6"/>
  <c r="AY4" i="6"/>
  <c r="AV37" i="13"/>
  <c r="AV39" i="13"/>
  <c r="AV40" i="13" s="1"/>
  <c r="AV8" i="13"/>
  <c r="AY31" i="12"/>
  <c r="AV31" i="11"/>
  <c r="AU33" i="11"/>
  <c r="AX45" i="13"/>
  <c r="AX5" i="13"/>
  <c r="AY4" i="13"/>
  <c r="AX33" i="13"/>
  <c r="N35" i="12"/>
  <c r="M51" i="13"/>
  <c r="M52" i="13" s="1"/>
  <c r="AV6" i="12"/>
  <c r="AV26" i="12" s="1"/>
  <c r="AV28" i="12" s="1"/>
  <c r="AV7" i="12"/>
  <c r="AV28" i="13"/>
  <c r="BE31" i="13"/>
  <c r="M59" i="13"/>
  <c r="M58" i="13"/>
  <c r="M72" i="13"/>
  <c r="N47" i="13"/>
  <c r="M53" i="13"/>
  <c r="AS21" i="6"/>
  <c r="AW6" i="13"/>
  <c r="AW26" i="13" s="1"/>
  <c r="AW28" i="13" s="1"/>
  <c r="AW7" i="13"/>
  <c r="AU34" i="12"/>
  <c r="AT20" i="6"/>
  <c r="AT34" i="11"/>
  <c r="AX4" i="12"/>
  <c r="AW45" i="12"/>
  <c r="AW5" i="12"/>
  <c r="M22" i="6"/>
  <c r="M43" i="11"/>
  <c r="M36" i="11"/>
  <c r="AW6" i="11" l="1"/>
  <c r="AW26" i="11" s="1"/>
  <c r="AW7" i="11"/>
  <c r="AY4" i="11"/>
  <c r="AX5" i="11"/>
  <c r="AX45" i="11"/>
  <c r="AV8" i="11"/>
  <c r="AV37" i="11"/>
  <c r="AV39" i="11"/>
  <c r="AV40" i="11" s="1"/>
  <c r="AV24" i="6" s="1"/>
  <c r="AV28" i="11"/>
  <c r="AV19" i="6" s="1"/>
  <c r="AV17" i="6"/>
  <c r="AX6" i="13"/>
  <c r="AX26" i="13" s="1"/>
  <c r="AX28" i="13" s="1"/>
  <c r="AX7" i="13"/>
  <c r="AV34" i="13"/>
  <c r="AX5" i="12"/>
  <c r="AX45" i="12"/>
  <c r="AY4" i="12"/>
  <c r="AY33" i="12" s="1"/>
  <c r="BF31" i="13"/>
  <c r="AZ31" i="12"/>
  <c r="AV34" i="12"/>
  <c r="AT21" i="6"/>
  <c r="AX33" i="12"/>
  <c r="AV39" i="12"/>
  <c r="AV40" i="12" s="1"/>
  <c r="AV8" i="12"/>
  <c r="AV37" i="12"/>
  <c r="AY5" i="6"/>
  <c r="AZ4" i="6"/>
  <c r="AW6" i="12"/>
  <c r="AW26" i="12" s="1"/>
  <c r="AW28" i="12" s="1"/>
  <c r="AW7" i="12"/>
  <c r="AU20" i="6"/>
  <c r="AU34" i="11"/>
  <c r="AW34" i="13"/>
  <c r="N35" i="13"/>
  <c r="N43" i="12"/>
  <c r="N36" i="12"/>
  <c r="N41" i="12" s="1"/>
  <c r="AX7" i="6"/>
  <c r="AX6" i="6"/>
  <c r="AW31" i="11"/>
  <c r="AV33" i="11"/>
  <c r="AW37" i="13"/>
  <c r="AW8" i="13"/>
  <c r="AW39" i="13"/>
  <c r="AW40" i="13" s="1"/>
  <c r="M41" i="11"/>
  <c r="M25" i="6" s="1"/>
  <c r="M23" i="6"/>
  <c r="M46" i="11"/>
  <c r="M50" i="11"/>
  <c r="M27" i="6"/>
  <c r="M57" i="11"/>
  <c r="AY45" i="13"/>
  <c r="AY5" i="13"/>
  <c r="AZ4" i="13"/>
  <c r="AY33" i="13"/>
  <c r="AY5" i="11" l="1"/>
  <c r="AY45" i="11"/>
  <c r="AY29" i="6" s="1"/>
  <c r="AZ4" i="11"/>
  <c r="AX7" i="11"/>
  <c r="AX6" i="11"/>
  <c r="AX26" i="11" s="1"/>
  <c r="AW39" i="11"/>
  <c r="AW40" i="11" s="1"/>
  <c r="AW24" i="6" s="1"/>
  <c r="AW8" i="11"/>
  <c r="AW37" i="11"/>
  <c r="AX29" i="6"/>
  <c r="AW17" i="6"/>
  <c r="AW28" i="11"/>
  <c r="AW19" i="6" s="1"/>
  <c r="BA31" i="12"/>
  <c r="AU21" i="6"/>
  <c r="M35" i="6"/>
  <c r="M51" i="11"/>
  <c r="M30" i="6"/>
  <c r="M48" i="11"/>
  <c r="BG31" i="13"/>
  <c r="AX7" i="12"/>
  <c r="AX6" i="12"/>
  <c r="AX26" i="12" s="1"/>
  <c r="AX28" i="12" s="1"/>
  <c r="AW34" i="12"/>
  <c r="BA4" i="6"/>
  <c r="AZ5" i="6"/>
  <c r="AW37" i="12"/>
  <c r="AW39" i="12"/>
  <c r="AW40" i="12" s="1"/>
  <c r="AW8" i="12"/>
  <c r="AX31" i="11"/>
  <c r="AW33" i="11"/>
  <c r="AX8" i="6"/>
  <c r="N50" i="12"/>
  <c r="N46" i="12"/>
  <c r="N48" i="12" s="1"/>
  <c r="N57" i="12"/>
  <c r="AV20" i="6"/>
  <c r="AV34" i="11"/>
  <c r="AY6" i="13"/>
  <c r="AY26" i="13" s="1"/>
  <c r="AY28" i="13" s="1"/>
  <c r="AY7" i="13"/>
  <c r="N43" i="13"/>
  <c r="N36" i="13"/>
  <c r="N41" i="13" s="1"/>
  <c r="AY6" i="6"/>
  <c r="AY7" i="6"/>
  <c r="AY8" i="6" s="1"/>
  <c r="AY5" i="12"/>
  <c r="AZ4" i="12"/>
  <c r="AZ33" i="12" s="1"/>
  <c r="G74" i="7" s="1"/>
  <c r="AY45" i="12"/>
  <c r="AZ45" i="13"/>
  <c r="G109" i="7" s="1"/>
  <c r="BA4" i="13"/>
  <c r="AZ5" i="13"/>
  <c r="AZ33" i="13"/>
  <c r="G101" i="7" s="1"/>
  <c r="AX37" i="13"/>
  <c r="AX8" i="13"/>
  <c r="AX39" i="13"/>
  <c r="AX40" i="13" s="1"/>
  <c r="M59" i="11"/>
  <c r="M58" i="11"/>
  <c r="AX34" i="13"/>
  <c r="AX17" i="6" l="1"/>
  <c r="AX28" i="11"/>
  <c r="AX39" i="11"/>
  <c r="AX40" i="11" s="1"/>
  <c r="AX24" i="6" s="1"/>
  <c r="AX37" i="11"/>
  <c r="AX8" i="11"/>
  <c r="BA4" i="11"/>
  <c r="AZ5" i="11"/>
  <c r="AZ45" i="11"/>
  <c r="AY6" i="11"/>
  <c r="AY26" i="11" s="1"/>
  <c r="AY7" i="11"/>
  <c r="BH31" i="13"/>
  <c r="M53" i="11"/>
  <c r="M72" i="11"/>
  <c r="N47" i="11"/>
  <c r="M32" i="6"/>
  <c r="M52" i="11"/>
  <c r="M36" i="6" s="1"/>
  <c r="O47" i="12"/>
  <c r="N53" i="12"/>
  <c r="N72" i="12"/>
  <c r="AX37" i="12"/>
  <c r="AX39" i="12"/>
  <c r="AX40" i="12" s="1"/>
  <c r="AX8" i="12"/>
  <c r="BB4" i="13"/>
  <c r="BA5" i="13"/>
  <c r="BA45" i="13"/>
  <c r="BA33" i="13"/>
  <c r="BB31" i="12"/>
  <c r="AW20" i="6"/>
  <c r="AW34" i="11"/>
  <c r="AY31" i="11"/>
  <c r="AX33" i="11"/>
  <c r="AZ45" i="12"/>
  <c r="G82" i="7" s="1"/>
  <c r="AZ5" i="12"/>
  <c r="BA4" i="12"/>
  <c r="N51" i="12"/>
  <c r="N52" i="12" s="1"/>
  <c r="AZ6" i="13"/>
  <c r="AZ26" i="13" s="1"/>
  <c r="AZ7" i="13"/>
  <c r="BA5" i="6"/>
  <c r="BB4" i="6"/>
  <c r="N59" i="12"/>
  <c r="N58" i="12"/>
  <c r="AZ6" i="6"/>
  <c r="AZ7" i="6"/>
  <c r="AZ8" i="6" s="1"/>
  <c r="N50" i="13"/>
  <c r="N46" i="13"/>
  <c r="N48" i="13" s="1"/>
  <c r="N57" i="13"/>
  <c r="AY7" i="12"/>
  <c r="AY6" i="12"/>
  <c r="AY26" i="12" s="1"/>
  <c r="AY28" i="12" s="1"/>
  <c r="AY37" i="13"/>
  <c r="AY8" i="13"/>
  <c r="AY39" i="13"/>
  <c r="AY40" i="13" s="1"/>
  <c r="AV21" i="6"/>
  <c r="AY34" i="13"/>
  <c r="AX34" i="12"/>
  <c r="AY37" i="11" l="1"/>
  <c r="AY8" i="11"/>
  <c r="AY39" i="11"/>
  <c r="AY40" i="11" s="1"/>
  <c r="AY24" i="6" s="1"/>
  <c r="AZ29" i="6"/>
  <c r="G55" i="7"/>
  <c r="G28" i="7" s="1"/>
  <c r="BA5" i="11"/>
  <c r="BA45" i="11"/>
  <c r="BA29" i="6" s="1"/>
  <c r="BB4" i="11"/>
  <c r="AY28" i="11"/>
  <c r="AY19" i="6" s="1"/>
  <c r="AY17" i="6"/>
  <c r="AX19" i="6"/>
  <c r="AZ6" i="11"/>
  <c r="AZ26" i="11" s="1"/>
  <c r="AZ7" i="11"/>
  <c r="AZ8" i="11" s="1"/>
  <c r="BC4" i="13"/>
  <c r="BB45" i="13"/>
  <c r="BB5" i="13"/>
  <c r="BB33" i="13"/>
  <c r="AZ7" i="12"/>
  <c r="AZ6" i="12"/>
  <c r="AZ26" i="12" s="1"/>
  <c r="BA7" i="13"/>
  <c r="BA6" i="13"/>
  <c r="BA26" i="13" s="1"/>
  <c r="N59" i="13"/>
  <c r="N58" i="13"/>
  <c r="O35" i="12"/>
  <c r="N35" i="11"/>
  <c r="N31" i="6"/>
  <c r="AY34" i="12"/>
  <c r="AZ28" i="13"/>
  <c r="G97" i="7"/>
  <c r="AW21" i="6"/>
  <c r="BA45" i="12"/>
  <c r="BA5" i="12"/>
  <c r="BB4" i="12"/>
  <c r="BI31" i="13"/>
  <c r="N72" i="13"/>
  <c r="N53" i="13"/>
  <c r="O47" i="13"/>
  <c r="N51" i="13"/>
  <c r="N52" i="13" s="1"/>
  <c r="AX20" i="6"/>
  <c r="AX34" i="11"/>
  <c r="BB5" i="6"/>
  <c r="BC4" i="6"/>
  <c r="BA33" i="12"/>
  <c r="AZ8" i="13"/>
  <c r="AY37" i="12"/>
  <c r="AY39" i="12"/>
  <c r="AY40" i="12" s="1"/>
  <c r="AY8" i="12"/>
  <c r="AZ31" i="11"/>
  <c r="AY33" i="11"/>
  <c r="BA7" i="6"/>
  <c r="BA6" i="6"/>
  <c r="BC31" i="12"/>
  <c r="BC4" i="11" l="1"/>
  <c r="BB45" i="11"/>
  <c r="BB29" i="6" s="1"/>
  <c r="BB5" i="11"/>
  <c r="AZ28" i="11"/>
  <c r="AZ17" i="6"/>
  <c r="G43" i="7"/>
  <c r="G16" i="7" s="1"/>
  <c r="BA7" i="11"/>
  <c r="BA6" i="11"/>
  <c r="BA26" i="11" s="1"/>
  <c r="O35" i="13"/>
  <c r="N22" i="6"/>
  <c r="N43" i="11"/>
  <c r="N36" i="11"/>
  <c r="BA31" i="11"/>
  <c r="AZ33" i="11"/>
  <c r="BA8" i="13"/>
  <c r="BA39" i="13"/>
  <c r="BA40" i="13" s="1"/>
  <c r="BA37" i="13"/>
  <c r="BJ31" i="13"/>
  <c r="BB45" i="12"/>
  <c r="BB5" i="12"/>
  <c r="BC4" i="12"/>
  <c r="BA28" i="13"/>
  <c r="O43" i="12"/>
  <c r="O36" i="12"/>
  <c r="O41" i="12" s="1"/>
  <c r="BA6" i="12"/>
  <c r="BA26" i="12" s="1"/>
  <c r="BA7" i="12"/>
  <c r="BB33" i="12"/>
  <c r="BD31" i="12"/>
  <c r="BC33" i="12"/>
  <c r="BC5" i="6"/>
  <c r="BD4" i="6"/>
  <c r="BA8" i="6"/>
  <c r="BB6" i="13"/>
  <c r="BB26" i="13" s="1"/>
  <c r="BB28" i="13" s="1"/>
  <c r="BB7" i="13"/>
  <c r="AX21" i="6"/>
  <c r="AZ34" i="13"/>
  <c r="G99" i="7"/>
  <c r="AZ28" i="12"/>
  <c r="G70" i="7"/>
  <c r="AZ8" i="12"/>
  <c r="BB6" i="6"/>
  <c r="BB7" i="6"/>
  <c r="AY20" i="6"/>
  <c r="AY34" i="11"/>
  <c r="BC45" i="13"/>
  <c r="BD4" i="13"/>
  <c r="BC5" i="13"/>
  <c r="BC33" i="13"/>
  <c r="BA37" i="11" l="1"/>
  <c r="BA8" i="11"/>
  <c r="BA39" i="11"/>
  <c r="BA40" i="11" s="1"/>
  <c r="BA24" i="6" s="1"/>
  <c r="AZ19" i="6"/>
  <c r="G45" i="7"/>
  <c r="BB6" i="11"/>
  <c r="BB26" i="11" s="1"/>
  <c r="BB7" i="11"/>
  <c r="BA17" i="6"/>
  <c r="BA28" i="11"/>
  <c r="BA19" i="6" s="1"/>
  <c r="BC5" i="11"/>
  <c r="BC45" i="11"/>
  <c r="BC29" i="6" s="1"/>
  <c r="BD4" i="11"/>
  <c r="BD45" i="13"/>
  <c r="BE4" i="13"/>
  <c r="BD5" i="13"/>
  <c r="BD33" i="13"/>
  <c r="BE31" i="12"/>
  <c r="BC6" i="6"/>
  <c r="BC7" i="6"/>
  <c r="BC8" i="6" s="1"/>
  <c r="BA34" i="13"/>
  <c r="BB6" i="12"/>
  <c r="BB26" i="12" s="1"/>
  <c r="BB28" i="12" s="1"/>
  <c r="BB7" i="12"/>
  <c r="AZ20" i="6"/>
  <c r="G47" i="7"/>
  <c r="AZ34" i="11"/>
  <c r="BB31" i="11"/>
  <c r="BA33" i="11"/>
  <c r="AY21" i="6"/>
  <c r="AZ34" i="12"/>
  <c r="G72" i="7"/>
  <c r="N46" i="11"/>
  <c r="N50" i="11"/>
  <c r="N27" i="6"/>
  <c r="N57" i="11"/>
  <c r="BA39" i="12"/>
  <c r="BA40" i="12" s="1"/>
  <c r="BA8" i="12"/>
  <c r="BA37" i="12"/>
  <c r="BA28" i="12"/>
  <c r="BK31" i="13"/>
  <c r="BB34" i="13"/>
  <c r="BB8" i="6"/>
  <c r="BC45" i="12"/>
  <c r="BC5" i="12"/>
  <c r="BD4" i="12"/>
  <c r="N41" i="11"/>
  <c r="N25" i="6" s="1"/>
  <c r="N23" i="6"/>
  <c r="O50" i="12"/>
  <c r="O46" i="12"/>
  <c r="O48" i="12" s="1"/>
  <c r="O57" i="12"/>
  <c r="G100" i="7"/>
  <c r="BB39" i="13"/>
  <c r="BB40" i="13" s="1"/>
  <c r="BB8" i="13"/>
  <c r="BB37" i="13"/>
  <c r="BC6" i="13"/>
  <c r="BC26" i="13" s="1"/>
  <c r="BC7" i="13"/>
  <c r="BD5" i="6"/>
  <c r="BE4" i="6"/>
  <c r="O43" i="13"/>
  <c r="O36" i="13"/>
  <c r="O41" i="13" s="1"/>
  <c r="BB17" i="6" l="1"/>
  <c r="BB28" i="11"/>
  <c r="BB19" i="6" s="1"/>
  <c r="G22" i="9"/>
  <c r="G23" i="9" s="1"/>
  <c r="G18" i="7"/>
  <c r="G46" i="7"/>
  <c r="G19" i="7" s="1"/>
  <c r="BE4" i="11"/>
  <c r="BD5" i="11"/>
  <c r="BD45" i="11"/>
  <c r="BD29" i="6" s="1"/>
  <c r="BC7" i="11"/>
  <c r="BC6" i="11"/>
  <c r="BC26" i="11" s="1"/>
  <c r="BB8" i="11"/>
  <c r="BB39" i="11"/>
  <c r="BB40" i="11" s="1"/>
  <c r="BB24" i="6" s="1"/>
  <c r="BB37" i="11"/>
  <c r="G20" i="7"/>
  <c r="BL31" i="13"/>
  <c r="AZ21" i="6"/>
  <c r="O59" i="12"/>
  <c r="O58" i="12"/>
  <c r="O72" i="12"/>
  <c r="O53" i="12"/>
  <c r="P47" i="12"/>
  <c r="BB37" i="12"/>
  <c r="BB39" i="12"/>
  <c r="BB40" i="12" s="1"/>
  <c r="BB8" i="12"/>
  <c r="O51" i="12"/>
  <c r="O52" i="12" s="1"/>
  <c r="BA34" i="12"/>
  <c r="BC31" i="11"/>
  <c r="BB33" i="11"/>
  <c r="N59" i="11"/>
  <c r="N58" i="11"/>
  <c r="BD45" i="12"/>
  <c r="BD5" i="12"/>
  <c r="BE4" i="12"/>
  <c r="N35" i="6"/>
  <c r="N51" i="11"/>
  <c r="O50" i="13"/>
  <c r="O46" i="13"/>
  <c r="O48" i="13" s="1"/>
  <c r="O57" i="13"/>
  <c r="BC28" i="13"/>
  <c r="BC39" i="13"/>
  <c r="BC40" i="13" s="1"/>
  <c r="BC8" i="13"/>
  <c r="BC37" i="13"/>
  <c r="BD33" i="12"/>
  <c r="BF31" i="12"/>
  <c r="N30" i="6"/>
  <c r="N48" i="11"/>
  <c r="BC6" i="12"/>
  <c r="BC26" i="12" s="1"/>
  <c r="BC7" i="12"/>
  <c r="BB34" i="12"/>
  <c r="BF4" i="6"/>
  <c r="BE5" i="6"/>
  <c r="G73" i="7"/>
  <c r="BD7" i="13"/>
  <c r="BD6" i="13"/>
  <c r="BD26" i="13" s="1"/>
  <c r="BD28" i="13" s="1"/>
  <c r="BD7" i="6"/>
  <c r="BD6" i="6"/>
  <c r="BE45" i="13"/>
  <c r="BE5" i="13"/>
  <c r="BF4" i="13"/>
  <c r="BE33" i="13"/>
  <c r="BA20" i="6"/>
  <c r="BA34" i="11"/>
  <c r="BC17" i="6" l="1"/>
  <c r="BC28" i="11"/>
  <c r="BC19" i="6" s="1"/>
  <c r="BD7" i="11"/>
  <c r="BD6" i="11"/>
  <c r="BD26" i="11" s="1"/>
  <c r="BC8" i="11"/>
  <c r="BC37" i="11"/>
  <c r="BC39" i="11"/>
  <c r="BC40" i="11" s="1"/>
  <c r="BC24" i="6" s="1"/>
  <c r="BE5" i="11"/>
  <c r="BF4" i="11"/>
  <c r="BE45" i="11"/>
  <c r="BE29" i="6" s="1"/>
  <c r="O51" i="13"/>
  <c r="O52" i="13" s="1"/>
  <c r="BF45" i="13"/>
  <c r="BG4" i="13"/>
  <c r="BF5" i="13"/>
  <c r="BF33" i="13"/>
  <c r="P35" i="12"/>
  <c r="BE7" i="13"/>
  <c r="BE6" i="13"/>
  <c r="BE26" i="13" s="1"/>
  <c r="BE28" i="13" s="1"/>
  <c r="BD6" i="12"/>
  <c r="BD26" i="12" s="1"/>
  <c r="BD28" i="12" s="1"/>
  <c r="BD7" i="12"/>
  <c r="BE45" i="12"/>
  <c r="BF4" i="12"/>
  <c r="BF33" i="12" s="1"/>
  <c r="BE5" i="12"/>
  <c r="BD34" i="13"/>
  <c r="BB20" i="6"/>
  <c r="BB34" i="11"/>
  <c r="BA21" i="6"/>
  <c r="N52" i="11"/>
  <c r="N36" i="6" s="1"/>
  <c r="BC37" i="12"/>
  <c r="BC39" i="12"/>
  <c r="BC40" i="12" s="1"/>
  <c r="BC8" i="12"/>
  <c r="BD37" i="13"/>
  <c r="BD39" i="13"/>
  <c r="BD40" i="13" s="1"/>
  <c r="BD8" i="13"/>
  <c r="BD31" i="11"/>
  <c r="BC33" i="11"/>
  <c r="BC28" i="12"/>
  <c r="BD8" i="6"/>
  <c r="BE33" i="12"/>
  <c r="BG31" i="12"/>
  <c r="D31" i="13"/>
  <c r="N72" i="11"/>
  <c r="N53" i="11"/>
  <c r="O47" i="11"/>
  <c r="N32" i="6"/>
  <c r="BC34" i="13"/>
  <c r="BE6" i="6"/>
  <c r="BE7" i="6"/>
  <c r="BE8" i="6" s="1"/>
  <c r="O59" i="13"/>
  <c r="O58" i="13"/>
  <c r="BF5" i="6"/>
  <c r="BG4" i="6"/>
  <c r="P47" i="13"/>
  <c r="O72" i="13"/>
  <c r="O53" i="13"/>
  <c r="BF45" i="11" l="1"/>
  <c r="BF29" i="6" s="1"/>
  <c r="BG4" i="11"/>
  <c r="BF5" i="11"/>
  <c r="BE7" i="11"/>
  <c r="BE6" i="11"/>
  <c r="BE26" i="11" s="1"/>
  <c r="BD39" i="11"/>
  <c r="BD40" i="11" s="1"/>
  <c r="BD24" i="6" s="1"/>
  <c r="BD8" i="11"/>
  <c r="BD37" i="11"/>
  <c r="BD17" i="6"/>
  <c r="BD28" i="11"/>
  <c r="BD19" i="6" s="1"/>
  <c r="BC20" i="6"/>
  <c r="BC34" i="11"/>
  <c r="BD34" i="12"/>
  <c r="P36" i="12"/>
  <c r="D75" i="7"/>
  <c r="BF7" i="6"/>
  <c r="BF8" i="6" s="1"/>
  <c r="BF6" i="6"/>
  <c r="BE31" i="11"/>
  <c r="BD33" i="11"/>
  <c r="BB21" i="6"/>
  <c r="O35" i="11"/>
  <c r="O31" i="6"/>
  <c r="BF7" i="13"/>
  <c r="BF6" i="13"/>
  <c r="BF26" i="13" s="1"/>
  <c r="BF28" i="13" s="1"/>
  <c r="BE37" i="13"/>
  <c r="BE8" i="13"/>
  <c r="BE39" i="13"/>
  <c r="BE40" i="13" s="1"/>
  <c r="P35" i="13"/>
  <c r="BG45" i="13"/>
  <c r="BG5" i="13"/>
  <c r="BH4" i="13"/>
  <c r="BG33" i="13"/>
  <c r="BE6" i="12"/>
  <c r="BE26" i="12" s="1"/>
  <c r="BE28" i="12" s="1"/>
  <c r="BE7" i="12"/>
  <c r="BF45" i="12"/>
  <c r="BG4" i="12"/>
  <c r="BG33" i="12" s="1"/>
  <c r="BF5" i="12"/>
  <c r="BD37" i="12"/>
  <c r="BD39" i="12"/>
  <c r="BD40" i="12" s="1"/>
  <c r="BD8" i="12"/>
  <c r="BE34" i="13"/>
  <c r="BG5" i="6"/>
  <c r="BH4" i="6"/>
  <c r="BH31" i="12"/>
  <c r="BC34" i="12"/>
  <c r="BE37" i="11" l="1"/>
  <c r="BE39" i="11"/>
  <c r="BE40" i="11" s="1"/>
  <c r="BE24" i="6" s="1"/>
  <c r="BE8" i="11"/>
  <c r="BF6" i="11"/>
  <c r="BF26" i="11" s="1"/>
  <c r="BF7" i="11"/>
  <c r="BH4" i="11"/>
  <c r="BG5" i="11"/>
  <c r="BG45" i="11"/>
  <c r="BG29" i="6" s="1"/>
  <c r="BE28" i="11"/>
  <c r="BE19" i="6" s="1"/>
  <c r="BE17" i="6"/>
  <c r="BI31" i="12"/>
  <c r="BH33" i="12"/>
  <c r="BD20" i="6"/>
  <c r="BD34" i="11"/>
  <c r="BG7" i="13"/>
  <c r="BG6" i="13"/>
  <c r="BG26" i="13" s="1"/>
  <c r="D76" i="7"/>
  <c r="P37" i="12"/>
  <c r="BF6" i="12"/>
  <c r="BF26" i="12" s="1"/>
  <c r="BF7" i="12"/>
  <c r="BF31" i="11"/>
  <c r="BE33" i="11"/>
  <c r="BF34" i="13"/>
  <c r="BG45" i="12"/>
  <c r="BH4" i="12"/>
  <c r="BG5" i="12"/>
  <c r="BF37" i="13"/>
  <c r="BF39" i="13"/>
  <c r="BF40" i="13" s="1"/>
  <c r="BF8" i="13"/>
  <c r="BC21" i="6"/>
  <c r="BG7" i="6"/>
  <c r="BG6" i="6"/>
  <c r="O22" i="6"/>
  <c r="O43" i="11"/>
  <c r="O36" i="11"/>
  <c r="P36" i="13"/>
  <c r="D102" i="7"/>
  <c r="BE37" i="12"/>
  <c r="BE8" i="12"/>
  <c r="BE39" i="12"/>
  <c r="BE40" i="12" s="1"/>
  <c r="BH5" i="6"/>
  <c r="BI4" i="6"/>
  <c r="BE34" i="12"/>
  <c r="BI4" i="13"/>
  <c r="BH45" i="13"/>
  <c r="BH5" i="13"/>
  <c r="BH33" i="13"/>
  <c r="BF28" i="11" l="1"/>
  <c r="BF19" i="6" s="1"/>
  <c r="BF17" i="6"/>
  <c r="BG6" i="11"/>
  <c r="BG26" i="11" s="1"/>
  <c r="BG7" i="11"/>
  <c r="BH45" i="11"/>
  <c r="BH29" i="6" s="1"/>
  <c r="BH5" i="11"/>
  <c r="BI4" i="11"/>
  <c r="BF39" i="11"/>
  <c r="BF40" i="11" s="1"/>
  <c r="BF24" i="6" s="1"/>
  <c r="BF37" i="11"/>
  <c r="BF8" i="11"/>
  <c r="BE20" i="6"/>
  <c r="BE34" i="11"/>
  <c r="O41" i="11"/>
  <c r="O25" i="6" s="1"/>
  <c r="O23" i="6"/>
  <c r="BH7" i="13"/>
  <c r="BH6" i="13"/>
  <c r="BH26" i="13" s="1"/>
  <c r="BH28" i="13" s="1"/>
  <c r="BG28" i="13"/>
  <c r="BI45" i="13"/>
  <c r="BI5" i="13"/>
  <c r="BJ4" i="13"/>
  <c r="BI33" i="13"/>
  <c r="BG31" i="11"/>
  <c r="BF33" i="11"/>
  <c r="P39" i="12"/>
  <c r="P40" i="12" s="1"/>
  <c r="P38" i="12"/>
  <c r="Q38" i="12" s="1"/>
  <c r="R38" i="12" s="1"/>
  <c r="S38" i="12" s="1"/>
  <c r="T38" i="12" s="1"/>
  <c r="U38" i="12" s="1"/>
  <c r="V38" i="12" s="1"/>
  <c r="W38" i="12" s="1"/>
  <c r="X38" i="12" s="1"/>
  <c r="Y38" i="12" s="1"/>
  <c r="Z38" i="12" s="1"/>
  <c r="AA38" i="12" s="1"/>
  <c r="D103" i="7"/>
  <c r="P37" i="13"/>
  <c r="BD21" i="6"/>
  <c r="O46" i="11"/>
  <c r="O50" i="11"/>
  <c r="O27" i="6"/>
  <c r="O57" i="11"/>
  <c r="BG8" i="6"/>
  <c r="BF28" i="12"/>
  <c r="BF37" i="12"/>
  <c r="BF8" i="12"/>
  <c r="BF39" i="12"/>
  <c r="BF40" i="12" s="1"/>
  <c r="BG39" i="13"/>
  <c r="BG40" i="13" s="1"/>
  <c r="BG37" i="13"/>
  <c r="BG8" i="13"/>
  <c r="BI5" i="6"/>
  <c r="BJ4" i="6"/>
  <c r="BH7" i="6"/>
  <c r="BH8" i="6" s="1"/>
  <c r="BH6" i="6"/>
  <c r="BH45" i="12"/>
  <c r="BH5" i="12"/>
  <c r="BI4" i="12"/>
  <c r="BJ31" i="12"/>
  <c r="BI33" i="12"/>
  <c r="BG6" i="12"/>
  <c r="BG26" i="12" s="1"/>
  <c r="BG28" i="12" s="1"/>
  <c r="BG7" i="12"/>
  <c r="BI5" i="11" l="1"/>
  <c r="BJ4" i="11"/>
  <c r="BI45" i="11"/>
  <c r="BI29" i="6" s="1"/>
  <c r="BG8" i="11"/>
  <c r="BG37" i="11"/>
  <c r="BG39" i="11"/>
  <c r="BG40" i="11" s="1"/>
  <c r="BG24" i="6" s="1"/>
  <c r="BG17" i="6"/>
  <c r="BG28" i="11"/>
  <c r="BG19" i="6" s="1"/>
  <c r="BH7" i="11"/>
  <c r="BH6" i="11"/>
  <c r="BH26" i="11" s="1"/>
  <c r="P39" i="13"/>
  <c r="P40" i="13" s="1"/>
  <c r="P38" i="13"/>
  <c r="Q38" i="13" s="1"/>
  <c r="R38" i="13" s="1"/>
  <c r="S38" i="13" s="1"/>
  <c r="T38" i="13" s="1"/>
  <c r="U38" i="13" s="1"/>
  <c r="V38" i="13" s="1"/>
  <c r="W38" i="13" s="1"/>
  <c r="X38" i="13" s="1"/>
  <c r="Y38" i="13" s="1"/>
  <c r="Z38" i="13" s="1"/>
  <c r="AA38" i="13" s="1"/>
  <c r="D77" i="7"/>
  <c r="P43" i="12"/>
  <c r="P41" i="12"/>
  <c r="D78" i="7" s="1"/>
  <c r="BI7" i="6"/>
  <c r="BI6" i="6"/>
  <c r="BF20" i="6"/>
  <c r="BF34" i="11"/>
  <c r="BK4" i="6"/>
  <c r="BJ5" i="6"/>
  <c r="BG37" i="12"/>
  <c r="BG39" i="12"/>
  <c r="BG40" i="12" s="1"/>
  <c r="BG8" i="12"/>
  <c r="BH31" i="11"/>
  <c r="BG33" i="11"/>
  <c r="BG34" i="13"/>
  <c r="BI7" i="13"/>
  <c r="BI6" i="13"/>
  <c r="BI26" i="13" s="1"/>
  <c r="BI28" i="13" s="1"/>
  <c r="BJ45" i="13"/>
  <c r="BJ5" i="13"/>
  <c r="BK4" i="13"/>
  <c r="BJ33" i="13"/>
  <c r="BH34" i="13"/>
  <c r="O35" i="6"/>
  <c r="O51" i="11"/>
  <c r="O52" i="11" s="1"/>
  <c r="O36" i="6" s="1"/>
  <c r="BK31" i="12"/>
  <c r="BJ33" i="12"/>
  <c r="O59" i="11"/>
  <c r="O58" i="11"/>
  <c r="BI45" i="12"/>
  <c r="BJ4" i="12"/>
  <c r="BI5" i="12"/>
  <c r="O30" i="6"/>
  <c r="O48" i="11"/>
  <c r="BE21" i="6"/>
  <c r="BG34" i="12"/>
  <c r="BF34" i="12"/>
  <c r="BH39" i="13"/>
  <c r="BH40" i="13" s="1"/>
  <c r="BH37" i="13"/>
  <c r="BH8" i="13"/>
  <c r="BH7" i="12"/>
  <c r="BH6" i="12"/>
  <c r="BH26" i="12" s="1"/>
  <c r="BH28" i="12" s="1"/>
  <c r="BH17" i="6" l="1"/>
  <c r="BH28" i="11"/>
  <c r="BH19" i="6" s="1"/>
  <c r="BH39" i="11"/>
  <c r="BH40" i="11" s="1"/>
  <c r="BH24" i="6" s="1"/>
  <c r="BH37" i="11"/>
  <c r="BH8" i="11"/>
  <c r="BK4" i="11"/>
  <c r="BJ5" i="11"/>
  <c r="BJ45" i="11"/>
  <c r="BJ29" i="6" s="1"/>
  <c r="BI6" i="11"/>
  <c r="BI26" i="11" s="1"/>
  <c r="BI7" i="11"/>
  <c r="BH39" i="12"/>
  <c r="BH40" i="12" s="1"/>
  <c r="BH37" i="12"/>
  <c r="BH8" i="12"/>
  <c r="BL31" i="12"/>
  <c r="BI31" i="11"/>
  <c r="BH33" i="11"/>
  <c r="BI8" i="6"/>
  <c r="BG20" i="6"/>
  <c r="BG34" i="11"/>
  <c r="BJ7" i="6"/>
  <c r="BJ6" i="6"/>
  <c r="BL4" i="6"/>
  <c r="BL5" i="6" s="1"/>
  <c r="BK5" i="6"/>
  <c r="O72" i="11"/>
  <c r="P47" i="11"/>
  <c r="O53" i="11"/>
  <c r="O32" i="6"/>
  <c r="BK45" i="13"/>
  <c r="BK5" i="13"/>
  <c r="BL4" i="13"/>
  <c r="BK33" i="13"/>
  <c r="P50" i="12"/>
  <c r="P46" i="12"/>
  <c r="D80" i="7"/>
  <c r="P57" i="12"/>
  <c r="BF21" i="6"/>
  <c r="D104" i="7"/>
  <c r="P43" i="13"/>
  <c r="P41" i="13"/>
  <c r="D105" i="7" s="1"/>
  <c r="BI7" i="12"/>
  <c r="BI6" i="12"/>
  <c r="BI26" i="12" s="1"/>
  <c r="BI28" i="12" s="1"/>
  <c r="BI37" i="13"/>
  <c r="BI8" i="13"/>
  <c r="BI39" i="13"/>
  <c r="BI40" i="13" s="1"/>
  <c r="BJ7" i="13"/>
  <c r="BJ6" i="13"/>
  <c r="BJ26" i="13" s="1"/>
  <c r="BJ28" i="13" s="1"/>
  <c r="BI34" i="13"/>
  <c r="BJ45" i="12"/>
  <c r="BK4" i="12"/>
  <c r="BK33" i="12" s="1"/>
  <c r="BJ5" i="12"/>
  <c r="BH34" i="12"/>
  <c r="BI39" i="11" l="1"/>
  <c r="BI40" i="11" s="1"/>
  <c r="BI24" i="6" s="1"/>
  <c r="BI8" i="11"/>
  <c r="BI37" i="11"/>
  <c r="BJ6" i="11"/>
  <c r="BJ26" i="11" s="1"/>
  <c r="BJ7" i="11"/>
  <c r="BI17" i="6"/>
  <c r="BI28" i="11"/>
  <c r="BI19" i="6" s="1"/>
  <c r="BK45" i="11"/>
  <c r="BK5" i="11"/>
  <c r="BL4" i="11"/>
  <c r="BL6" i="6"/>
  <c r="BL7" i="6"/>
  <c r="BJ8" i="6"/>
  <c r="BJ34" i="13"/>
  <c r="BH20" i="6"/>
  <c r="BH34" i="11"/>
  <c r="P50" i="13"/>
  <c r="P46" i="13"/>
  <c r="D107" i="7"/>
  <c r="P57" i="13"/>
  <c r="P59" i="12"/>
  <c r="P58" i="12"/>
  <c r="P51" i="12"/>
  <c r="P52" i="12" s="1"/>
  <c r="BK7" i="6"/>
  <c r="BK6" i="6"/>
  <c r="D83" i="7"/>
  <c r="P48" i="12"/>
  <c r="BJ31" i="11"/>
  <c r="BI33" i="11"/>
  <c r="BI34" i="12"/>
  <c r="BJ6" i="12"/>
  <c r="BJ26" i="12" s="1"/>
  <c r="BJ28" i="12" s="1"/>
  <c r="BJ7" i="12"/>
  <c r="BI37" i="12"/>
  <c r="BI8" i="12"/>
  <c r="BI39" i="12"/>
  <c r="BI40" i="12" s="1"/>
  <c r="P35" i="11"/>
  <c r="P31" i="6"/>
  <c r="BL4" i="12"/>
  <c r="BL33" i="12" s="1"/>
  <c r="BK45" i="12"/>
  <c r="BK5" i="12"/>
  <c r="BG21" i="6"/>
  <c r="BJ37" i="13"/>
  <c r="BJ8" i="13"/>
  <c r="BJ39" i="13"/>
  <c r="BJ40" i="13" s="1"/>
  <c r="D31" i="12"/>
  <c r="BL45" i="13"/>
  <c r="BL5" i="13"/>
  <c r="BL33" i="13"/>
  <c r="BK7" i="13"/>
  <c r="BK6" i="13"/>
  <c r="BK26" i="13" s="1"/>
  <c r="BK28" i="13" s="1"/>
  <c r="BL45" i="11" l="1"/>
  <c r="BL29" i="6" s="1"/>
  <c r="BL5" i="11"/>
  <c r="BK7" i="11"/>
  <c r="BK6" i="11"/>
  <c r="BK26" i="11" s="1"/>
  <c r="BK29" i="6"/>
  <c r="D45" i="11"/>
  <c r="BL8" i="6"/>
  <c r="BJ39" i="11"/>
  <c r="BJ40" i="11" s="1"/>
  <c r="BJ24" i="6" s="1"/>
  <c r="BJ37" i="11"/>
  <c r="BJ8" i="11"/>
  <c r="H55" i="7"/>
  <c r="BJ28" i="11"/>
  <c r="BJ17" i="6"/>
  <c r="D33" i="12"/>
  <c r="H74" i="7"/>
  <c r="I74" i="7" s="1"/>
  <c r="BK7" i="12"/>
  <c r="BK6" i="12"/>
  <c r="BK26" i="12" s="1"/>
  <c r="BK28" i="12" s="1"/>
  <c r="BK39" i="13"/>
  <c r="BK40" i="13" s="1"/>
  <c r="BK37" i="13"/>
  <c r="BK8" i="13"/>
  <c r="P59" i="13"/>
  <c r="P58" i="13"/>
  <c r="BJ39" i="12"/>
  <c r="BJ40" i="12" s="1"/>
  <c r="BJ37" i="12"/>
  <c r="BJ8" i="12"/>
  <c r="BK8" i="6"/>
  <c r="BL7" i="13"/>
  <c r="BL6" i="13"/>
  <c r="BL26" i="13" s="1"/>
  <c r="D45" i="13"/>
  <c r="H109" i="7"/>
  <c r="I109" i="7" s="1"/>
  <c r="BI20" i="6"/>
  <c r="BI34" i="11"/>
  <c r="P22" i="6"/>
  <c r="P36" i="11"/>
  <c r="D48" i="7"/>
  <c r="BJ34" i="12"/>
  <c r="BK31" i="11"/>
  <c r="BJ33" i="11"/>
  <c r="BL45" i="12"/>
  <c r="BL5" i="12"/>
  <c r="P51" i="13"/>
  <c r="BH21" i="6"/>
  <c r="BK34" i="13"/>
  <c r="D33" i="13"/>
  <c r="H101" i="7"/>
  <c r="I101" i="7" s="1"/>
  <c r="D110" i="7"/>
  <c r="P48" i="13"/>
  <c r="P53" i="12"/>
  <c r="Q47" i="12"/>
  <c r="P72" i="12"/>
  <c r="D84" i="7"/>
  <c r="BJ19" i="6" l="1"/>
  <c r="D48" i="8"/>
  <c r="D25" i="8" s="1"/>
  <c r="G18" i="5"/>
  <c r="C18" i="5"/>
  <c r="D29" i="6"/>
  <c r="BK28" i="11"/>
  <c r="BK19" i="6" s="1"/>
  <c r="BK17" i="6"/>
  <c r="H28" i="7"/>
  <c r="I55" i="7"/>
  <c r="I28" i="7" s="1"/>
  <c r="BK39" i="11"/>
  <c r="BK40" i="11" s="1"/>
  <c r="BK24" i="6" s="1"/>
  <c r="BK8" i="11"/>
  <c r="BK37" i="11"/>
  <c r="P52" i="13"/>
  <c r="BL6" i="11"/>
  <c r="BL26" i="11" s="1"/>
  <c r="H43" i="7" s="1"/>
  <c r="BL7" i="11"/>
  <c r="BL8" i="11" s="1"/>
  <c r="BL7" i="12"/>
  <c r="BL6" i="12"/>
  <c r="BL26" i="12" s="1"/>
  <c r="D45" i="12"/>
  <c r="H82" i="7"/>
  <c r="I82" i="7" s="1"/>
  <c r="BL31" i="11"/>
  <c r="BK33" i="11"/>
  <c r="P72" i="13"/>
  <c r="Q47" i="13"/>
  <c r="P53" i="13"/>
  <c r="D111" i="7"/>
  <c r="BK34" i="12"/>
  <c r="D26" i="13"/>
  <c r="BL28" i="13"/>
  <c r="H97" i="7"/>
  <c r="I97" i="7" s="1"/>
  <c r="BL8" i="13"/>
  <c r="BJ20" i="6"/>
  <c r="BJ34" i="11"/>
  <c r="Q35" i="12"/>
  <c r="D21" i="7"/>
  <c r="P23" i="6"/>
  <c r="D49" i="7"/>
  <c r="P37" i="11"/>
  <c r="BI21" i="6"/>
  <c r="D94" i="8"/>
  <c r="I18" i="5"/>
  <c r="BK39" i="12"/>
  <c r="BK40" i="12" s="1"/>
  <c r="BK37" i="12"/>
  <c r="BK8" i="12"/>
  <c r="I43" i="7" l="1"/>
  <c r="I16" i="7" s="1"/>
  <c r="D34" i="9"/>
  <c r="E34" i="9" s="1"/>
  <c r="H16" i="7"/>
  <c r="D26" i="11"/>
  <c r="D17" i="6" s="1"/>
  <c r="BL17" i="6"/>
  <c r="BL28" i="11"/>
  <c r="Q35" i="13"/>
  <c r="D31" i="11"/>
  <c r="BL33" i="11"/>
  <c r="P39" i="11"/>
  <c r="P40" i="11" s="1"/>
  <c r="P38" i="11"/>
  <c r="Q38" i="11" s="1"/>
  <c r="R38" i="11" s="1"/>
  <c r="S38" i="11" s="1"/>
  <c r="T38" i="11" s="1"/>
  <c r="U38" i="11" s="1"/>
  <c r="V38" i="11" s="1"/>
  <c r="W38" i="11" s="1"/>
  <c r="X38" i="11" s="1"/>
  <c r="Y38" i="11" s="1"/>
  <c r="Z38" i="11" s="1"/>
  <c r="AA38" i="11" s="1"/>
  <c r="BK20" i="6"/>
  <c r="BK34" i="11"/>
  <c r="Q43" i="12"/>
  <c r="Q36" i="12"/>
  <c r="BJ21" i="6"/>
  <c r="D26" i="12"/>
  <c r="BL28" i="12"/>
  <c r="H70" i="7"/>
  <c r="I70" i="7" s="1"/>
  <c r="BL55" i="13"/>
  <c r="BK55" i="13" s="1"/>
  <c r="BJ55" i="13" s="1"/>
  <c r="BI55" i="13" s="1"/>
  <c r="BH55" i="13" s="1"/>
  <c r="BG55" i="13" s="1"/>
  <c r="BF55" i="13" s="1"/>
  <c r="BE55" i="13" s="1"/>
  <c r="BD55" i="13" s="1"/>
  <c r="BC55" i="13" s="1"/>
  <c r="BB55" i="13" s="1"/>
  <c r="BA55" i="13" s="1"/>
  <c r="AZ55" i="13" s="1"/>
  <c r="AY55" i="13" s="1"/>
  <c r="AX55" i="13" s="1"/>
  <c r="AW55" i="13" s="1"/>
  <c r="AV55" i="13" s="1"/>
  <c r="AU55" i="13" s="1"/>
  <c r="AT55" i="13" s="1"/>
  <c r="AS55" i="13" s="1"/>
  <c r="AR55" i="13" s="1"/>
  <c r="AQ55" i="13" s="1"/>
  <c r="AP55" i="13" s="1"/>
  <c r="AO55" i="13" s="1"/>
  <c r="AN55" i="13" s="1"/>
  <c r="AM55" i="13" s="1"/>
  <c r="AL55" i="13" s="1"/>
  <c r="AK55" i="13" s="1"/>
  <c r="AJ55" i="13" s="1"/>
  <c r="AI55" i="13" s="1"/>
  <c r="AH55" i="13" s="1"/>
  <c r="AG55" i="13" s="1"/>
  <c r="AF55" i="13" s="1"/>
  <c r="AE55" i="13" s="1"/>
  <c r="AD55" i="13" s="1"/>
  <c r="AC55" i="13" s="1"/>
  <c r="AB55" i="13" s="1"/>
  <c r="AA55" i="13" s="1"/>
  <c r="Z55" i="13" s="1"/>
  <c r="Y55" i="13" s="1"/>
  <c r="X55" i="13" s="1"/>
  <c r="W55" i="13" s="1"/>
  <c r="V55" i="13" s="1"/>
  <c r="U55" i="13" s="1"/>
  <c r="T55" i="13" s="1"/>
  <c r="S55" i="13" s="1"/>
  <c r="R55" i="13" s="1"/>
  <c r="Q55" i="13" s="1"/>
  <c r="P55" i="13" s="1"/>
  <c r="O55" i="13" s="1"/>
  <c r="N55" i="13" s="1"/>
  <c r="M55" i="13" s="1"/>
  <c r="L55" i="13" s="1"/>
  <c r="K55" i="13" s="1"/>
  <c r="J55" i="13" s="1"/>
  <c r="I55" i="13" s="1"/>
  <c r="H55" i="13" s="1"/>
  <c r="G55" i="13" s="1"/>
  <c r="F55" i="13" s="1"/>
  <c r="E55" i="13" s="1"/>
  <c r="BL34" i="13"/>
  <c r="D28" i="13"/>
  <c r="H99" i="7"/>
  <c r="BL8" i="12"/>
  <c r="D22" i="7"/>
  <c r="D71" i="8"/>
  <c r="H18" i="5"/>
  <c r="BL19" i="6" l="1"/>
  <c r="BL55" i="11"/>
  <c r="BK55" i="11" s="1"/>
  <c r="BJ55" i="11" s="1"/>
  <c r="BI55" i="11" s="1"/>
  <c r="BH55" i="11" s="1"/>
  <c r="BG55" i="11" s="1"/>
  <c r="BF55" i="11" s="1"/>
  <c r="BE55" i="11" s="1"/>
  <c r="BD55" i="11" s="1"/>
  <c r="BC55" i="11" s="1"/>
  <c r="BB55" i="11" s="1"/>
  <c r="BA55" i="11" s="1"/>
  <c r="AZ55" i="11" s="1"/>
  <c r="AY55" i="11" s="1"/>
  <c r="AX55" i="11" s="1"/>
  <c r="AW55" i="11" s="1"/>
  <c r="AV55" i="11" s="1"/>
  <c r="AU55" i="11" s="1"/>
  <c r="AT55" i="11" s="1"/>
  <c r="AS55" i="11" s="1"/>
  <c r="AR55" i="11" s="1"/>
  <c r="AQ55" i="11" s="1"/>
  <c r="AP55" i="11" s="1"/>
  <c r="AO55" i="11" s="1"/>
  <c r="AN55" i="11" s="1"/>
  <c r="AM55" i="11" s="1"/>
  <c r="AL55" i="11" s="1"/>
  <c r="AK55" i="11" s="1"/>
  <c r="AJ55" i="11" s="1"/>
  <c r="AI55" i="11" s="1"/>
  <c r="AH55" i="11" s="1"/>
  <c r="AG55" i="11" s="1"/>
  <c r="AF55" i="11" s="1"/>
  <c r="AE55" i="11" s="1"/>
  <c r="AD55" i="11" s="1"/>
  <c r="AC55" i="11" s="1"/>
  <c r="AB55" i="11" s="1"/>
  <c r="AA55" i="11" s="1"/>
  <c r="Z55" i="11" s="1"/>
  <c r="Y55" i="11" s="1"/>
  <c r="X55" i="11" s="1"/>
  <c r="W55" i="11" s="1"/>
  <c r="V55" i="11" s="1"/>
  <c r="U55" i="11" s="1"/>
  <c r="T55" i="11" s="1"/>
  <c r="S55" i="11" s="1"/>
  <c r="R55" i="11" s="1"/>
  <c r="Q55" i="11" s="1"/>
  <c r="P55" i="11" s="1"/>
  <c r="O55" i="11" s="1"/>
  <c r="N55" i="11" s="1"/>
  <c r="M55" i="11" s="1"/>
  <c r="L55" i="11" s="1"/>
  <c r="K55" i="11" s="1"/>
  <c r="J55" i="11" s="1"/>
  <c r="I55" i="11" s="1"/>
  <c r="H55" i="11" s="1"/>
  <c r="G55" i="11" s="1"/>
  <c r="F55" i="11" s="1"/>
  <c r="E55" i="11" s="1"/>
  <c r="D28" i="11"/>
  <c r="D19" i="6" s="1"/>
  <c r="H45" i="7"/>
  <c r="Q41" i="12"/>
  <c r="D55" i="13"/>
  <c r="D60" i="13"/>
  <c r="D61" i="13" s="1"/>
  <c r="I14" i="5" s="1"/>
  <c r="BK21" i="6"/>
  <c r="Q50" i="12"/>
  <c r="Q46" i="12"/>
  <c r="Q57" i="12"/>
  <c r="I7" i="5"/>
  <c r="H100" i="7"/>
  <c r="I8" i="5" s="1"/>
  <c r="I99" i="7"/>
  <c r="I100" i="7" s="1"/>
  <c r="D34" i="13"/>
  <c r="BL20" i="6"/>
  <c r="D33" i="11"/>
  <c r="D20" i="6" s="1"/>
  <c r="H47" i="7"/>
  <c r="BL34" i="11"/>
  <c r="Q43" i="13"/>
  <c r="Q36" i="13"/>
  <c r="BL34" i="12"/>
  <c r="BL55" i="12"/>
  <c r="BK55" i="12" s="1"/>
  <c r="BJ55" i="12" s="1"/>
  <c r="BI55" i="12" s="1"/>
  <c r="BH55" i="12" s="1"/>
  <c r="BG55" i="12" s="1"/>
  <c r="BF55" i="12" s="1"/>
  <c r="BE55" i="12" s="1"/>
  <c r="BD55" i="12" s="1"/>
  <c r="BC55" i="12" s="1"/>
  <c r="BB55" i="12" s="1"/>
  <c r="BA55" i="12" s="1"/>
  <c r="AZ55" i="12" s="1"/>
  <c r="AY55" i="12" s="1"/>
  <c r="AX55" i="12" s="1"/>
  <c r="AW55" i="12" s="1"/>
  <c r="AV55" i="12" s="1"/>
  <c r="AU55" i="12" s="1"/>
  <c r="AT55" i="12" s="1"/>
  <c r="AS55" i="12" s="1"/>
  <c r="AR55" i="12" s="1"/>
  <c r="AQ55" i="12" s="1"/>
  <c r="AP55" i="12" s="1"/>
  <c r="AO55" i="12" s="1"/>
  <c r="AN55" i="12" s="1"/>
  <c r="AM55" i="12" s="1"/>
  <c r="AL55" i="12" s="1"/>
  <c r="AK55" i="12" s="1"/>
  <c r="AJ55" i="12" s="1"/>
  <c r="AI55" i="12" s="1"/>
  <c r="AH55" i="12" s="1"/>
  <c r="AG55" i="12" s="1"/>
  <c r="AF55" i="12" s="1"/>
  <c r="AE55" i="12" s="1"/>
  <c r="AD55" i="12" s="1"/>
  <c r="AC55" i="12" s="1"/>
  <c r="AB55" i="12" s="1"/>
  <c r="AA55" i="12" s="1"/>
  <c r="Z55" i="12" s="1"/>
  <c r="Y55" i="12" s="1"/>
  <c r="X55" i="12" s="1"/>
  <c r="W55" i="12" s="1"/>
  <c r="V55" i="12" s="1"/>
  <c r="U55" i="12" s="1"/>
  <c r="T55" i="12" s="1"/>
  <c r="S55" i="12" s="1"/>
  <c r="R55" i="12" s="1"/>
  <c r="Q55" i="12" s="1"/>
  <c r="P55" i="12" s="1"/>
  <c r="O55" i="12" s="1"/>
  <c r="N55" i="12" s="1"/>
  <c r="M55" i="12" s="1"/>
  <c r="L55" i="12" s="1"/>
  <c r="K55" i="12" s="1"/>
  <c r="J55" i="12" s="1"/>
  <c r="I55" i="12" s="1"/>
  <c r="H55" i="12" s="1"/>
  <c r="G55" i="12" s="1"/>
  <c r="F55" i="12" s="1"/>
  <c r="E55" i="12" s="1"/>
  <c r="D28" i="12"/>
  <c r="H72" i="7"/>
  <c r="P24" i="6"/>
  <c r="D50" i="7"/>
  <c r="P43" i="11"/>
  <c r="P41" i="11"/>
  <c r="D36" i="9" l="1"/>
  <c r="E36" i="9" s="1"/>
  <c r="E37" i="9" s="1"/>
  <c r="H18" i="7"/>
  <c r="C18" i="1" s="1"/>
  <c r="G7" i="5"/>
  <c r="H22" i="9"/>
  <c r="H46" i="7"/>
  <c r="I45" i="7"/>
  <c r="C7" i="5"/>
  <c r="D60" i="11"/>
  <c r="D55" i="11"/>
  <c r="Q59" i="12"/>
  <c r="Q58" i="12"/>
  <c r="Q50" i="13"/>
  <c r="Q46" i="13"/>
  <c r="Q57" i="13"/>
  <c r="D23" i="7"/>
  <c r="P25" i="6"/>
  <c r="D51" i="7"/>
  <c r="Q48" i="12"/>
  <c r="Q41" i="13"/>
  <c r="H20" i="7"/>
  <c r="I47" i="7"/>
  <c r="I20" i="7" s="1"/>
  <c r="Q51" i="12"/>
  <c r="D60" i="12"/>
  <c r="D61" i="12" s="1"/>
  <c r="H14" i="5" s="1"/>
  <c r="D55" i="12"/>
  <c r="BL21" i="6"/>
  <c r="D34" i="11"/>
  <c r="D21" i="6" s="1"/>
  <c r="P46" i="11"/>
  <c r="P50" i="11"/>
  <c r="P27" i="6"/>
  <c r="D53" i="7"/>
  <c r="P57" i="11"/>
  <c r="H7" i="5"/>
  <c r="H73" i="7"/>
  <c r="H8" i="5" s="1"/>
  <c r="I72" i="7"/>
  <c r="I73" i="7" s="1"/>
  <c r="D34" i="12"/>
  <c r="H23" i="9" l="1"/>
  <c r="I22" i="9"/>
  <c r="I23" i="9" s="1"/>
  <c r="I18" i="7"/>
  <c r="I46" i="7"/>
  <c r="I19" i="7" s="1"/>
  <c r="D61" i="11"/>
  <c r="E41" i="9"/>
  <c r="G8" i="5"/>
  <c r="H19" i="7"/>
  <c r="C8" i="5"/>
  <c r="Q72" i="12"/>
  <c r="R47" i="12"/>
  <c r="Q53" i="12"/>
  <c r="D24" i="7"/>
  <c r="Q52" i="12"/>
  <c r="D26" i="7"/>
  <c r="Q48" i="13"/>
  <c r="P30" i="6"/>
  <c r="D56" i="7"/>
  <c r="P48" i="11"/>
  <c r="Q51" i="13"/>
  <c r="Q52" i="13" s="1"/>
  <c r="P59" i="11"/>
  <c r="P58" i="11"/>
  <c r="Q59" i="13"/>
  <c r="Q58" i="13"/>
  <c r="P35" i="6"/>
  <c r="P51" i="11"/>
  <c r="D41" i="9" l="1"/>
  <c r="C22" i="1"/>
  <c r="C14" i="5"/>
  <c r="G14" i="5"/>
  <c r="Q53" i="13"/>
  <c r="Q72" i="13"/>
  <c r="R47" i="13"/>
  <c r="P72" i="11"/>
  <c r="P53" i="11"/>
  <c r="Q47" i="11"/>
  <c r="D57" i="7"/>
  <c r="P32" i="6"/>
  <c r="D29" i="7"/>
  <c r="P52" i="11"/>
  <c r="P36" i="6" s="1"/>
  <c r="R35" i="12"/>
  <c r="R43" i="12" l="1"/>
  <c r="R36" i="12"/>
  <c r="D25" i="9"/>
  <c r="D26" i="9" s="1"/>
  <c r="D30" i="7"/>
  <c r="Q35" i="11"/>
  <c r="Q31" i="6"/>
  <c r="R35" i="13"/>
  <c r="Q22" i="6" l="1"/>
  <c r="Q43" i="11"/>
  <c r="Q36" i="11"/>
  <c r="R41" i="12"/>
  <c r="R43" i="13"/>
  <c r="R36" i="13"/>
  <c r="R50" i="12"/>
  <c r="R46" i="12"/>
  <c r="R57" i="12"/>
  <c r="R59" i="12" l="1"/>
  <c r="R58" i="12"/>
  <c r="R48" i="12"/>
  <c r="R41" i="13"/>
  <c r="R51" i="12"/>
  <c r="R52" i="12" s="1"/>
  <c r="R50" i="13"/>
  <c r="R46" i="13"/>
  <c r="R57" i="13"/>
  <c r="Q41" i="11"/>
  <c r="Q23" i="6"/>
  <c r="Q50" i="11"/>
  <c r="Q46" i="11"/>
  <c r="Q27" i="6"/>
  <c r="Q57" i="11"/>
  <c r="Q30" i="6" l="1"/>
  <c r="Q48" i="11"/>
  <c r="Q25" i="6"/>
  <c r="R59" i="13"/>
  <c r="R58" i="13"/>
  <c r="R51" i="13"/>
  <c r="Q59" i="11"/>
  <c r="Q58" i="11"/>
  <c r="Q35" i="6"/>
  <c r="Q51" i="11"/>
  <c r="Q52" i="11" s="1"/>
  <c r="Q36" i="6" s="1"/>
  <c r="R48" i="13"/>
  <c r="R72" i="12"/>
  <c r="S47" i="12"/>
  <c r="R53" i="12"/>
  <c r="R52" i="13" l="1"/>
  <c r="S35" i="12"/>
  <c r="S47" i="13"/>
  <c r="R72" i="13"/>
  <c r="R53" i="13"/>
  <c r="Q72" i="11"/>
  <c r="Q53" i="11"/>
  <c r="Q32" i="6"/>
  <c r="R47" i="11"/>
  <c r="S35" i="13" l="1"/>
  <c r="R35" i="11"/>
  <c r="R31" i="6"/>
  <c r="S43" i="12"/>
  <c r="S36" i="12"/>
  <c r="S41" i="12" l="1"/>
  <c r="S50" i="12"/>
  <c r="S46" i="12"/>
  <c r="S57" i="12"/>
  <c r="R22" i="6"/>
  <c r="R43" i="11"/>
  <c r="R36" i="11"/>
  <c r="S43" i="13"/>
  <c r="S36" i="13"/>
  <c r="R46" i="11" l="1"/>
  <c r="R50" i="11"/>
  <c r="R27" i="6"/>
  <c r="R57" i="11"/>
  <c r="S50" i="13"/>
  <c r="S46" i="13"/>
  <c r="S57" i="13"/>
  <c r="S41" i="13"/>
  <c r="R41" i="11"/>
  <c r="R23" i="6"/>
  <c r="S59" i="12"/>
  <c r="S58" i="12"/>
  <c r="S48" i="12"/>
  <c r="S51" i="12"/>
  <c r="T47" i="12" l="1"/>
  <c r="S53" i="12"/>
  <c r="S72" i="12"/>
  <c r="S48" i="13"/>
  <c r="R25" i="6"/>
  <c r="R59" i="11"/>
  <c r="R58" i="11"/>
  <c r="S59" i="13"/>
  <c r="S58" i="13"/>
  <c r="S51" i="13"/>
  <c r="S52" i="13" s="1"/>
  <c r="R30" i="6"/>
  <c r="R48" i="11"/>
  <c r="R35" i="6"/>
  <c r="R51" i="11"/>
  <c r="S52" i="12"/>
  <c r="S47" i="11" l="1"/>
  <c r="R72" i="11"/>
  <c r="R53" i="11"/>
  <c r="R32" i="6"/>
  <c r="R52" i="11"/>
  <c r="R36" i="6" s="1"/>
  <c r="T47" i="13"/>
  <c r="S53" i="13"/>
  <c r="S72" i="13"/>
  <c r="T35" i="12"/>
  <c r="T43" i="12" l="1"/>
  <c r="T36" i="12"/>
  <c r="T35" i="13"/>
  <c r="S35" i="11"/>
  <c r="S31" i="6"/>
  <c r="S22" i="6" l="1"/>
  <c r="S43" i="11"/>
  <c r="S36" i="11"/>
  <c r="T43" i="13"/>
  <c r="T36" i="13"/>
  <c r="T41" i="12"/>
  <c r="T50" i="12"/>
  <c r="T46" i="12"/>
  <c r="T57" i="12"/>
  <c r="T59" i="12" l="1"/>
  <c r="T58" i="12"/>
  <c r="T48" i="12"/>
  <c r="T51" i="12"/>
  <c r="T52" i="12" s="1"/>
  <c r="T41" i="13"/>
  <c r="T50" i="13"/>
  <c r="T46" i="13"/>
  <c r="T57" i="13"/>
  <c r="S41" i="11"/>
  <c r="S23" i="6"/>
  <c r="S46" i="11"/>
  <c r="S50" i="11"/>
  <c r="S27" i="6"/>
  <c r="S57" i="11"/>
  <c r="T48" i="13" l="1"/>
  <c r="S30" i="6"/>
  <c r="S48" i="11"/>
  <c r="T51" i="13"/>
  <c r="T52" i="13" s="1"/>
  <c r="S25" i="6"/>
  <c r="T72" i="12"/>
  <c r="U47" i="12"/>
  <c r="T53" i="12"/>
  <c r="S59" i="11"/>
  <c r="S58" i="11"/>
  <c r="S35" i="6"/>
  <c r="S51" i="11"/>
  <c r="S52" i="11" s="1"/>
  <c r="S36" i="6" s="1"/>
  <c r="T59" i="13"/>
  <c r="T58" i="13"/>
  <c r="S72" i="11" l="1"/>
  <c r="S53" i="11"/>
  <c r="T47" i="11"/>
  <c r="S32" i="6"/>
  <c r="U35" i="12"/>
  <c r="U47" i="13"/>
  <c r="T53" i="13"/>
  <c r="T72" i="13"/>
  <c r="U35" i="13" l="1"/>
  <c r="T35" i="11"/>
  <c r="T31" i="6"/>
  <c r="U43" i="12"/>
  <c r="U36" i="12"/>
  <c r="U46" i="12" l="1"/>
  <c r="U50" i="12"/>
  <c r="U57" i="12"/>
  <c r="U41" i="12"/>
  <c r="T22" i="6"/>
  <c r="T43" i="11"/>
  <c r="T36" i="11"/>
  <c r="U43" i="13"/>
  <c r="U36" i="13"/>
  <c r="U41" i="13" l="1"/>
  <c r="U59" i="12"/>
  <c r="U58" i="12"/>
  <c r="U51" i="12"/>
  <c r="U50" i="13"/>
  <c r="U46" i="13"/>
  <c r="U57" i="13"/>
  <c r="T41" i="11"/>
  <c r="T23" i="6"/>
  <c r="T50" i="11"/>
  <c r="T46" i="11"/>
  <c r="T27" i="6"/>
  <c r="T57" i="11"/>
  <c r="U48" i="12"/>
  <c r="U52" i="12" l="1"/>
  <c r="T25" i="6"/>
  <c r="U59" i="13"/>
  <c r="U58" i="13"/>
  <c r="T35" i="6"/>
  <c r="T51" i="11"/>
  <c r="U48" i="13"/>
  <c r="U51" i="13"/>
  <c r="U52" i="13" s="1"/>
  <c r="T59" i="11"/>
  <c r="T58" i="11"/>
  <c r="T30" i="6"/>
  <c r="T48" i="11"/>
  <c r="V47" i="12"/>
  <c r="U72" i="12"/>
  <c r="U53" i="12"/>
  <c r="V35" i="12" l="1"/>
  <c r="T72" i="11"/>
  <c r="T53" i="11"/>
  <c r="U47" i="11"/>
  <c r="T32" i="6"/>
  <c r="V47" i="13"/>
  <c r="U72" i="13"/>
  <c r="U53" i="13"/>
  <c r="T52" i="11"/>
  <c r="T36" i="6" s="1"/>
  <c r="V35" i="13" l="1"/>
  <c r="U35" i="11"/>
  <c r="U31" i="6"/>
  <c r="V43" i="12"/>
  <c r="V36" i="12"/>
  <c r="V41" i="12" s="1"/>
  <c r="V46" i="12" l="1"/>
  <c r="V48" i="12" s="1"/>
  <c r="V50" i="12"/>
  <c r="V57" i="12"/>
  <c r="U22" i="6"/>
  <c r="U43" i="11"/>
  <c r="U36" i="11"/>
  <c r="V43" i="13"/>
  <c r="V36" i="13"/>
  <c r="V41" i="13" s="1"/>
  <c r="U50" i="11" l="1"/>
  <c r="U46" i="11"/>
  <c r="U27" i="6"/>
  <c r="U57" i="11"/>
  <c r="V46" i="13"/>
  <c r="V48" i="13" s="1"/>
  <c r="V50" i="13"/>
  <c r="V57" i="13"/>
  <c r="U41" i="11"/>
  <c r="U23" i="6"/>
  <c r="V59" i="12"/>
  <c r="V58" i="12"/>
  <c r="V51" i="12"/>
  <c r="V52" i="12" s="1"/>
  <c r="V72" i="12"/>
  <c r="W47" i="12"/>
  <c r="V53" i="12"/>
  <c r="V53" i="13" l="1"/>
  <c r="V72" i="13"/>
  <c r="W47" i="13"/>
  <c r="U59" i="11"/>
  <c r="U58" i="11"/>
  <c r="U30" i="6"/>
  <c r="U48" i="11"/>
  <c r="W35" i="12"/>
  <c r="V59" i="13"/>
  <c r="V58" i="13"/>
  <c r="V51" i="13"/>
  <c r="V52" i="13" s="1"/>
  <c r="U35" i="6"/>
  <c r="U51" i="11"/>
  <c r="U52" i="11" s="1"/>
  <c r="U36" i="6" s="1"/>
  <c r="U25" i="6"/>
  <c r="W43" i="12" l="1"/>
  <c r="W36" i="12"/>
  <c r="W41" i="12" s="1"/>
  <c r="W35" i="13"/>
  <c r="U72" i="11"/>
  <c r="U53" i="11"/>
  <c r="V47" i="11"/>
  <c r="U32" i="6"/>
  <c r="V35" i="11" l="1"/>
  <c r="V31" i="6"/>
  <c r="W43" i="13"/>
  <c r="W36" i="13"/>
  <c r="W41" i="13" s="1"/>
  <c r="W46" i="12"/>
  <c r="W48" i="12" s="1"/>
  <c r="W50" i="12"/>
  <c r="W57" i="12"/>
  <c r="W59" i="12" l="1"/>
  <c r="W58" i="12"/>
  <c r="W72" i="12"/>
  <c r="X47" i="12"/>
  <c r="W53" i="12"/>
  <c r="W50" i="13"/>
  <c r="W46" i="13"/>
  <c r="W48" i="13" s="1"/>
  <c r="W57" i="13"/>
  <c r="W51" i="12"/>
  <c r="W52" i="12" s="1"/>
  <c r="V22" i="6"/>
  <c r="V43" i="11"/>
  <c r="V36" i="11"/>
  <c r="V46" i="11" l="1"/>
  <c r="V50" i="11"/>
  <c r="V27" i="6"/>
  <c r="V57" i="11"/>
  <c r="W51" i="13"/>
  <c r="W52" i="13" s="1"/>
  <c r="V41" i="11"/>
  <c r="V25" i="6" s="1"/>
  <c r="V23" i="6"/>
  <c r="W59" i="13"/>
  <c r="W58" i="13"/>
  <c r="W53" i="13"/>
  <c r="W72" i="13"/>
  <c r="X47" i="13"/>
  <c r="X35" i="12"/>
  <c r="X35" i="13" l="1"/>
  <c r="X43" i="12"/>
  <c r="X36" i="12"/>
  <c r="X41" i="12" s="1"/>
  <c r="V30" i="6"/>
  <c r="V48" i="11"/>
  <c r="V59" i="11"/>
  <c r="V58" i="11"/>
  <c r="V35" i="6"/>
  <c r="V51" i="11"/>
  <c r="V72" i="11" l="1"/>
  <c r="V53" i="11"/>
  <c r="W47" i="11"/>
  <c r="V32" i="6"/>
  <c r="V52" i="11"/>
  <c r="V36" i="6" s="1"/>
  <c r="X43" i="13"/>
  <c r="X36" i="13"/>
  <c r="X41" i="13" s="1"/>
  <c r="X46" i="12"/>
  <c r="X48" i="12" s="1"/>
  <c r="X50" i="12"/>
  <c r="X57" i="12"/>
  <c r="X59" i="12" l="1"/>
  <c r="X58" i="12"/>
  <c r="X72" i="12"/>
  <c r="Y47" i="12"/>
  <c r="X53" i="12"/>
  <c r="X46" i="13"/>
  <c r="X48" i="13" s="1"/>
  <c r="X50" i="13"/>
  <c r="X57" i="13"/>
  <c r="W35" i="11"/>
  <c r="W31" i="6"/>
  <c r="X51" i="12"/>
  <c r="X52" i="12" s="1"/>
  <c r="W22" i="6" l="1"/>
  <c r="W43" i="11"/>
  <c r="W36" i="11"/>
  <c r="X59" i="13"/>
  <c r="X58" i="13"/>
  <c r="X51" i="13"/>
  <c r="X52" i="13" s="1"/>
  <c r="X53" i="13"/>
  <c r="X72" i="13"/>
  <c r="Y47" i="13"/>
  <c r="Y35" i="12"/>
  <c r="Y43" i="12" l="1"/>
  <c r="Y36" i="12"/>
  <c r="Y41" i="12" s="1"/>
  <c r="Y35" i="13"/>
  <c r="W46" i="11"/>
  <c r="W50" i="11"/>
  <c r="W27" i="6"/>
  <c r="W57" i="11"/>
  <c r="W41" i="11"/>
  <c r="W25" i="6" s="1"/>
  <c r="W23" i="6"/>
  <c r="W59" i="11" l="1"/>
  <c r="W58" i="11"/>
  <c r="W30" i="6"/>
  <c r="W48" i="11"/>
  <c r="W35" i="6"/>
  <c r="W51" i="11"/>
  <c r="W52" i="11" s="1"/>
  <c r="W36" i="6" s="1"/>
  <c r="Y43" i="13"/>
  <c r="Y36" i="13"/>
  <c r="Y41" i="13" s="1"/>
  <c r="Y46" i="12"/>
  <c r="Y48" i="12" s="1"/>
  <c r="Y50" i="12"/>
  <c r="Y57" i="12"/>
  <c r="Y72" i="12" l="1"/>
  <c r="Z47" i="12"/>
  <c r="Y53" i="12"/>
  <c r="Y59" i="12"/>
  <c r="Y58" i="12"/>
  <c r="Y51" i="12"/>
  <c r="Y52" i="12" s="1"/>
  <c r="W72" i="11"/>
  <c r="W53" i="11"/>
  <c r="X47" i="11"/>
  <c r="W32" i="6"/>
  <c r="Y46" i="13"/>
  <c r="Y48" i="13" s="1"/>
  <c r="Y50" i="13"/>
  <c r="Y57" i="13"/>
  <c r="Y51" i="13" l="1"/>
  <c r="Y52" i="13" s="1"/>
  <c r="Y59" i="13"/>
  <c r="Y58" i="13"/>
  <c r="Y53" i="13"/>
  <c r="Y72" i="13"/>
  <c r="Z47" i="13"/>
  <c r="Z35" i="12"/>
  <c r="X35" i="11"/>
  <c r="X31" i="6"/>
  <c r="Z43" i="12" l="1"/>
  <c r="Z36" i="12"/>
  <c r="Z41" i="12" s="1"/>
  <c r="X22" i="6"/>
  <c r="X43" i="11"/>
  <c r="X36" i="11"/>
  <c r="Z35" i="13"/>
  <c r="Z43" i="13" l="1"/>
  <c r="Z36" i="13"/>
  <c r="Z41" i="13" s="1"/>
  <c r="X41" i="11"/>
  <c r="X25" i="6" s="1"/>
  <c r="X23" i="6"/>
  <c r="X46" i="11"/>
  <c r="X50" i="11"/>
  <c r="X27" i="6"/>
  <c r="X57" i="11"/>
  <c r="Z46" i="12"/>
  <c r="Z48" i="12" s="1"/>
  <c r="Z50" i="12"/>
  <c r="Z57" i="12"/>
  <c r="Z59" i="12" l="1"/>
  <c r="Z58" i="12"/>
  <c r="X59" i="11"/>
  <c r="X58" i="11"/>
  <c r="Z72" i="12"/>
  <c r="AA47" i="12"/>
  <c r="Z53" i="12"/>
  <c r="X35" i="6"/>
  <c r="X51" i="11"/>
  <c r="Z51" i="12"/>
  <c r="Z52" i="12" s="1"/>
  <c r="X30" i="6"/>
  <c r="X48" i="11"/>
  <c r="Z50" i="13"/>
  <c r="Z46" i="13"/>
  <c r="Z48" i="13" s="1"/>
  <c r="Z57" i="13"/>
  <c r="X72" i="11" l="1"/>
  <c r="X53" i="11"/>
  <c r="Y47" i="11"/>
  <c r="X32" i="6"/>
  <c r="Z72" i="13"/>
  <c r="Z53" i="13"/>
  <c r="AA47" i="13"/>
  <c r="Z51" i="13"/>
  <c r="Z52" i="13" s="1"/>
  <c r="AA35" i="12"/>
  <c r="Z59" i="13"/>
  <c r="Z58" i="13"/>
  <c r="X52" i="11"/>
  <c r="X36" i="6" s="1"/>
  <c r="AA35" i="13" l="1"/>
  <c r="AA43" i="12"/>
  <c r="AA36" i="12"/>
  <c r="AA41" i="12" s="1"/>
  <c r="Y35" i="11"/>
  <c r="Y31" i="6"/>
  <c r="Y22" i="6" l="1"/>
  <c r="Y43" i="11"/>
  <c r="Y36" i="11"/>
  <c r="AA50" i="12"/>
  <c r="AA46" i="12"/>
  <c r="AA48" i="12" s="1"/>
  <c r="AA57" i="12"/>
  <c r="AA43" i="13"/>
  <c r="AA36" i="13"/>
  <c r="AA41" i="13" s="1"/>
  <c r="AA50" i="13" l="1"/>
  <c r="AA46" i="13"/>
  <c r="AA48" i="13" s="1"/>
  <c r="AA57" i="13"/>
  <c r="AA51" i="12"/>
  <c r="AA52" i="12" s="1"/>
  <c r="Y46" i="11"/>
  <c r="Y50" i="11"/>
  <c r="Y27" i="6"/>
  <c r="Y57" i="11"/>
  <c r="AA59" i="12"/>
  <c r="AA58" i="12"/>
  <c r="AA53" i="12"/>
  <c r="AA72" i="12"/>
  <c r="AB47" i="12"/>
  <c r="Y41" i="11"/>
  <c r="Y25" i="6" s="1"/>
  <c r="Y23" i="6"/>
  <c r="AB35" i="12" l="1"/>
  <c r="Y59" i="11"/>
  <c r="Y58" i="11"/>
  <c r="Y30" i="6"/>
  <c r="Y48" i="11"/>
  <c r="AA51" i="13"/>
  <c r="AA52" i="13" s="1"/>
  <c r="Y35" i="6"/>
  <c r="Y51" i="11"/>
  <c r="Y52" i="11" s="1"/>
  <c r="Y36" i="6" s="1"/>
  <c r="AA59" i="13"/>
  <c r="AA58" i="13"/>
  <c r="AA53" i="13"/>
  <c r="AA72" i="13"/>
  <c r="AB47" i="13"/>
  <c r="Y72" i="11" l="1"/>
  <c r="Y53" i="11"/>
  <c r="Z47" i="11"/>
  <c r="Y32" i="6"/>
  <c r="AB35" i="13"/>
  <c r="AB36" i="12"/>
  <c r="E75" i="7"/>
  <c r="AB36" i="13" l="1"/>
  <c r="E102" i="7"/>
  <c r="Z35" i="11"/>
  <c r="Z31" i="6"/>
  <c r="AB37" i="12"/>
  <c r="E76" i="7"/>
  <c r="AB39" i="12" l="1"/>
  <c r="AB40" i="12" s="1"/>
  <c r="AB38" i="12"/>
  <c r="AC38" i="12" s="1"/>
  <c r="AD38" i="12" s="1"/>
  <c r="AE38" i="12" s="1"/>
  <c r="AF38" i="12" s="1"/>
  <c r="AG38" i="12" s="1"/>
  <c r="AH38" i="12" s="1"/>
  <c r="AI38" i="12" s="1"/>
  <c r="AJ38" i="12" s="1"/>
  <c r="AK38" i="12" s="1"/>
  <c r="AL38" i="12" s="1"/>
  <c r="AM38" i="12" s="1"/>
  <c r="Z22" i="6"/>
  <c r="Z43" i="11"/>
  <c r="Z36" i="11"/>
  <c r="AB37" i="13"/>
  <c r="E103" i="7"/>
  <c r="Z41" i="11" l="1"/>
  <c r="Z25" i="6" s="1"/>
  <c r="Z23" i="6"/>
  <c r="AB39" i="13"/>
  <c r="AB40" i="13" s="1"/>
  <c r="AB38" i="13"/>
  <c r="AC38" i="13" s="1"/>
  <c r="AD38" i="13" s="1"/>
  <c r="AE38" i="13" s="1"/>
  <c r="AF38" i="13" s="1"/>
  <c r="AG38" i="13" s="1"/>
  <c r="AH38" i="13" s="1"/>
  <c r="AI38" i="13" s="1"/>
  <c r="AJ38" i="13" s="1"/>
  <c r="AK38" i="13" s="1"/>
  <c r="AL38" i="13" s="1"/>
  <c r="AM38" i="13" s="1"/>
  <c r="Z46" i="11"/>
  <c r="Z50" i="11"/>
  <c r="Z27" i="6"/>
  <c r="Z57" i="11"/>
  <c r="E77" i="7"/>
  <c r="AB43" i="12"/>
  <c r="AB41" i="12"/>
  <c r="E78" i="7" s="1"/>
  <c r="AB50" i="12" l="1"/>
  <c r="AB46" i="12"/>
  <c r="E80" i="7"/>
  <c r="AB57" i="12"/>
  <c r="Z59" i="11"/>
  <c r="Z58" i="11"/>
  <c r="Z35" i="6"/>
  <c r="Z51" i="11"/>
  <c r="Z30" i="6"/>
  <c r="Z48" i="11"/>
  <c r="E104" i="7"/>
  <c r="AB43" i="13"/>
  <c r="AB41" i="13"/>
  <c r="E105" i="7" s="1"/>
  <c r="AB46" i="13" l="1"/>
  <c r="AB50" i="13"/>
  <c r="E107" i="7"/>
  <c r="AB57" i="13"/>
  <c r="Z52" i="11"/>
  <c r="Z36" i="6" s="1"/>
  <c r="Z53" i="11"/>
  <c r="Z72" i="11"/>
  <c r="AA47" i="11"/>
  <c r="Z32" i="6"/>
  <c r="AB59" i="12"/>
  <c r="AB58" i="12"/>
  <c r="E83" i="7"/>
  <c r="AB48" i="12"/>
  <c r="AB51" i="12"/>
  <c r="AB52" i="12" s="1"/>
  <c r="AB72" i="12" l="1"/>
  <c r="AC47" i="12"/>
  <c r="E84" i="7"/>
  <c r="AB53" i="12"/>
  <c r="AA35" i="11"/>
  <c r="AA31" i="6"/>
  <c r="E110" i="7"/>
  <c r="AB48" i="13"/>
  <c r="AB59" i="13"/>
  <c r="AB58" i="13"/>
  <c r="AB51" i="13"/>
  <c r="AB52" i="13" s="1"/>
  <c r="AA22" i="6" l="1"/>
  <c r="AA43" i="11"/>
  <c r="AA36" i="11"/>
  <c r="AB53" i="13"/>
  <c r="AB72" i="13"/>
  <c r="AC47" i="13"/>
  <c r="E111" i="7"/>
  <c r="AC35" i="12"/>
  <c r="AC43" i="12" l="1"/>
  <c r="AC36" i="12"/>
  <c r="AC35" i="13"/>
  <c r="AA50" i="11"/>
  <c r="AA46" i="11"/>
  <c r="AA27" i="6"/>
  <c r="AA57" i="11"/>
  <c r="AA41" i="11"/>
  <c r="AA25" i="6" s="1"/>
  <c r="AA23" i="6"/>
  <c r="AA59" i="11" l="1"/>
  <c r="AA58" i="11"/>
  <c r="AA35" i="6"/>
  <c r="AA51" i="11"/>
  <c r="AA30" i="6"/>
  <c r="AA48" i="11"/>
  <c r="AC46" i="12"/>
  <c r="AC50" i="12"/>
  <c r="AC57" i="12"/>
  <c r="AC43" i="13"/>
  <c r="AC36" i="13"/>
  <c r="AC41" i="12"/>
  <c r="AA52" i="11" l="1"/>
  <c r="AA36" i="6" s="1"/>
  <c r="AC46" i="13"/>
  <c r="AC50" i="13"/>
  <c r="AC57" i="13"/>
  <c r="AC41" i="13"/>
  <c r="AC59" i="12"/>
  <c r="AC58" i="12"/>
  <c r="AC51" i="12"/>
  <c r="AA53" i="11"/>
  <c r="AA72" i="11"/>
  <c r="AB47" i="11"/>
  <c r="AA32" i="6"/>
  <c r="AC48" i="12"/>
  <c r="AB35" i="11" l="1"/>
  <c r="AB31" i="6"/>
  <c r="AC52" i="12"/>
  <c r="AD47" i="12"/>
  <c r="AC72" i="12"/>
  <c r="AC53" i="12"/>
  <c r="AC51" i="13"/>
  <c r="AC59" i="13"/>
  <c r="AC58" i="13"/>
  <c r="AC48" i="13"/>
  <c r="AC53" i="13" l="1"/>
  <c r="AC72" i="13"/>
  <c r="AD47" i="13"/>
  <c r="AC52" i="13"/>
  <c r="AD35" i="12"/>
  <c r="AB22" i="6"/>
  <c r="AB36" i="11"/>
  <c r="E48" i="7"/>
  <c r="E21" i="7" l="1"/>
  <c r="AD43" i="12"/>
  <c r="AD36" i="12"/>
  <c r="AD35" i="13"/>
  <c r="AB23" i="6"/>
  <c r="AB37" i="11"/>
  <c r="E49" i="7"/>
  <c r="E22" i="7" l="1"/>
  <c r="AD43" i="13"/>
  <c r="AD36" i="13"/>
  <c r="AB39" i="11"/>
  <c r="AB40" i="11" s="1"/>
  <c r="AB38" i="11"/>
  <c r="AC38" i="11" s="1"/>
  <c r="AD38" i="11" s="1"/>
  <c r="AE38" i="11" s="1"/>
  <c r="AF38" i="11" s="1"/>
  <c r="AG38" i="11" s="1"/>
  <c r="AH38" i="11" s="1"/>
  <c r="AI38" i="11" s="1"/>
  <c r="AJ38" i="11" s="1"/>
  <c r="AK38" i="11" s="1"/>
  <c r="AL38" i="11" s="1"/>
  <c r="AM38" i="11" s="1"/>
  <c r="AD41" i="12"/>
  <c r="AD46" i="12"/>
  <c r="AD50" i="12"/>
  <c r="AD57" i="12"/>
  <c r="AD48" i="12" l="1"/>
  <c r="AB24" i="6"/>
  <c r="E50" i="7"/>
  <c r="AB43" i="11"/>
  <c r="AB41" i="11"/>
  <c r="AD41" i="13"/>
  <c r="AD59" i="12"/>
  <c r="AD58" i="12"/>
  <c r="AD51" i="12"/>
  <c r="AD52" i="12" s="1"/>
  <c r="AD46" i="13"/>
  <c r="AD50" i="13"/>
  <c r="AD57" i="13"/>
  <c r="AD48" i="13" l="1"/>
  <c r="AD51" i="13"/>
  <c r="AD52" i="13" s="1"/>
  <c r="AD59" i="13"/>
  <c r="AD58" i="13"/>
  <c r="AB25" i="6"/>
  <c r="E51" i="7"/>
  <c r="E23" i="7"/>
  <c r="AB50" i="11"/>
  <c r="AB46" i="11"/>
  <c r="AB27" i="6"/>
  <c r="E53" i="7"/>
  <c r="AB57" i="11"/>
  <c r="AD53" i="12"/>
  <c r="AD72" i="12"/>
  <c r="AE47" i="12"/>
  <c r="E26" i="7" l="1"/>
  <c r="AB35" i="6"/>
  <c r="AB51" i="11"/>
  <c r="AD53" i="13"/>
  <c r="AD72" i="13"/>
  <c r="AE47" i="13"/>
  <c r="AE35" i="12"/>
  <c r="AB59" i="11"/>
  <c r="AB58" i="11"/>
  <c r="AB30" i="6"/>
  <c r="E56" i="7"/>
  <c r="AB48" i="11"/>
  <c r="E24" i="7"/>
  <c r="E29" i="7" l="1"/>
  <c r="AE35" i="13"/>
  <c r="AE43" i="12"/>
  <c r="AE36" i="12"/>
  <c r="AB52" i="11"/>
  <c r="AB36" i="6" s="1"/>
  <c r="AB72" i="11"/>
  <c r="AB53" i="11"/>
  <c r="AC47" i="11"/>
  <c r="E57" i="7"/>
  <c r="AB32" i="6"/>
  <c r="AC35" i="11" l="1"/>
  <c r="AC31" i="6"/>
  <c r="AE50" i="12"/>
  <c r="AE46" i="12"/>
  <c r="AE57" i="12"/>
  <c r="E25" i="9"/>
  <c r="E26" i="9" s="1"/>
  <c r="E30" i="7"/>
  <c r="AE43" i="13"/>
  <c r="AE36" i="13"/>
  <c r="AE41" i="12"/>
  <c r="AE50" i="13" l="1"/>
  <c r="AE46" i="13"/>
  <c r="AE57" i="13"/>
  <c r="AE48" i="12"/>
  <c r="AE41" i="13"/>
  <c r="AE59" i="12"/>
  <c r="AE58" i="12"/>
  <c r="AE51" i="12"/>
  <c r="AE52" i="12" s="1"/>
  <c r="AC22" i="6"/>
  <c r="AC43" i="11"/>
  <c r="AC36" i="11"/>
  <c r="AC41" i="11" l="1"/>
  <c r="AC23" i="6"/>
  <c r="AC46" i="11"/>
  <c r="AC50" i="11"/>
  <c r="AC27" i="6"/>
  <c r="AC57" i="11"/>
  <c r="AE48" i="13"/>
  <c r="AE53" i="12"/>
  <c r="AF47" i="12"/>
  <c r="AE72" i="12"/>
  <c r="AE59" i="13"/>
  <c r="AE58" i="13"/>
  <c r="AE51" i="13"/>
  <c r="AE52" i="13" s="1"/>
  <c r="AE53" i="13" l="1"/>
  <c r="AE72" i="13"/>
  <c r="AF47" i="13"/>
  <c r="AC59" i="11"/>
  <c r="AC58" i="11"/>
  <c r="AC30" i="6"/>
  <c r="AC48" i="11"/>
  <c r="AF35" i="12"/>
  <c r="AC35" i="6"/>
  <c r="AC51" i="11"/>
  <c r="AC52" i="11" s="1"/>
  <c r="AC36" i="6" s="1"/>
  <c r="AC25" i="6"/>
  <c r="AF43" i="12" l="1"/>
  <c r="AF36" i="12"/>
  <c r="AD47" i="11"/>
  <c r="AC53" i="11"/>
  <c r="AC72" i="11"/>
  <c r="AC32" i="6"/>
  <c r="AF35" i="13"/>
  <c r="AD35" i="11" l="1"/>
  <c r="AD31" i="6"/>
  <c r="AF43" i="13"/>
  <c r="AF36" i="13"/>
  <c r="AF41" i="12"/>
  <c r="AF50" i="12"/>
  <c r="AF46" i="12"/>
  <c r="AF57" i="12"/>
  <c r="AF59" i="12" l="1"/>
  <c r="AF58" i="12"/>
  <c r="AF48" i="12"/>
  <c r="AF51" i="12"/>
  <c r="AF52" i="12" s="1"/>
  <c r="AF41" i="13"/>
  <c r="AF46" i="13"/>
  <c r="AF50" i="13"/>
  <c r="AF57" i="13"/>
  <c r="AD22" i="6"/>
  <c r="AD43" i="11"/>
  <c r="AD36" i="11"/>
  <c r="AD41" i="11" l="1"/>
  <c r="AD23" i="6"/>
  <c r="AF51" i="13"/>
  <c r="AF48" i="13"/>
  <c r="AF72" i="12"/>
  <c r="AG47" i="12"/>
  <c r="AF53" i="12"/>
  <c r="AD46" i="11"/>
  <c r="AD50" i="11"/>
  <c r="AD27" i="6"/>
  <c r="AD57" i="11"/>
  <c r="AF59" i="13"/>
  <c r="AF58" i="13"/>
  <c r="AD30" i="6" l="1"/>
  <c r="AD48" i="11"/>
  <c r="AF72" i="13"/>
  <c r="AF53" i="13"/>
  <c r="AG47" i="13"/>
  <c r="AG35" i="12"/>
  <c r="AF52" i="13"/>
  <c r="AD59" i="11"/>
  <c r="AD58" i="11"/>
  <c r="AD35" i="6"/>
  <c r="AD51" i="11"/>
  <c r="AD52" i="11" s="1"/>
  <c r="AD36" i="6" s="1"/>
  <c r="AD25" i="6"/>
  <c r="AG35" i="13" l="1"/>
  <c r="AG43" i="12"/>
  <c r="AG36" i="12"/>
  <c r="AE47" i="11"/>
  <c r="AD72" i="11"/>
  <c r="AD53" i="11"/>
  <c r="AD32" i="6"/>
  <c r="AG46" i="12" l="1"/>
  <c r="AG50" i="12"/>
  <c r="AG57" i="12"/>
  <c r="AE35" i="11"/>
  <c r="AE31" i="6"/>
  <c r="AG41" i="12"/>
  <c r="AG43" i="13"/>
  <c r="AG36" i="13"/>
  <c r="AG41" i="13" l="1"/>
  <c r="AG46" i="13"/>
  <c r="AG50" i="13"/>
  <c r="AG57" i="13"/>
  <c r="AE22" i="6"/>
  <c r="AE43" i="11"/>
  <c r="AE36" i="11"/>
  <c r="AG59" i="12"/>
  <c r="AG58" i="12"/>
  <c r="AG51" i="12"/>
  <c r="AG48" i="12"/>
  <c r="AH47" i="12" l="1"/>
  <c r="AG53" i="12"/>
  <c r="AG72" i="12"/>
  <c r="AG52" i="12"/>
  <c r="AE41" i="11"/>
  <c r="AE23" i="6"/>
  <c r="AG59" i="13"/>
  <c r="AG58" i="13"/>
  <c r="AE50" i="11"/>
  <c r="AE46" i="11"/>
  <c r="AE27" i="6"/>
  <c r="AE57" i="11"/>
  <c r="AG51" i="13"/>
  <c r="AG48" i="13"/>
  <c r="AG72" i="13" l="1"/>
  <c r="AG53" i="13"/>
  <c r="AH47" i="13"/>
  <c r="AG52" i="13"/>
  <c r="AE59" i="11"/>
  <c r="AE58" i="11"/>
  <c r="AE30" i="6"/>
  <c r="AE48" i="11"/>
  <c r="AE35" i="6"/>
  <c r="AE51" i="11"/>
  <c r="AE25" i="6"/>
  <c r="AH35" i="12"/>
  <c r="AE52" i="11" l="1"/>
  <c r="AE36" i="6" s="1"/>
  <c r="AH43" i="12"/>
  <c r="AH36" i="12"/>
  <c r="AH41" i="12" s="1"/>
  <c r="AE53" i="11"/>
  <c r="AF47" i="11"/>
  <c r="AE72" i="11"/>
  <c r="AE32" i="6"/>
  <c r="AH35" i="13"/>
  <c r="AH43" i="13" l="1"/>
  <c r="AH36" i="13"/>
  <c r="AH41" i="13" s="1"/>
  <c r="AF35" i="11"/>
  <c r="AF31" i="6"/>
  <c r="AH50" i="12"/>
  <c r="AH46" i="12"/>
  <c r="AH48" i="12" s="1"/>
  <c r="AH57" i="12"/>
  <c r="AH53" i="12" l="1"/>
  <c r="AI47" i="12"/>
  <c r="AH72" i="12"/>
  <c r="AH59" i="12"/>
  <c r="AH58" i="12"/>
  <c r="AH51" i="12"/>
  <c r="AH52" i="12" s="1"/>
  <c r="AF22" i="6"/>
  <c r="AF43" i="11"/>
  <c r="AF36" i="11"/>
  <c r="AH46" i="13"/>
  <c r="AH48" i="13" s="1"/>
  <c r="AH50" i="13"/>
  <c r="AH57" i="13"/>
  <c r="AH59" i="13" l="1"/>
  <c r="AH58" i="13"/>
  <c r="AH51" i="13"/>
  <c r="AH52" i="13" s="1"/>
  <c r="AF41" i="11"/>
  <c r="AF23" i="6"/>
  <c r="AF46" i="11"/>
  <c r="AF50" i="11"/>
  <c r="AF27" i="6"/>
  <c r="AF57" i="11"/>
  <c r="AH72" i="13"/>
  <c r="AI47" i="13"/>
  <c r="AH53" i="13"/>
  <c r="AI35" i="12"/>
  <c r="AI43" i="12" l="1"/>
  <c r="AI36" i="12"/>
  <c r="AI41" i="12" s="1"/>
  <c r="AI35" i="13"/>
  <c r="AF59" i="11"/>
  <c r="AF58" i="11"/>
  <c r="AF30" i="6"/>
  <c r="AF48" i="11"/>
  <c r="AF35" i="6"/>
  <c r="AF51" i="11"/>
  <c r="AF52" i="11" s="1"/>
  <c r="AF36" i="6" s="1"/>
  <c r="AF25" i="6"/>
  <c r="AF53" i="11" l="1"/>
  <c r="AF72" i="11"/>
  <c r="AG47" i="11"/>
  <c r="AF32" i="6"/>
  <c r="AI43" i="13"/>
  <c r="AI36" i="13"/>
  <c r="AI41" i="13" s="1"/>
  <c r="AI46" i="12"/>
  <c r="AI48" i="12" s="1"/>
  <c r="AI50" i="12"/>
  <c r="AI57" i="12"/>
  <c r="AI59" i="12" l="1"/>
  <c r="AI58" i="12"/>
  <c r="AI53" i="12"/>
  <c r="AI72" i="12"/>
  <c r="AJ47" i="12"/>
  <c r="AI51" i="12"/>
  <c r="AI52" i="12" s="1"/>
  <c r="AI46" i="13"/>
  <c r="AI48" i="13" s="1"/>
  <c r="AI50" i="13"/>
  <c r="AI57" i="13"/>
  <c r="AG35" i="11"/>
  <c r="AG31" i="6"/>
  <c r="AG22" i="6" l="1"/>
  <c r="AG43" i="11"/>
  <c r="AG36" i="11"/>
  <c r="AI59" i="13"/>
  <c r="AI58" i="13"/>
  <c r="AI72" i="13"/>
  <c r="AJ47" i="13"/>
  <c r="AI53" i="13"/>
  <c r="AJ35" i="12"/>
  <c r="AI51" i="13"/>
  <c r="AI52" i="13" s="1"/>
  <c r="AG50" i="11" l="1"/>
  <c r="AG46" i="11"/>
  <c r="AG27" i="6"/>
  <c r="AG57" i="11"/>
  <c r="AJ43" i="12"/>
  <c r="AJ36" i="12"/>
  <c r="AJ41" i="12" s="1"/>
  <c r="AJ35" i="13"/>
  <c r="AG41" i="11"/>
  <c r="AG23" i="6"/>
  <c r="AJ43" i="13" l="1"/>
  <c r="AJ36" i="13"/>
  <c r="AJ41" i="13" s="1"/>
  <c r="AJ50" i="12"/>
  <c r="AJ46" i="12"/>
  <c r="AJ48" i="12" s="1"/>
  <c r="AJ57" i="12"/>
  <c r="AG25" i="6"/>
  <c r="AG59" i="11"/>
  <c r="AG58" i="11"/>
  <c r="AG30" i="6"/>
  <c r="AG48" i="11"/>
  <c r="AG35" i="6"/>
  <c r="AG51" i="11"/>
  <c r="AG52" i="11" s="1"/>
  <c r="AG36" i="6" s="1"/>
  <c r="AG53" i="11" l="1"/>
  <c r="AG72" i="11"/>
  <c r="AH47" i="11"/>
  <c r="AG32" i="6"/>
  <c r="AJ59" i="12"/>
  <c r="AJ58" i="12"/>
  <c r="AJ72" i="12"/>
  <c r="AJ53" i="12"/>
  <c r="AK47" i="12"/>
  <c r="AJ51" i="12"/>
  <c r="AJ52" i="12" s="1"/>
  <c r="AJ50" i="13"/>
  <c r="AJ46" i="13"/>
  <c r="AJ48" i="13" s="1"/>
  <c r="AJ57" i="13"/>
  <c r="AJ51" i="13" l="1"/>
  <c r="AJ52" i="13" s="1"/>
  <c r="AJ59" i="13"/>
  <c r="AJ58" i="13"/>
  <c r="AJ72" i="13"/>
  <c r="AJ53" i="13"/>
  <c r="AK47" i="13"/>
  <c r="AK35" i="12"/>
  <c r="AH35" i="11"/>
  <c r="AH31" i="6"/>
  <c r="AK43" i="12" l="1"/>
  <c r="AK36" i="12"/>
  <c r="AK41" i="12" s="1"/>
  <c r="AH22" i="6"/>
  <c r="AH43" i="11"/>
  <c r="AH36" i="11"/>
  <c r="AK35" i="13"/>
  <c r="AK43" i="13" l="1"/>
  <c r="AK36" i="13"/>
  <c r="AK41" i="13" s="1"/>
  <c r="AH41" i="11"/>
  <c r="AH25" i="6" s="1"/>
  <c r="AH23" i="6"/>
  <c r="AH50" i="11"/>
  <c r="AH46" i="11"/>
  <c r="AH27" i="6"/>
  <c r="AH57" i="11"/>
  <c r="AK50" i="12"/>
  <c r="AK46" i="12"/>
  <c r="AK48" i="12" s="1"/>
  <c r="AK57" i="12"/>
  <c r="AK59" i="12" l="1"/>
  <c r="AK58" i="12"/>
  <c r="AK72" i="12"/>
  <c r="AK53" i="12"/>
  <c r="AL47" i="12"/>
  <c r="AK51" i="12"/>
  <c r="AK52" i="12" s="1"/>
  <c r="AH59" i="11"/>
  <c r="AH58" i="11"/>
  <c r="AH30" i="6"/>
  <c r="AH48" i="11"/>
  <c r="AH35" i="6"/>
  <c r="AH51" i="11"/>
  <c r="AH52" i="11" s="1"/>
  <c r="AH36" i="6" s="1"/>
  <c r="AK46" i="13"/>
  <c r="AK48" i="13" s="1"/>
  <c r="AK50" i="13"/>
  <c r="AK57" i="13"/>
  <c r="AK51" i="13" l="1"/>
  <c r="AK52" i="13" s="1"/>
  <c r="AL35" i="12"/>
  <c r="AK72" i="13"/>
  <c r="AL47" i="13"/>
  <c r="AK53" i="13"/>
  <c r="AH72" i="11"/>
  <c r="AI47" i="11"/>
  <c r="AH53" i="11"/>
  <c r="AH32" i="6"/>
  <c r="AK59" i="13"/>
  <c r="AK58" i="13"/>
  <c r="AL35" i="13" l="1"/>
  <c r="AI35" i="11"/>
  <c r="AI31" i="6"/>
  <c r="AL43" i="12"/>
  <c r="AL36" i="12"/>
  <c r="AL41" i="12" s="1"/>
  <c r="AL50" i="12" l="1"/>
  <c r="AL46" i="12"/>
  <c r="AL48" i="12" s="1"/>
  <c r="AL57" i="12"/>
  <c r="AI22" i="6"/>
  <c r="AI43" i="11"/>
  <c r="AI36" i="11"/>
  <c r="AL43" i="13"/>
  <c r="AL36" i="13"/>
  <c r="AL41" i="13" s="1"/>
  <c r="AI41" i="11" l="1"/>
  <c r="AI25" i="6" s="1"/>
  <c r="AI23" i="6"/>
  <c r="AL50" i="13"/>
  <c r="AL46" i="13"/>
  <c r="AL48" i="13" s="1"/>
  <c r="AL57" i="13"/>
  <c r="AI46" i="11"/>
  <c r="AI50" i="11"/>
  <c r="AI27" i="6"/>
  <c r="AI57" i="11"/>
  <c r="AL59" i="12"/>
  <c r="AL58" i="12"/>
  <c r="AM47" i="12"/>
  <c r="AL72" i="12"/>
  <c r="AL53" i="12"/>
  <c r="AL51" i="12"/>
  <c r="AL52" i="12" s="1"/>
  <c r="AI59" i="11" l="1"/>
  <c r="AI58" i="11"/>
  <c r="AI35" i="6"/>
  <c r="AI51" i="11"/>
  <c r="AL59" i="13"/>
  <c r="AL58" i="13"/>
  <c r="AI30" i="6"/>
  <c r="AI48" i="11"/>
  <c r="AM35" i="12"/>
  <c r="AL72" i="13"/>
  <c r="AM47" i="13"/>
  <c r="AL53" i="13"/>
  <c r="AL51" i="13"/>
  <c r="AL52" i="13" s="1"/>
  <c r="AM43" i="12" l="1"/>
  <c r="AM36" i="12"/>
  <c r="AM41" i="12" s="1"/>
  <c r="AI52" i="11"/>
  <c r="AI36" i="6" s="1"/>
  <c r="AM35" i="13"/>
  <c r="AI53" i="11"/>
  <c r="AJ47" i="11"/>
  <c r="AI72" i="11"/>
  <c r="AI32" i="6"/>
  <c r="AJ35" i="11" l="1"/>
  <c r="AJ31" i="6"/>
  <c r="AM43" i="13"/>
  <c r="AM36" i="13"/>
  <c r="AM41" i="13" s="1"/>
  <c r="AM50" i="12"/>
  <c r="AM46" i="12"/>
  <c r="AM48" i="12" s="1"/>
  <c r="AM57" i="12"/>
  <c r="AN47" i="12" l="1"/>
  <c r="AM72" i="12"/>
  <c r="AM53" i="12"/>
  <c r="AM59" i="12"/>
  <c r="AM58" i="12"/>
  <c r="AM51" i="12"/>
  <c r="AM52" i="12" s="1"/>
  <c r="AM50" i="13"/>
  <c r="AM46" i="13"/>
  <c r="AM48" i="13" s="1"/>
  <c r="AM57" i="13"/>
  <c r="AJ22" i="6"/>
  <c r="AJ43" i="11"/>
  <c r="AJ36" i="11"/>
  <c r="AJ46" i="11" l="1"/>
  <c r="AJ50" i="11"/>
  <c r="AJ27" i="6"/>
  <c r="AJ57" i="11"/>
  <c r="AN47" i="13"/>
  <c r="AM72" i="13"/>
  <c r="AM53" i="13"/>
  <c r="AM59" i="13"/>
  <c r="AM58" i="13"/>
  <c r="AJ41" i="11"/>
  <c r="AJ25" i="6" s="1"/>
  <c r="AJ23" i="6"/>
  <c r="AM51" i="13"/>
  <c r="AM52" i="13" s="1"/>
  <c r="AN35" i="12"/>
  <c r="AN36" i="12" l="1"/>
  <c r="F75" i="7"/>
  <c r="AJ59" i="11"/>
  <c r="AJ58" i="11"/>
  <c r="AN35" i="13"/>
  <c r="AJ35" i="6"/>
  <c r="AJ51" i="11"/>
  <c r="AJ30" i="6"/>
  <c r="AJ48" i="11"/>
  <c r="AJ52" i="11" l="1"/>
  <c r="AJ36" i="6" s="1"/>
  <c r="AJ72" i="11"/>
  <c r="AK47" i="11"/>
  <c r="AJ53" i="11"/>
  <c r="AJ32" i="6"/>
  <c r="AN37" i="12"/>
  <c r="F76" i="7"/>
  <c r="AN36" i="13"/>
  <c r="F102" i="7"/>
  <c r="AN37" i="13" l="1"/>
  <c r="F103" i="7"/>
  <c r="AN39" i="12"/>
  <c r="AN40" i="12" s="1"/>
  <c r="AN38" i="12"/>
  <c r="AO38" i="12" s="1"/>
  <c r="AP38" i="12" s="1"/>
  <c r="AQ38" i="12" s="1"/>
  <c r="AR38" i="12" s="1"/>
  <c r="AS38" i="12" s="1"/>
  <c r="AT38" i="12" s="1"/>
  <c r="AU38" i="12" s="1"/>
  <c r="AV38" i="12" s="1"/>
  <c r="AW38" i="12" s="1"/>
  <c r="AX38" i="12" s="1"/>
  <c r="AY38" i="12" s="1"/>
  <c r="AK35" i="11"/>
  <c r="AK31" i="6"/>
  <c r="F77" i="7" l="1"/>
  <c r="AN43" i="12"/>
  <c r="AN41" i="12"/>
  <c r="F78" i="7" s="1"/>
  <c r="AK22" i="6"/>
  <c r="AK43" i="11"/>
  <c r="AK36" i="11"/>
  <c r="AN39" i="13"/>
  <c r="AN40" i="13" s="1"/>
  <c r="AN38" i="13"/>
  <c r="AO38" i="13" s="1"/>
  <c r="AP38" i="13" s="1"/>
  <c r="AQ38" i="13" s="1"/>
  <c r="AR38" i="13" s="1"/>
  <c r="AS38" i="13" s="1"/>
  <c r="AT38" i="13" s="1"/>
  <c r="AU38" i="13" s="1"/>
  <c r="AV38" i="13" s="1"/>
  <c r="AW38" i="13" s="1"/>
  <c r="AX38" i="13" s="1"/>
  <c r="AY38" i="13" s="1"/>
  <c r="F104" i="7" l="1"/>
  <c r="AN43" i="13"/>
  <c r="AN41" i="13"/>
  <c r="F105" i="7" s="1"/>
  <c r="AK50" i="11"/>
  <c r="AK46" i="11"/>
  <c r="AK27" i="6"/>
  <c r="AK57" i="11"/>
  <c r="AN50" i="12"/>
  <c r="AN46" i="12"/>
  <c r="F80" i="7"/>
  <c r="AN57" i="12"/>
  <c r="AK41" i="11"/>
  <c r="AK25" i="6" s="1"/>
  <c r="AK23" i="6"/>
  <c r="AN51" i="12" l="1"/>
  <c r="F83" i="7"/>
  <c r="AN48" i="12"/>
  <c r="AK59" i="11"/>
  <c r="AK58" i="11"/>
  <c r="AN59" i="12"/>
  <c r="AN58" i="12"/>
  <c r="AK35" i="6"/>
  <c r="AK51" i="11"/>
  <c r="AN46" i="13"/>
  <c r="AN50" i="13"/>
  <c r="F107" i="7"/>
  <c r="AN57" i="13"/>
  <c r="AK30" i="6"/>
  <c r="AK48" i="11"/>
  <c r="AL47" i="11" l="1"/>
  <c r="AK72" i="11"/>
  <c r="AK53" i="11"/>
  <c r="AK32" i="6"/>
  <c r="F110" i="7"/>
  <c r="AN48" i="13"/>
  <c r="AK52" i="11"/>
  <c r="AK36" i="6" s="1"/>
  <c r="AN51" i="13"/>
  <c r="AN52" i="13" s="1"/>
  <c r="AN59" i="13"/>
  <c r="AN58" i="13"/>
  <c r="AN72" i="12"/>
  <c r="AN53" i="12"/>
  <c r="AO47" i="12"/>
  <c r="F84" i="7"/>
  <c r="AN52" i="12"/>
  <c r="AN72" i="13" l="1"/>
  <c r="AO47" i="13"/>
  <c r="AN53" i="13"/>
  <c r="F111" i="7"/>
  <c r="AO35" i="12"/>
  <c r="AL35" i="11"/>
  <c r="AL31" i="6"/>
  <c r="AL22" i="6" l="1"/>
  <c r="AL43" i="11"/>
  <c r="AL36" i="11"/>
  <c r="AO35" i="13"/>
  <c r="AO43" i="12"/>
  <c r="AO36" i="12"/>
  <c r="AO41" i="12" l="1"/>
  <c r="AO50" i="12"/>
  <c r="AO46" i="12"/>
  <c r="AO57" i="12"/>
  <c r="AL50" i="11"/>
  <c r="AL46" i="11"/>
  <c r="AL27" i="6"/>
  <c r="AL57" i="11"/>
  <c r="AO43" i="13"/>
  <c r="AO36" i="13"/>
  <c r="AL41" i="11"/>
  <c r="AL25" i="6" s="1"/>
  <c r="AL23" i="6"/>
  <c r="AO50" i="13" l="1"/>
  <c r="AO46" i="13"/>
  <c r="AO57" i="13"/>
  <c r="AL59" i="11"/>
  <c r="AL58" i="11"/>
  <c r="AL35" i="6"/>
  <c r="AL51" i="11"/>
  <c r="AO41" i="13"/>
  <c r="AL30" i="6"/>
  <c r="AL48" i="11"/>
  <c r="AO59" i="12"/>
  <c r="AO58" i="12"/>
  <c r="AO48" i="12"/>
  <c r="AO51" i="12"/>
  <c r="AO72" i="12" l="1"/>
  <c r="AO53" i="12"/>
  <c r="AP47" i="12"/>
  <c r="AL53" i="11"/>
  <c r="AM47" i="11"/>
  <c r="AL72" i="11"/>
  <c r="AL32" i="6"/>
  <c r="AL52" i="11"/>
  <c r="AL36" i="6" s="1"/>
  <c r="AO48" i="13"/>
  <c r="AO59" i="13"/>
  <c r="AO58" i="13"/>
  <c r="AO52" i="12"/>
  <c r="AO51" i="13"/>
  <c r="AO52" i="13" s="1"/>
  <c r="AO72" i="13" l="1"/>
  <c r="AP47" i="13"/>
  <c r="AO53" i="13"/>
  <c r="AM35" i="11"/>
  <c r="AM31" i="6"/>
  <c r="AP35" i="12"/>
  <c r="AP43" i="12" l="1"/>
  <c r="AP36" i="12"/>
  <c r="AM22" i="6"/>
  <c r="AM43" i="11"/>
  <c r="AM36" i="11"/>
  <c r="AP35" i="13"/>
  <c r="AM41" i="11" l="1"/>
  <c r="AM25" i="6" s="1"/>
  <c r="AM23" i="6"/>
  <c r="AP41" i="12"/>
  <c r="AP43" i="13"/>
  <c r="AP36" i="13"/>
  <c r="AM46" i="11"/>
  <c r="AM50" i="11"/>
  <c r="AM27" i="6"/>
  <c r="AM57" i="11"/>
  <c r="AP50" i="12"/>
  <c r="AP46" i="12"/>
  <c r="AP57" i="12"/>
  <c r="AP51" i="12" l="1"/>
  <c r="AM59" i="11"/>
  <c r="AM58" i="11"/>
  <c r="AM35" i="6"/>
  <c r="AM51" i="11"/>
  <c r="AP48" i="12"/>
  <c r="AP50" i="13"/>
  <c r="AP46" i="13"/>
  <c r="AP57" i="13"/>
  <c r="AP59" i="12"/>
  <c r="AP58" i="12"/>
  <c r="AM30" i="6"/>
  <c r="AM48" i="11"/>
  <c r="AP41" i="13"/>
  <c r="AP59" i="13" l="1"/>
  <c r="AP58" i="13"/>
  <c r="AP72" i="12"/>
  <c r="AP53" i="12"/>
  <c r="AQ47" i="12"/>
  <c r="AP51" i="13"/>
  <c r="AM52" i="11"/>
  <c r="AM36" i="6" s="1"/>
  <c r="AP52" i="12"/>
  <c r="AP48" i="13"/>
  <c r="AM72" i="11"/>
  <c r="AN47" i="11"/>
  <c r="AM53" i="11"/>
  <c r="AM32" i="6"/>
  <c r="AN35" i="11" l="1"/>
  <c r="AN31" i="6"/>
  <c r="AQ47" i="13"/>
  <c r="AP72" i="13"/>
  <c r="AP53" i="13"/>
  <c r="AP52" i="13"/>
  <c r="AQ35" i="12"/>
  <c r="AQ43" i="12" l="1"/>
  <c r="AQ36" i="12"/>
  <c r="AQ35" i="13"/>
  <c r="AN22" i="6"/>
  <c r="AN36" i="11"/>
  <c r="F48" i="7"/>
  <c r="F21" i="7" l="1"/>
  <c r="AN23" i="6"/>
  <c r="AN37" i="11"/>
  <c r="F49" i="7"/>
  <c r="AQ43" i="13"/>
  <c r="AQ36" i="13"/>
  <c r="AQ41" i="12"/>
  <c r="AQ50" i="12"/>
  <c r="AQ46" i="12"/>
  <c r="AQ57" i="12"/>
  <c r="AQ48" i="12" l="1"/>
  <c r="AQ51" i="12"/>
  <c r="AQ52" i="12" s="1"/>
  <c r="F22" i="7"/>
  <c r="AQ59" i="12"/>
  <c r="AQ58" i="12"/>
  <c r="AQ41" i="13"/>
  <c r="AQ50" i="13"/>
  <c r="AQ46" i="13"/>
  <c r="AQ57" i="13"/>
  <c r="AN39" i="11"/>
  <c r="AN40" i="11" s="1"/>
  <c r="AN38" i="11"/>
  <c r="AO38" i="11" s="1"/>
  <c r="AP38" i="11" s="1"/>
  <c r="AQ38" i="11" s="1"/>
  <c r="AR38" i="11" s="1"/>
  <c r="AS38" i="11" s="1"/>
  <c r="AT38" i="11" s="1"/>
  <c r="AU38" i="11" s="1"/>
  <c r="AV38" i="11" s="1"/>
  <c r="AW38" i="11" s="1"/>
  <c r="AX38" i="11" s="1"/>
  <c r="AY38" i="11" s="1"/>
  <c r="AQ59" i="13" l="1"/>
  <c r="AQ58" i="13"/>
  <c r="AQ48" i="13"/>
  <c r="AQ51" i="13"/>
  <c r="AQ52" i="13" s="1"/>
  <c r="AN24" i="6"/>
  <c r="F50" i="7"/>
  <c r="AN43" i="11"/>
  <c r="AN41" i="11"/>
  <c r="AQ72" i="12"/>
  <c r="AQ53" i="12"/>
  <c r="AR47" i="12"/>
  <c r="AR35" i="12" l="1"/>
  <c r="F23" i="7"/>
  <c r="AR47" i="13"/>
  <c r="AQ53" i="13"/>
  <c r="AQ72" i="13"/>
  <c r="AN46" i="11"/>
  <c r="AN50" i="11"/>
  <c r="AN27" i="6"/>
  <c r="F53" i="7"/>
  <c r="AN57" i="11"/>
  <c r="AN25" i="6"/>
  <c r="F51" i="7"/>
  <c r="AN35" i="6" l="1"/>
  <c r="AN51" i="11"/>
  <c r="AN30" i="6"/>
  <c r="F56" i="7"/>
  <c r="AN48" i="11"/>
  <c r="F24" i="7"/>
  <c r="AN59" i="11"/>
  <c r="AN58" i="11"/>
  <c r="AR43" i="12"/>
  <c r="AR36" i="12"/>
  <c r="F26" i="7"/>
  <c r="AR35" i="13"/>
  <c r="AR43" i="13" l="1"/>
  <c r="AR36" i="13"/>
  <c r="AR50" i="12"/>
  <c r="AR46" i="12"/>
  <c r="AR57" i="12"/>
  <c r="F29" i="7"/>
  <c r="AR41" i="12"/>
  <c r="AO47" i="11"/>
  <c r="F57" i="7"/>
  <c r="AN53" i="11"/>
  <c r="AN72" i="11"/>
  <c r="AN32" i="6"/>
  <c r="AN52" i="11"/>
  <c r="AN36" i="6" s="1"/>
  <c r="AO35" i="11" l="1"/>
  <c r="AO31" i="6"/>
  <c r="AR48" i="12"/>
  <c r="F25" i="9"/>
  <c r="F26" i="9" s="1"/>
  <c r="F30" i="7"/>
  <c r="AR59" i="12"/>
  <c r="AR58" i="12"/>
  <c r="AR41" i="13"/>
  <c r="AR51" i="12"/>
  <c r="AR52" i="12" s="1"/>
  <c r="AR50" i="13"/>
  <c r="AR46" i="13"/>
  <c r="AR57" i="13"/>
  <c r="AR51" i="13" l="1"/>
  <c r="AR59" i="13"/>
  <c r="AR58" i="13"/>
  <c r="AR48" i="13"/>
  <c r="AR53" i="12"/>
  <c r="AS47" i="12"/>
  <c r="AR72" i="12"/>
  <c r="AO22" i="6"/>
  <c r="AO43" i="11"/>
  <c r="AO36" i="11"/>
  <c r="AO50" i="11" l="1"/>
  <c r="AO46" i="11"/>
  <c r="AO27" i="6"/>
  <c r="AO57" i="11"/>
  <c r="AO41" i="11"/>
  <c r="AO23" i="6"/>
  <c r="AR52" i="13"/>
  <c r="AS35" i="12"/>
  <c r="AS47" i="13"/>
  <c r="AR53" i="13"/>
  <c r="AR72" i="13"/>
  <c r="AS43" i="12" l="1"/>
  <c r="AS36" i="12"/>
  <c r="AO59" i="11"/>
  <c r="AO58" i="11"/>
  <c r="AS35" i="13"/>
  <c r="AO25" i="6"/>
  <c r="AO30" i="6"/>
  <c r="AO48" i="11"/>
  <c r="AO35" i="6"/>
  <c r="AO51" i="11"/>
  <c r="AO52" i="11" s="1"/>
  <c r="AO36" i="6" s="1"/>
  <c r="AP47" i="11" l="1"/>
  <c r="AO53" i="11"/>
  <c r="AO72" i="11"/>
  <c r="AO32" i="6"/>
  <c r="AS43" i="13"/>
  <c r="AS36" i="13"/>
  <c r="AS41" i="12"/>
  <c r="AS50" i="12"/>
  <c r="AS46" i="12"/>
  <c r="AS57" i="12"/>
  <c r="AS59" i="12" l="1"/>
  <c r="AS58" i="12"/>
  <c r="AS51" i="12"/>
  <c r="AS48" i="12"/>
  <c r="AS46" i="13"/>
  <c r="AS50" i="13"/>
  <c r="AS57" i="13"/>
  <c r="AS41" i="13"/>
  <c r="AP35" i="11"/>
  <c r="AP31" i="6"/>
  <c r="AP22" i="6" l="1"/>
  <c r="AP43" i="11"/>
  <c r="AP36" i="11"/>
  <c r="AS59" i="13"/>
  <c r="AS58" i="13"/>
  <c r="AS51" i="13"/>
  <c r="AT47" i="12"/>
  <c r="AS53" i="12"/>
  <c r="AS72" i="12"/>
  <c r="AS48" i="13"/>
  <c r="AS52" i="12"/>
  <c r="AT35" i="12" l="1"/>
  <c r="AT47" i="13"/>
  <c r="AS72" i="13"/>
  <c r="AS53" i="13"/>
  <c r="AS52" i="13"/>
  <c r="AP41" i="11"/>
  <c r="AP23" i="6"/>
  <c r="AP46" i="11"/>
  <c r="AP50" i="11"/>
  <c r="AP27" i="6"/>
  <c r="AP57" i="11"/>
  <c r="AP59" i="11" l="1"/>
  <c r="AP58" i="11"/>
  <c r="AP35" i="6"/>
  <c r="AP51" i="11"/>
  <c r="AP25" i="6"/>
  <c r="AP30" i="6"/>
  <c r="AP48" i="11"/>
  <c r="AT35" i="13"/>
  <c r="AT43" i="12"/>
  <c r="AT36" i="12"/>
  <c r="AT41" i="12" s="1"/>
  <c r="AT50" i="12" l="1"/>
  <c r="AT46" i="12"/>
  <c r="AT48" i="12" s="1"/>
  <c r="AT57" i="12"/>
  <c r="AP52" i="11"/>
  <c r="AP36" i="6" s="1"/>
  <c r="AT43" i="13"/>
  <c r="AT36" i="13"/>
  <c r="AT41" i="13" s="1"/>
  <c r="AQ47" i="11"/>
  <c r="AP72" i="11"/>
  <c r="AP53" i="11"/>
  <c r="AP32" i="6"/>
  <c r="AQ35" i="11" l="1"/>
  <c r="AQ31" i="6"/>
  <c r="AT46" i="13"/>
  <c r="AT48" i="13" s="1"/>
  <c r="AT50" i="13"/>
  <c r="AT57" i="13"/>
  <c r="AT59" i="12"/>
  <c r="AT58" i="12"/>
  <c r="AU47" i="12"/>
  <c r="AT72" i="12"/>
  <c r="AT53" i="12"/>
  <c r="AT51" i="12"/>
  <c r="AT52" i="12" s="1"/>
  <c r="AU35" i="12" l="1"/>
  <c r="AT59" i="13"/>
  <c r="AT58" i="13"/>
  <c r="AT51" i="13"/>
  <c r="AT52" i="13" s="1"/>
  <c r="AT72" i="13"/>
  <c r="AU47" i="13"/>
  <c r="AT53" i="13"/>
  <c r="AQ22" i="6"/>
  <c r="AQ43" i="11"/>
  <c r="AQ36" i="11"/>
  <c r="AQ41" i="11" l="1"/>
  <c r="AQ23" i="6"/>
  <c r="AQ50" i="11"/>
  <c r="AQ46" i="11"/>
  <c r="AQ27" i="6"/>
  <c r="AQ57" i="11"/>
  <c r="AU35" i="13"/>
  <c r="AU43" i="12"/>
  <c r="AU36" i="12"/>
  <c r="AU41" i="12" s="1"/>
  <c r="AU43" i="13" l="1"/>
  <c r="AU36" i="13"/>
  <c r="AU41" i="13" s="1"/>
  <c r="AU50" i="12"/>
  <c r="AU46" i="12"/>
  <c r="AU48" i="12" s="1"/>
  <c r="AU57" i="12"/>
  <c r="AQ59" i="11"/>
  <c r="AQ58" i="11"/>
  <c r="AQ30" i="6"/>
  <c r="AQ48" i="11"/>
  <c r="AQ35" i="6"/>
  <c r="AQ51" i="11"/>
  <c r="AQ52" i="11" s="1"/>
  <c r="AQ36" i="6" s="1"/>
  <c r="AQ25" i="6"/>
  <c r="AQ72" i="11" l="1"/>
  <c r="AR47" i="11"/>
  <c r="AQ53" i="11"/>
  <c r="AQ32" i="6"/>
  <c r="AV47" i="12"/>
  <c r="AU53" i="12"/>
  <c r="AU72" i="12"/>
  <c r="AU59" i="12"/>
  <c r="AU58" i="12"/>
  <c r="AU51" i="12"/>
  <c r="AU52" i="12" s="1"/>
  <c r="AU46" i="13"/>
  <c r="AU48" i="13" s="1"/>
  <c r="AU50" i="13"/>
  <c r="AU57" i="13"/>
  <c r="AU59" i="13" l="1"/>
  <c r="AU58" i="13"/>
  <c r="AU72" i="13"/>
  <c r="AV47" i="13"/>
  <c r="AU53" i="13"/>
  <c r="AR35" i="11"/>
  <c r="AR31" i="6"/>
  <c r="AU51" i="13"/>
  <c r="AU52" i="13" s="1"/>
  <c r="AV35" i="12"/>
  <c r="AV43" i="12" l="1"/>
  <c r="AV36" i="12"/>
  <c r="AV41" i="12" s="1"/>
  <c r="AR22" i="6"/>
  <c r="AR43" i="11"/>
  <c r="AR36" i="11"/>
  <c r="AV35" i="13"/>
  <c r="AV43" i="13" l="1"/>
  <c r="AV36" i="13"/>
  <c r="AV41" i="13" s="1"/>
  <c r="AR41" i="11"/>
  <c r="AR23" i="6"/>
  <c r="AR46" i="11"/>
  <c r="AR50" i="11"/>
  <c r="AR27" i="6"/>
  <c r="AR57" i="11"/>
  <c r="AV46" i="12"/>
  <c r="AV48" i="12" s="1"/>
  <c r="AV50" i="12"/>
  <c r="AV57" i="12"/>
  <c r="AW47" i="12" l="1"/>
  <c r="AV53" i="12"/>
  <c r="AV72" i="12"/>
  <c r="AR35" i="6"/>
  <c r="AR51" i="11"/>
  <c r="AR30" i="6"/>
  <c r="AR48" i="11"/>
  <c r="AV51" i="12"/>
  <c r="AV52" i="12" s="1"/>
  <c r="AV59" i="12"/>
  <c r="AV58" i="12"/>
  <c r="AR59" i="11"/>
  <c r="AR58" i="11"/>
  <c r="AR25" i="6"/>
  <c r="AV46" i="13"/>
  <c r="AV48" i="13" s="1"/>
  <c r="AV50" i="13"/>
  <c r="AV57" i="13"/>
  <c r="AV51" i="13" l="1"/>
  <c r="AV52" i="13" s="1"/>
  <c r="AV53" i="13"/>
  <c r="AV72" i="13"/>
  <c r="AW47" i="13"/>
  <c r="AS47" i="11"/>
  <c r="AR53" i="11"/>
  <c r="AR72" i="11"/>
  <c r="AR32" i="6"/>
  <c r="AR52" i="11"/>
  <c r="AR36" i="6" s="1"/>
  <c r="AV59" i="13"/>
  <c r="AV58" i="13"/>
  <c r="AW35" i="12"/>
  <c r="AW43" i="12" l="1"/>
  <c r="AW36" i="12"/>
  <c r="AW41" i="12" s="1"/>
  <c r="AW35" i="13"/>
  <c r="AS35" i="11"/>
  <c r="AS31" i="6"/>
  <c r="AS22" i="6" l="1"/>
  <c r="AS43" i="11"/>
  <c r="AS36" i="11"/>
  <c r="AW43" i="13"/>
  <c r="AW36" i="13"/>
  <c r="AW41" i="13" s="1"/>
  <c r="AW46" i="12"/>
  <c r="AW48" i="12" s="1"/>
  <c r="AW50" i="12"/>
  <c r="AW57" i="12"/>
  <c r="AW53" i="12" l="1"/>
  <c r="AW72" i="12"/>
  <c r="AX47" i="12"/>
  <c r="AW59" i="12"/>
  <c r="AW58" i="12"/>
  <c r="AW46" i="13"/>
  <c r="AW48" i="13" s="1"/>
  <c r="AW50" i="13"/>
  <c r="AW57" i="13"/>
  <c r="AS41" i="11"/>
  <c r="AS23" i="6"/>
  <c r="AW51" i="12"/>
  <c r="AW52" i="12" s="1"/>
  <c r="AS50" i="11"/>
  <c r="AS46" i="11"/>
  <c r="AS27" i="6"/>
  <c r="AS57" i="11"/>
  <c r="AS59" i="11" l="1"/>
  <c r="AS58" i="11"/>
  <c r="AS35" i="6"/>
  <c r="AS51" i="11"/>
  <c r="AS30" i="6"/>
  <c r="AS48" i="11"/>
  <c r="AS25" i="6"/>
  <c r="AW53" i="13"/>
  <c r="AW72" i="13"/>
  <c r="AX47" i="13"/>
  <c r="AW51" i="13"/>
  <c r="AW52" i="13" s="1"/>
  <c r="AW59" i="13"/>
  <c r="AW58" i="13"/>
  <c r="AX35" i="12"/>
  <c r="AX43" i="12" l="1"/>
  <c r="AX36" i="12"/>
  <c r="AX41" i="12" s="1"/>
  <c r="AX35" i="13"/>
  <c r="AS72" i="11"/>
  <c r="AS53" i="11"/>
  <c r="AT47" i="11"/>
  <c r="AS32" i="6"/>
  <c r="AS52" i="11"/>
  <c r="AS36" i="6" s="1"/>
  <c r="AT35" i="11" l="1"/>
  <c r="AT31" i="6"/>
  <c r="AX46" i="12"/>
  <c r="AX48" i="12" s="1"/>
  <c r="AX50" i="12"/>
  <c r="AX57" i="12"/>
  <c r="AX43" i="13"/>
  <c r="AX36" i="13"/>
  <c r="AX41" i="13" s="1"/>
  <c r="AX53" i="12" l="1"/>
  <c r="AX72" i="12"/>
  <c r="AY47" i="12"/>
  <c r="AX46" i="13"/>
  <c r="AX48" i="13" s="1"/>
  <c r="AX50" i="13"/>
  <c r="AX57" i="13"/>
  <c r="AX51" i="12"/>
  <c r="AX52" i="12" s="1"/>
  <c r="AX59" i="12"/>
  <c r="AX58" i="12"/>
  <c r="AT22" i="6"/>
  <c r="AT43" i="11"/>
  <c r="AT36" i="11"/>
  <c r="AT41" i="11" l="1"/>
  <c r="AT25" i="6" s="1"/>
  <c r="AT23" i="6"/>
  <c r="AX59" i="13"/>
  <c r="AX58" i="13"/>
  <c r="AT50" i="11"/>
  <c r="AT46" i="11"/>
  <c r="AT27" i="6"/>
  <c r="AT57" i="11"/>
  <c r="AY47" i="13"/>
  <c r="AX72" i="13"/>
  <c r="AX53" i="13"/>
  <c r="AY35" i="12"/>
  <c r="AX51" i="13"/>
  <c r="AX52" i="13" s="1"/>
  <c r="AT35" i="6" l="1"/>
  <c r="AT51" i="11"/>
  <c r="AY43" i="12"/>
  <c r="AY36" i="12"/>
  <c r="AY41" i="12" s="1"/>
  <c r="AY35" i="13"/>
  <c r="AT59" i="11"/>
  <c r="AT58" i="11"/>
  <c r="AT30" i="6"/>
  <c r="AT48" i="11"/>
  <c r="AT53" i="11" l="1"/>
  <c r="AU47" i="11"/>
  <c r="AT72" i="11"/>
  <c r="AT32" i="6"/>
  <c r="AY43" i="13"/>
  <c r="AY36" i="13"/>
  <c r="AY41" i="13" s="1"/>
  <c r="AY46" i="12"/>
  <c r="AY48" i="12" s="1"/>
  <c r="AY50" i="12"/>
  <c r="AY57" i="12"/>
  <c r="AT52" i="11"/>
  <c r="AT36" i="6" s="1"/>
  <c r="AY59" i="12" l="1"/>
  <c r="AY58" i="12"/>
  <c r="AY51" i="12"/>
  <c r="AY52" i="12" s="1"/>
  <c r="AY46" i="13"/>
  <c r="AY48" i="13" s="1"/>
  <c r="AY50" i="13"/>
  <c r="AY57" i="13"/>
  <c r="AY53" i="12"/>
  <c r="AY72" i="12"/>
  <c r="AZ47" i="12"/>
  <c r="AU35" i="11"/>
  <c r="AU31" i="6"/>
  <c r="AU22" i="6" l="1"/>
  <c r="AU43" i="11"/>
  <c r="AU36" i="11"/>
  <c r="AY51" i="13"/>
  <c r="AY52" i="13" s="1"/>
  <c r="AZ35" i="12"/>
  <c r="AY53" i="13"/>
  <c r="AY72" i="13"/>
  <c r="AZ47" i="13"/>
  <c r="AY59" i="13"/>
  <c r="AY58" i="13"/>
  <c r="AZ36" i="12" l="1"/>
  <c r="G75" i="7"/>
  <c r="AU41" i="11"/>
  <c r="AU25" i="6" s="1"/>
  <c r="AU23" i="6"/>
  <c r="AZ35" i="13"/>
  <c r="AU46" i="11"/>
  <c r="AU50" i="11"/>
  <c r="AU27" i="6"/>
  <c r="AU57" i="11"/>
  <c r="AU59" i="11" l="1"/>
  <c r="AU58" i="11"/>
  <c r="AU35" i="6"/>
  <c r="AU51" i="11"/>
  <c r="AU30" i="6"/>
  <c r="AU48" i="11"/>
  <c r="AZ36" i="13"/>
  <c r="G102" i="7"/>
  <c r="AZ37" i="12"/>
  <c r="G76" i="7"/>
  <c r="AU52" i="11" l="1"/>
  <c r="AU36" i="6" s="1"/>
  <c r="AZ39" i="12"/>
  <c r="AZ40" i="12" s="1"/>
  <c r="AZ38" i="12"/>
  <c r="BA38" i="12" s="1"/>
  <c r="BB38" i="12" s="1"/>
  <c r="BC38" i="12" s="1"/>
  <c r="BD38" i="12" s="1"/>
  <c r="BE38" i="12" s="1"/>
  <c r="BF38" i="12" s="1"/>
  <c r="BG38" i="12" s="1"/>
  <c r="BH38" i="12" s="1"/>
  <c r="BI38" i="12" s="1"/>
  <c r="BJ38" i="12" s="1"/>
  <c r="BK38" i="12" s="1"/>
  <c r="AZ37" i="13"/>
  <c r="G103" i="7"/>
  <c r="AU72" i="11"/>
  <c r="AU53" i="11"/>
  <c r="AV47" i="11"/>
  <c r="AU32" i="6"/>
  <c r="AV35" i="11" l="1"/>
  <c r="AV31" i="6"/>
  <c r="AZ39" i="13"/>
  <c r="AZ40" i="13" s="1"/>
  <c r="AZ38" i="13"/>
  <c r="BA38" i="13" s="1"/>
  <c r="BB38" i="13" s="1"/>
  <c r="BC38" i="13" s="1"/>
  <c r="BD38" i="13" s="1"/>
  <c r="BE38" i="13" s="1"/>
  <c r="BF38" i="13" s="1"/>
  <c r="BG38" i="13" s="1"/>
  <c r="BH38" i="13" s="1"/>
  <c r="BI38" i="13" s="1"/>
  <c r="BJ38" i="13" s="1"/>
  <c r="BK38" i="13" s="1"/>
  <c r="G77" i="7"/>
  <c r="AZ43" i="12"/>
  <c r="AZ41" i="12"/>
  <c r="G78" i="7" s="1"/>
  <c r="AZ46" i="12" l="1"/>
  <c r="AZ50" i="12"/>
  <c r="G80" i="7"/>
  <c r="AZ57" i="12"/>
  <c r="G104" i="7"/>
  <c r="AZ43" i="13"/>
  <c r="AZ41" i="13"/>
  <c r="G105" i="7" s="1"/>
  <c r="AV22" i="6"/>
  <c r="AV43" i="11"/>
  <c r="AV36" i="11"/>
  <c r="AV41" i="11" l="1"/>
  <c r="AV25" i="6" s="1"/>
  <c r="AV23" i="6"/>
  <c r="AV46" i="11"/>
  <c r="AV50" i="11"/>
  <c r="AV27" i="6"/>
  <c r="AV57" i="11"/>
  <c r="AZ46" i="13"/>
  <c r="AZ50" i="13"/>
  <c r="G107" i="7"/>
  <c r="AZ57" i="13"/>
  <c r="G83" i="7"/>
  <c r="AZ48" i="12"/>
  <c r="AZ59" i="12"/>
  <c r="AZ58" i="12"/>
  <c r="AZ51" i="12"/>
  <c r="AZ52" i="12" s="1"/>
  <c r="AZ53" i="12" l="1"/>
  <c r="AZ72" i="12"/>
  <c r="BA47" i="12"/>
  <c r="G84" i="7"/>
  <c r="G110" i="7"/>
  <c r="AZ48" i="13"/>
  <c r="AZ51" i="13"/>
  <c r="AZ52" i="13" s="1"/>
  <c r="AV59" i="11"/>
  <c r="AV58" i="11"/>
  <c r="AV30" i="6"/>
  <c r="AV48" i="11"/>
  <c r="AZ59" i="13"/>
  <c r="AZ58" i="13"/>
  <c r="AV35" i="6"/>
  <c r="AV51" i="11"/>
  <c r="AV52" i="11" s="1"/>
  <c r="AV36" i="6" s="1"/>
  <c r="AV72" i="11" l="1"/>
  <c r="AV53" i="11"/>
  <c r="AW47" i="11"/>
  <c r="AV32" i="6"/>
  <c r="AZ53" i="13"/>
  <c r="AZ72" i="13"/>
  <c r="BA47" i="13"/>
  <c r="G111" i="7"/>
  <c r="BA35" i="12"/>
  <c r="BA43" i="12" l="1"/>
  <c r="BA36" i="12"/>
  <c r="BA35" i="13"/>
  <c r="AW35" i="11"/>
  <c r="AW31" i="6"/>
  <c r="AW22" i="6" l="1"/>
  <c r="AW43" i="11"/>
  <c r="AW36" i="11"/>
  <c r="BA41" i="12"/>
  <c r="BA43" i="13"/>
  <c r="BA36" i="13"/>
  <c r="BA46" i="12"/>
  <c r="BA50" i="12"/>
  <c r="BA57" i="12"/>
  <c r="BA51" i="12" l="1"/>
  <c r="BA52" i="12" s="1"/>
  <c r="BA48" i="12"/>
  <c r="BA46" i="13"/>
  <c r="BA50" i="13"/>
  <c r="BA57" i="13"/>
  <c r="AW46" i="11"/>
  <c r="AW50" i="11"/>
  <c r="AW27" i="6"/>
  <c r="AW57" i="11"/>
  <c r="BA59" i="12"/>
  <c r="BA58" i="12"/>
  <c r="BA41" i="13"/>
  <c r="AW41" i="11"/>
  <c r="AW25" i="6" s="1"/>
  <c r="AW23" i="6"/>
  <c r="AW59" i="11" l="1"/>
  <c r="AW58" i="11"/>
  <c r="AW35" i="6"/>
  <c r="AW51" i="11"/>
  <c r="AW30" i="6"/>
  <c r="AW48" i="11"/>
  <c r="BA51" i="13"/>
  <c r="BA59" i="13"/>
  <c r="BA58" i="13"/>
  <c r="BA48" i="13"/>
  <c r="BA72" i="12"/>
  <c r="BB47" i="12"/>
  <c r="BA53" i="12"/>
  <c r="AW52" i="11" l="1"/>
  <c r="AW36" i="6" s="1"/>
  <c r="BB35" i="12"/>
  <c r="BA53" i="13"/>
  <c r="BA72" i="13"/>
  <c r="BB47" i="13"/>
  <c r="BA52" i="13"/>
  <c r="AW72" i="11"/>
  <c r="AW53" i="11"/>
  <c r="AX47" i="11"/>
  <c r="AW32" i="6"/>
  <c r="AX35" i="11" l="1"/>
  <c r="AX31" i="6"/>
  <c r="BB35" i="13"/>
  <c r="BB43" i="12"/>
  <c r="BB36" i="12"/>
  <c r="BB41" i="12" l="1"/>
  <c r="BB43" i="13"/>
  <c r="BB36" i="13"/>
  <c r="AX22" i="6"/>
  <c r="AX43" i="11"/>
  <c r="AX36" i="11"/>
  <c r="BB46" i="12"/>
  <c r="BB50" i="12"/>
  <c r="BB57" i="12"/>
  <c r="AX41" i="11" l="1"/>
  <c r="AX25" i="6" s="1"/>
  <c r="AX23" i="6"/>
  <c r="BB51" i="12"/>
  <c r="BB52" i="12" s="1"/>
  <c r="AX46" i="11"/>
  <c r="AX50" i="11"/>
  <c r="AX27" i="6"/>
  <c r="AX57" i="11"/>
  <c r="BB59" i="12"/>
  <c r="BB58" i="12"/>
  <c r="BB46" i="13"/>
  <c r="BB50" i="13"/>
  <c r="BB57" i="13"/>
  <c r="BB48" i="12"/>
  <c r="BB41" i="13"/>
  <c r="BB53" i="12" l="1"/>
  <c r="BB72" i="12"/>
  <c r="BC47" i="12"/>
  <c r="BB59" i="13"/>
  <c r="BB58" i="13"/>
  <c r="BB48" i="13"/>
  <c r="BB51" i="13"/>
  <c r="BB52" i="13" s="1"/>
  <c r="AX30" i="6"/>
  <c r="AX48" i="11"/>
  <c r="AX59" i="11"/>
  <c r="AX58" i="11"/>
  <c r="AX35" i="6"/>
  <c r="AX51" i="11"/>
  <c r="AX52" i="11" l="1"/>
  <c r="AX36" i="6" s="1"/>
  <c r="AX72" i="11"/>
  <c r="AX53" i="11"/>
  <c r="AY47" i="11"/>
  <c r="AX32" i="6"/>
  <c r="BB53" i="13"/>
  <c r="BB72" i="13"/>
  <c r="BC47" i="13"/>
  <c r="BC35" i="12"/>
  <c r="BC35" i="13" l="1"/>
  <c r="BC43" i="12"/>
  <c r="BC36" i="12"/>
  <c r="AY35" i="11"/>
  <c r="AY31" i="6"/>
  <c r="AY22" i="6" l="1"/>
  <c r="AY43" i="11"/>
  <c r="AY36" i="11"/>
  <c r="BC41" i="12"/>
  <c r="BC46" i="12"/>
  <c r="BC50" i="12"/>
  <c r="BC57" i="12"/>
  <c r="BC43" i="13"/>
  <c r="BC36" i="13"/>
  <c r="BC51" i="12" l="1"/>
  <c r="BC52" i="12" s="1"/>
  <c r="BC50" i="13"/>
  <c r="BC46" i="13"/>
  <c r="BC57" i="13"/>
  <c r="BC59" i="12"/>
  <c r="BC58" i="12"/>
  <c r="AY50" i="11"/>
  <c r="AY46" i="11"/>
  <c r="AY27" i="6"/>
  <c r="AY57" i="11"/>
  <c r="BC41" i="13"/>
  <c r="BC48" i="12"/>
  <c r="AY41" i="11"/>
  <c r="AY25" i="6" s="1"/>
  <c r="AY23" i="6"/>
  <c r="BC72" i="12" l="1"/>
  <c r="BD47" i="12"/>
  <c r="BC53" i="12"/>
  <c r="AY30" i="6"/>
  <c r="AY48" i="11"/>
  <c r="BC51" i="13"/>
  <c r="AY59" i="11"/>
  <c r="AY58" i="11"/>
  <c r="AY35" i="6"/>
  <c r="AY51" i="11"/>
  <c r="AY52" i="11" s="1"/>
  <c r="AY36" i="6" s="1"/>
  <c r="BC48" i="13"/>
  <c r="BC59" i="13"/>
  <c r="BC58" i="13"/>
  <c r="BC72" i="13" l="1"/>
  <c r="BC53" i="13"/>
  <c r="BD47" i="13"/>
  <c r="BC52" i="13"/>
  <c r="AY53" i="11"/>
  <c r="AZ47" i="11"/>
  <c r="AY72" i="11"/>
  <c r="AY32" i="6"/>
  <c r="BD35" i="12"/>
  <c r="BD43" i="12" l="1"/>
  <c r="BD36" i="12"/>
  <c r="AZ35" i="11"/>
  <c r="AZ31" i="6"/>
  <c r="BD35" i="13"/>
  <c r="BD43" i="13" l="1"/>
  <c r="BD36" i="13"/>
  <c r="AZ22" i="6"/>
  <c r="AZ36" i="11"/>
  <c r="G48" i="7"/>
  <c r="BD41" i="12"/>
  <c r="BD50" i="12"/>
  <c r="BD46" i="12"/>
  <c r="BD57" i="12"/>
  <c r="BD59" i="12" l="1"/>
  <c r="BD58" i="12"/>
  <c r="BD48" i="12"/>
  <c r="BD51" i="12"/>
  <c r="BD52" i="12" s="1"/>
  <c r="G21" i="7"/>
  <c r="AZ23" i="6"/>
  <c r="AZ37" i="11"/>
  <c r="G49" i="7"/>
  <c r="BD41" i="13"/>
  <c r="BD46" i="13"/>
  <c r="BD50" i="13"/>
  <c r="BD57" i="13"/>
  <c r="BD59" i="13" l="1"/>
  <c r="BD58" i="13"/>
  <c r="G22" i="7"/>
  <c r="BD51" i="13"/>
  <c r="AZ39" i="11"/>
  <c r="AZ40" i="11" s="1"/>
  <c r="AZ38" i="11"/>
  <c r="BA38" i="11" s="1"/>
  <c r="BB38" i="11" s="1"/>
  <c r="BC38" i="11" s="1"/>
  <c r="BD38" i="11" s="1"/>
  <c r="BE38" i="11" s="1"/>
  <c r="BF38" i="11" s="1"/>
  <c r="BG38" i="11" s="1"/>
  <c r="BH38" i="11" s="1"/>
  <c r="BI38" i="11" s="1"/>
  <c r="BJ38" i="11" s="1"/>
  <c r="BK38" i="11" s="1"/>
  <c r="BD48" i="13"/>
  <c r="BD72" i="12"/>
  <c r="BE47" i="12"/>
  <c r="BD53" i="12"/>
  <c r="BE35" i="12" l="1"/>
  <c r="BD72" i="13"/>
  <c r="BD53" i="13"/>
  <c r="BE47" i="13"/>
  <c r="BD52" i="13"/>
  <c r="AZ24" i="6"/>
  <c r="G50" i="7"/>
  <c r="AZ43" i="11"/>
  <c r="AZ41" i="11"/>
  <c r="G23" i="7" l="1"/>
  <c r="AZ50" i="11"/>
  <c r="AZ46" i="11"/>
  <c r="AZ27" i="6"/>
  <c r="G53" i="7"/>
  <c r="AZ57" i="11"/>
  <c r="BE35" i="13"/>
  <c r="AZ25" i="6"/>
  <c r="G51" i="7"/>
  <c r="BE43" i="12"/>
  <c r="BE36" i="12"/>
  <c r="BE50" i="12" l="1"/>
  <c r="BE46" i="12"/>
  <c r="BE57" i="12"/>
  <c r="G24" i="7"/>
  <c r="G26" i="7"/>
  <c r="BE41" i="12"/>
  <c r="BE43" i="13"/>
  <c r="BE36" i="13"/>
  <c r="AZ59" i="11"/>
  <c r="AZ58" i="11"/>
  <c r="AZ30" i="6"/>
  <c r="G56" i="7"/>
  <c r="AZ48" i="11"/>
  <c r="AZ35" i="6"/>
  <c r="AZ51" i="11"/>
  <c r="AZ52" i="11" l="1"/>
  <c r="AZ36" i="6" s="1"/>
  <c r="AZ53" i="11"/>
  <c r="BA47" i="11"/>
  <c r="AZ72" i="11"/>
  <c r="G57" i="7"/>
  <c r="AZ32" i="6"/>
  <c r="BE46" i="13"/>
  <c r="BE50" i="13"/>
  <c r="BE57" i="13"/>
  <c r="BE41" i="13"/>
  <c r="BE48" i="12"/>
  <c r="G29" i="7"/>
  <c r="BE59" i="12"/>
  <c r="BE58" i="12"/>
  <c r="BE51" i="12"/>
  <c r="BE52" i="12" s="1"/>
  <c r="BE59" i="13" l="1"/>
  <c r="BE58" i="13"/>
  <c r="BE72" i="12"/>
  <c r="BF47" i="12"/>
  <c r="BE53" i="12"/>
  <c r="BE48" i="13"/>
  <c r="BE51" i="13"/>
  <c r="BE52" i="13" s="1"/>
  <c r="G25" i="9"/>
  <c r="G26" i="9" s="1"/>
  <c r="G30" i="7"/>
  <c r="BA35" i="11"/>
  <c r="BA31" i="6"/>
  <c r="BA22" i="6" l="1"/>
  <c r="BA43" i="11"/>
  <c r="BA36" i="11"/>
  <c r="BE72" i="13"/>
  <c r="BE53" i="13"/>
  <c r="BF47" i="13"/>
  <c r="BF35" i="12"/>
  <c r="BF43" i="12" l="1"/>
  <c r="BF36" i="12"/>
  <c r="BF41" i="12" s="1"/>
  <c r="BF35" i="13"/>
  <c r="BA41" i="11"/>
  <c r="BA23" i="6"/>
  <c r="BA50" i="11"/>
  <c r="BA46" i="11"/>
  <c r="BA27" i="6"/>
  <c r="BA57" i="11"/>
  <c r="BA59" i="11" l="1"/>
  <c r="BA58" i="11"/>
  <c r="BA30" i="6"/>
  <c r="BA48" i="11"/>
  <c r="BA35" i="6"/>
  <c r="BA51" i="11"/>
  <c r="BA52" i="11" s="1"/>
  <c r="BA36" i="6" s="1"/>
  <c r="BA25" i="6"/>
  <c r="BF43" i="13"/>
  <c r="BF36" i="13"/>
  <c r="BF41" i="13" s="1"/>
  <c r="BF50" i="12"/>
  <c r="BF46" i="12"/>
  <c r="BF48" i="12" s="1"/>
  <c r="BF57" i="12"/>
  <c r="BF51" i="12" l="1"/>
  <c r="BF52" i="12" s="1"/>
  <c r="BF59" i="12"/>
  <c r="BF58" i="12"/>
  <c r="BF72" i="12"/>
  <c r="BG47" i="12"/>
  <c r="BF53" i="12"/>
  <c r="BF46" i="13"/>
  <c r="BF48" i="13" s="1"/>
  <c r="BF50" i="13"/>
  <c r="BF57" i="13"/>
  <c r="BA53" i="11"/>
  <c r="BB47" i="11"/>
  <c r="BA72" i="11"/>
  <c r="BA32" i="6"/>
  <c r="BF59" i="13" l="1"/>
  <c r="BF58" i="13"/>
  <c r="BF72" i="13"/>
  <c r="BG47" i="13"/>
  <c r="BF53" i="13"/>
  <c r="BG35" i="12"/>
  <c r="BB35" i="11"/>
  <c r="BB31" i="6"/>
  <c r="BF51" i="13"/>
  <c r="BF52" i="13" s="1"/>
  <c r="BB22" i="6" l="1"/>
  <c r="BB43" i="11"/>
  <c r="BB36" i="11"/>
  <c r="BG43" i="12"/>
  <c r="BG36" i="12"/>
  <c r="BG41" i="12" s="1"/>
  <c r="BG35" i="13"/>
  <c r="BG43" i="13" l="1"/>
  <c r="BG36" i="13"/>
  <c r="BG41" i="13" s="1"/>
  <c r="BG46" i="12"/>
  <c r="BG48" i="12" s="1"/>
  <c r="BG50" i="12"/>
  <c r="BG57" i="12"/>
  <c r="BB46" i="11"/>
  <c r="BB50" i="11"/>
  <c r="BB27" i="6"/>
  <c r="BB57" i="11"/>
  <c r="BB41" i="11"/>
  <c r="BB23" i="6"/>
  <c r="BB59" i="11" l="1"/>
  <c r="BB58" i="11"/>
  <c r="BB25" i="6"/>
  <c r="BB35" i="6"/>
  <c r="BB51" i="11"/>
  <c r="BB30" i="6"/>
  <c r="BB48" i="11"/>
  <c r="BG51" i="12"/>
  <c r="BG52" i="12" s="1"/>
  <c r="BG59" i="12"/>
  <c r="BG58" i="12"/>
  <c r="BG72" i="12"/>
  <c r="BG53" i="12"/>
  <c r="BH47" i="12"/>
  <c r="BG46" i="13"/>
  <c r="BG48" i="13" s="1"/>
  <c r="BG50" i="13"/>
  <c r="BG57" i="13"/>
  <c r="BG72" i="13" l="1"/>
  <c r="BH47" i="13"/>
  <c r="BG53" i="13"/>
  <c r="BG51" i="13"/>
  <c r="BG52" i="13" s="1"/>
  <c r="BC47" i="11"/>
  <c r="BB72" i="11"/>
  <c r="BB53" i="11"/>
  <c r="BB32" i="6"/>
  <c r="BB52" i="11"/>
  <c r="BB36" i="6" s="1"/>
  <c r="BH35" i="12"/>
  <c r="BG59" i="13"/>
  <c r="BG58" i="13"/>
  <c r="BH43" i="12" l="1"/>
  <c r="BH36" i="12"/>
  <c r="BH41" i="12" s="1"/>
  <c r="BC35" i="11"/>
  <c r="BC31" i="6"/>
  <c r="BH35" i="13"/>
  <c r="BC22" i="6" l="1"/>
  <c r="BC43" i="11"/>
  <c r="BC36" i="11"/>
  <c r="BH43" i="13"/>
  <c r="BH36" i="13"/>
  <c r="BH41" i="13" s="1"/>
  <c r="BH50" i="12"/>
  <c r="BH46" i="12"/>
  <c r="BH48" i="12" s="1"/>
  <c r="BH57" i="12"/>
  <c r="BH59" i="12" l="1"/>
  <c r="BH58" i="12"/>
  <c r="BH51" i="12"/>
  <c r="BH52" i="12" s="1"/>
  <c r="BC50" i="11"/>
  <c r="BC46" i="11"/>
  <c r="BC27" i="6"/>
  <c r="BC57" i="11"/>
  <c r="BH53" i="12"/>
  <c r="BH72" i="12"/>
  <c r="BI47" i="12"/>
  <c r="BH50" i="13"/>
  <c r="BH46" i="13"/>
  <c r="BH48" i="13" s="1"/>
  <c r="BH57" i="13"/>
  <c r="BC41" i="11"/>
  <c r="BC23" i="6"/>
  <c r="BH59" i="13" l="1"/>
  <c r="BH58" i="13"/>
  <c r="BC25" i="6"/>
  <c r="BH72" i="13"/>
  <c r="BH53" i="13"/>
  <c r="BI47" i="13"/>
  <c r="BH51" i="13"/>
  <c r="BH52" i="13" s="1"/>
  <c r="BC59" i="11"/>
  <c r="BC58" i="11"/>
  <c r="BC30" i="6"/>
  <c r="BC48" i="11"/>
  <c r="BC35" i="6"/>
  <c r="BC51" i="11"/>
  <c r="BC52" i="11" s="1"/>
  <c r="BC36" i="6" s="1"/>
  <c r="BI35" i="12"/>
  <c r="BI43" i="12" l="1"/>
  <c r="BI36" i="12"/>
  <c r="BI41" i="12" s="1"/>
  <c r="BI35" i="13"/>
  <c r="BD47" i="11"/>
  <c r="BC72" i="11"/>
  <c r="BC53" i="11"/>
  <c r="BC32" i="6"/>
  <c r="BD35" i="11" l="1"/>
  <c r="BD31" i="6"/>
  <c r="BI43" i="13"/>
  <c r="BI36" i="13"/>
  <c r="BI41" i="13" s="1"/>
  <c r="BI50" i="12"/>
  <c r="BI46" i="12"/>
  <c r="BI48" i="12" s="1"/>
  <c r="BI57" i="12"/>
  <c r="BI59" i="12" l="1"/>
  <c r="BI58" i="12"/>
  <c r="BI53" i="12"/>
  <c r="BJ47" i="12"/>
  <c r="BI72" i="12"/>
  <c r="BI50" i="13"/>
  <c r="BI46" i="13"/>
  <c r="BI48" i="13" s="1"/>
  <c r="BI57" i="13"/>
  <c r="BI51" i="12"/>
  <c r="BI52" i="12" s="1"/>
  <c r="BD22" i="6"/>
  <c r="BD43" i="11"/>
  <c r="BD36" i="11"/>
  <c r="BD46" i="11" l="1"/>
  <c r="BD50" i="11"/>
  <c r="BD27" i="6"/>
  <c r="BD57" i="11"/>
  <c r="BI59" i="13"/>
  <c r="BI58" i="13"/>
  <c r="BJ35" i="12"/>
  <c r="BI72" i="13"/>
  <c r="BI53" i="13"/>
  <c r="BJ47" i="13"/>
  <c r="BI51" i="13"/>
  <c r="BI52" i="13" s="1"/>
  <c r="BD41" i="11"/>
  <c r="BD23" i="6"/>
  <c r="BD25" i="6" l="1"/>
  <c r="BD59" i="11"/>
  <c r="BD58" i="11"/>
  <c r="BJ43" i="12"/>
  <c r="BJ36" i="12"/>
  <c r="BJ41" i="12" s="1"/>
  <c r="BD35" i="6"/>
  <c r="BD51" i="11"/>
  <c r="BJ35" i="13"/>
  <c r="BD30" i="6"/>
  <c r="BD48" i="11"/>
  <c r="BD52" i="11" l="1"/>
  <c r="BD36" i="6" s="1"/>
  <c r="BJ46" i="12"/>
  <c r="BJ48" i="12" s="1"/>
  <c r="BJ50" i="12"/>
  <c r="BJ57" i="12"/>
  <c r="BD72" i="11"/>
  <c r="BD53" i="11"/>
  <c r="BE47" i="11"/>
  <c r="BD32" i="6"/>
  <c r="BJ43" i="13"/>
  <c r="BJ36" i="13"/>
  <c r="BJ41" i="13" s="1"/>
  <c r="BJ50" i="13" l="1"/>
  <c r="BJ46" i="13"/>
  <c r="BJ48" i="13" s="1"/>
  <c r="BJ57" i="13"/>
  <c r="BE35" i="11"/>
  <c r="BE31" i="6"/>
  <c r="BJ51" i="12"/>
  <c r="BJ52" i="12" s="1"/>
  <c r="BJ59" i="12"/>
  <c r="BJ58" i="12"/>
  <c r="BJ72" i="12"/>
  <c r="BJ53" i="12"/>
  <c r="BK47" i="12"/>
  <c r="BK35" i="12" l="1"/>
  <c r="BJ72" i="13"/>
  <c r="BK47" i="13"/>
  <c r="BJ53" i="13"/>
  <c r="BE22" i="6"/>
  <c r="BE43" i="11"/>
  <c r="BE36" i="11"/>
  <c r="BJ59" i="13"/>
  <c r="BJ58" i="13"/>
  <c r="BJ51" i="13"/>
  <c r="BJ52" i="13" s="1"/>
  <c r="BE41" i="11" l="1"/>
  <c r="BE23" i="6"/>
  <c r="BE50" i="11"/>
  <c r="BE46" i="11"/>
  <c r="BE27" i="6"/>
  <c r="BE57" i="11"/>
  <c r="BK35" i="13"/>
  <c r="BK43" i="12"/>
  <c r="BK36" i="12"/>
  <c r="BK41" i="12" s="1"/>
  <c r="BK46" i="12" l="1"/>
  <c r="BK48" i="12" s="1"/>
  <c r="BK50" i="12"/>
  <c r="BK57" i="12"/>
  <c r="BE59" i="11"/>
  <c r="BE58" i="11"/>
  <c r="BE35" i="6"/>
  <c r="BE51" i="11"/>
  <c r="BE25" i="6"/>
  <c r="BK43" i="13"/>
  <c r="BK36" i="13"/>
  <c r="BK41" i="13" s="1"/>
  <c r="BE30" i="6"/>
  <c r="BE48" i="11"/>
  <c r="BK50" i="13" l="1"/>
  <c r="BK46" i="13"/>
  <c r="BK48" i="13" s="1"/>
  <c r="BK57" i="13"/>
  <c r="BE72" i="11"/>
  <c r="BE53" i="11"/>
  <c r="BF47" i="11"/>
  <c r="BE32" i="6"/>
  <c r="BK72" i="12"/>
  <c r="BK53" i="12"/>
  <c r="BL47" i="12"/>
  <c r="BE52" i="11"/>
  <c r="BE36" i="6" s="1"/>
  <c r="BK59" i="12"/>
  <c r="BK58" i="12"/>
  <c r="BK51" i="12"/>
  <c r="BK52" i="12" s="1"/>
  <c r="BL35" i="12" l="1"/>
  <c r="BF35" i="11"/>
  <c r="BF31" i="6"/>
  <c r="BK59" i="13"/>
  <c r="BK58" i="13"/>
  <c r="BL47" i="13"/>
  <c r="BK72" i="13"/>
  <c r="BK53" i="13"/>
  <c r="BK51" i="13"/>
  <c r="BK52" i="13" s="1"/>
  <c r="BL35" i="13" l="1"/>
  <c r="BF22" i="6"/>
  <c r="BF43" i="11"/>
  <c r="BF36" i="11"/>
  <c r="D35" i="12"/>
  <c r="BL36" i="12"/>
  <c r="H75" i="7"/>
  <c r="I75" i="7" s="1"/>
  <c r="BF50" i="11" l="1"/>
  <c r="BF46" i="11"/>
  <c r="BF27" i="6"/>
  <c r="BF57" i="11"/>
  <c r="D36" i="12"/>
  <c r="BL37" i="12"/>
  <c r="H76" i="7"/>
  <c r="I76" i="7" s="1"/>
  <c r="BF41" i="11"/>
  <c r="BF25" i="6" s="1"/>
  <c r="BF23" i="6"/>
  <c r="D35" i="13"/>
  <c r="BL36" i="13"/>
  <c r="H102" i="7"/>
  <c r="I102" i="7" s="1"/>
  <c r="D36" i="13" l="1"/>
  <c r="BL37" i="13"/>
  <c r="H103" i="7"/>
  <c r="I103" i="7" s="1"/>
  <c r="D37" i="12"/>
  <c r="BL39" i="12"/>
  <c r="BL38" i="12"/>
  <c r="D38" i="12" s="1"/>
  <c r="BF59" i="11"/>
  <c r="BF58" i="11"/>
  <c r="BF30" i="6"/>
  <c r="BF48" i="11"/>
  <c r="BF35" i="6"/>
  <c r="BF51" i="11"/>
  <c r="BF52" i="11" s="1"/>
  <c r="BF36" i="6" s="1"/>
  <c r="BF72" i="11" l="1"/>
  <c r="BF53" i="11"/>
  <c r="BG47" i="11"/>
  <c r="BF32" i="6"/>
  <c r="BL40" i="12"/>
  <c r="D39" i="12"/>
  <c r="D37" i="13"/>
  <c r="BL39" i="13"/>
  <c r="BL38" i="13"/>
  <c r="D38" i="13" s="1"/>
  <c r="BL40" i="13" l="1"/>
  <c r="D39" i="13"/>
  <c r="D40" i="12"/>
  <c r="H77" i="7"/>
  <c r="I77" i="7" s="1"/>
  <c r="BL43" i="12"/>
  <c r="BL41" i="12"/>
  <c r="BG35" i="11"/>
  <c r="BG31" i="6"/>
  <c r="D41" i="12" l="1"/>
  <c r="H78" i="7"/>
  <c r="BG22" i="6"/>
  <c r="BG43" i="11"/>
  <c r="BG36" i="11"/>
  <c r="BL46" i="12"/>
  <c r="BL56" i="12"/>
  <c r="BK56" i="12" s="1"/>
  <c r="BJ56" i="12" s="1"/>
  <c r="BI56" i="12" s="1"/>
  <c r="BH56" i="12" s="1"/>
  <c r="BG56" i="12" s="1"/>
  <c r="BF56" i="12" s="1"/>
  <c r="BE56" i="12" s="1"/>
  <c r="BD56" i="12" s="1"/>
  <c r="BC56" i="12" s="1"/>
  <c r="BB56" i="12" s="1"/>
  <c r="BA56" i="12" s="1"/>
  <c r="AZ56" i="12" s="1"/>
  <c r="AY56" i="12" s="1"/>
  <c r="AX56" i="12" s="1"/>
  <c r="AW56" i="12" s="1"/>
  <c r="AV56" i="12" s="1"/>
  <c r="AU56" i="12" s="1"/>
  <c r="AT56" i="12" s="1"/>
  <c r="AS56" i="12" s="1"/>
  <c r="AR56" i="12" s="1"/>
  <c r="AQ56" i="12" s="1"/>
  <c r="AP56" i="12" s="1"/>
  <c r="AO56" i="12" s="1"/>
  <c r="AN56" i="12" s="1"/>
  <c r="AM56" i="12" s="1"/>
  <c r="AL56" i="12" s="1"/>
  <c r="AK56" i="12" s="1"/>
  <c r="AJ56" i="12" s="1"/>
  <c r="AI56" i="12" s="1"/>
  <c r="AH56" i="12" s="1"/>
  <c r="AG56" i="12" s="1"/>
  <c r="AF56" i="12" s="1"/>
  <c r="AE56" i="12" s="1"/>
  <c r="AD56" i="12" s="1"/>
  <c r="AC56" i="12" s="1"/>
  <c r="AB56" i="12" s="1"/>
  <c r="AA56" i="12" s="1"/>
  <c r="Z56" i="12" s="1"/>
  <c r="Y56" i="12" s="1"/>
  <c r="X56" i="12" s="1"/>
  <c r="W56" i="12" s="1"/>
  <c r="V56" i="12" s="1"/>
  <c r="U56" i="12" s="1"/>
  <c r="T56" i="12" s="1"/>
  <c r="S56" i="12" s="1"/>
  <c r="R56" i="12" s="1"/>
  <c r="Q56" i="12" s="1"/>
  <c r="P56" i="12" s="1"/>
  <c r="O56" i="12" s="1"/>
  <c r="N56" i="12" s="1"/>
  <c r="M56" i="12" s="1"/>
  <c r="L56" i="12" s="1"/>
  <c r="K56" i="12" s="1"/>
  <c r="J56" i="12" s="1"/>
  <c r="I56" i="12" s="1"/>
  <c r="H56" i="12" s="1"/>
  <c r="G56" i="12" s="1"/>
  <c r="F56" i="12" s="1"/>
  <c r="E56" i="12" s="1"/>
  <c r="BL50" i="12"/>
  <c r="D43" i="12"/>
  <c r="H80" i="7"/>
  <c r="I80" i="7" s="1"/>
  <c r="BL57" i="12"/>
  <c r="D40" i="13"/>
  <c r="H104" i="7"/>
  <c r="I104" i="7" s="1"/>
  <c r="BL43" i="13"/>
  <c r="BL41" i="13"/>
  <c r="D56" i="12" l="1"/>
  <c r="D62" i="12"/>
  <c r="D63" i="12" s="1"/>
  <c r="H15" i="5" s="1"/>
  <c r="BL56" i="13"/>
  <c r="BK56" i="13" s="1"/>
  <c r="BJ56" i="13" s="1"/>
  <c r="BI56" i="13" s="1"/>
  <c r="BH56" i="13" s="1"/>
  <c r="BG56" i="13" s="1"/>
  <c r="BF56" i="13" s="1"/>
  <c r="BE56" i="13" s="1"/>
  <c r="BD56" i="13" s="1"/>
  <c r="BC56" i="13" s="1"/>
  <c r="BB56" i="13" s="1"/>
  <c r="BA56" i="13" s="1"/>
  <c r="AZ56" i="13" s="1"/>
  <c r="AY56" i="13" s="1"/>
  <c r="AX56" i="13" s="1"/>
  <c r="AW56" i="13" s="1"/>
  <c r="AV56" i="13" s="1"/>
  <c r="AU56" i="13" s="1"/>
  <c r="AT56" i="13" s="1"/>
  <c r="AS56" i="13" s="1"/>
  <c r="AR56" i="13" s="1"/>
  <c r="AQ56" i="13" s="1"/>
  <c r="AP56" i="13" s="1"/>
  <c r="AO56" i="13" s="1"/>
  <c r="AN56" i="13" s="1"/>
  <c r="AM56" i="13" s="1"/>
  <c r="AL56" i="13" s="1"/>
  <c r="AK56" i="13" s="1"/>
  <c r="AJ56" i="13" s="1"/>
  <c r="AI56" i="13" s="1"/>
  <c r="AH56" i="13" s="1"/>
  <c r="AG56" i="13" s="1"/>
  <c r="AF56" i="13" s="1"/>
  <c r="AE56" i="13" s="1"/>
  <c r="AD56" i="13" s="1"/>
  <c r="AC56" i="13" s="1"/>
  <c r="AB56" i="13" s="1"/>
  <c r="AA56" i="13" s="1"/>
  <c r="Z56" i="13" s="1"/>
  <c r="Y56" i="13" s="1"/>
  <c r="X56" i="13" s="1"/>
  <c r="W56" i="13" s="1"/>
  <c r="V56" i="13" s="1"/>
  <c r="U56" i="13" s="1"/>
  <c r="T56" i="13" s="1"/>
  <c r="S56" i="13" s="1"/>
  <c r="R56" i="13" s="1"/>
  <c r="Q56" i="13" s="1"/>
  <c r="P56" i="13" s="1"/>
  <c r="O56" i="13" s="1"/>
  <c r="N56" i="13" s="1"/>
  <c r="M56" i="13" s="1"/>
  <c r="L56" i="13" s="1"/>
  <c r="K56" i="13" s="1"/>
  <c r="J56" i="13" s="1"/>
  <c r="I56" i="13" s="1"/>
  <c r="H56" i="13" s="1"/>
  <c r="G56" i="13" s="1"/>
  <c r="F56" i="13" s="1"/>
  <c r="E56" i="13" s="1"/>
  <c r="BL46" i="13"/>
  <c r="BL50" i="13"/>
  <c r="D43" i="13"/>
  <c r="H107" i="7"/>
  <c r="I107" i="7" s="1"/>
  <c r="BL57" i="13"/>
  <c r="BL59" i="12"/>
  <c r="D57" i="12"/>
  <c r="BL58" i="12"/>
  <c r="D58" i="12" s="1"/>
  <c r="BG50" i="11"/>
  <c r="BG46" i="11"/>
  <c r="BG27" i="6"/>
  <c r="BG57" i="11"/>
  <c r="D46" i="12"/>
  <c r="H83" i="7"/>
  <c r="I83" i="7" s="1"/>
  <c r="BL48" i="12"/>
  <c r="H9" i="5"/>
  <c r="I78" i="7"/>
  <c r="D41" i="13"/>
  <c r="H105" i="7"/>
  <c r="D50" i="12"/>
  <c r="BL51" i="12"/>
  <c r="BL52" i="12" s="1"/>
  <c r="BG41" i="11"/>
  <c r="BG25" i="6" s="1"/>
  <c r="BG23" i="6"/>
  <c r="D48" i="12" l="1"/>
  <c r="BL72" i="12"/>
  <c r="D72" i="12" s="1"/>
  <c r="D8" i="10" s="1"/>
  <c r="F8" i="10" s="1"/>
  <c r="BL53" i="12"/>
  <c r="H84" i="7"/>
  <c r="D66" i="8"/>
  <c r="D67" i="8" s="1"/>
  <c r="D64" i="12"/>
  <c r="BG35" i="6"/>
  <c r="BG51" i="11"/>
  <c r="BG52" i="11" s="1"/>
  <c r="BG36" i="6" s="1"/>
  <c r="BG59" i="11"/>
  <c r="BG58" i="11"/>
  <c r="D67" i="12"/>
  <c r="D68" i="12" s="1"/>
  <c r="H16" i="5" s="1"/>
  <c r="D59" i="12"/>
  <c r="D50" i="13"/>
  <c r="BL51" i="13"/>
  <c r="BL52" i="13" s="1"/>
  <c r="I9" i="5"/>
  <c r="I105" i="7"/>
  <c r="BL59" i="13"/>
  <c r="D57" i="13"/>
  <c r="BL58" i="13"/>
  <c r="D58" i="13" s="1"/>
  <c r="D46" i="13"/>
  <c r="H110" i="7"/>
  <c r="I110" i="7" s="1"/>
  <c r="BL48" i="13"/>
  <c r="D56" i="13"/>
  <c r="D62" i="13"/>
  <c r="D63" i="13" s="1"/>
  <c r="I15" i="5" s="1"/>
  <c r="BG30" i="6"/>
  <c r="BG48" i="11"/>
  <c r="D52" i="12"/>
  <c r="H17" i="5"/>
  <c r="D52" i="13" l="1"/>
  <c r="I17" i="5"/>
  <c r="D59" i="13"/>
  <c r="D67" i="13"/>
  <c r="D68" i="13" s="1"/>
  <c r="I16" i="5" s="1"/>
  <c r="M56" i="8"/>
  <c r="N56" i="8" s="1"/>
  <c r="O56" i="8" s="1"/>
  <c r="M53" i="8"/>
  <c r="D70" i="8" s="1"/>
  <c r="H22" i="5" s="1"/>
  <c r="M57" i="8"/>
  <c r="M55" i="8"/>
  <c r="N55" i="8" s="1"/>
  <c r="O55" i="8" s="1"/>
  <c r="M54" i="8"/>
  <c r="N54" i="8" s="1"/>
  <c r="O54" i="8" s="1"/>
  <c r="H20" i="5"/>
  <c r="I84" i="7"/>
  <c r="H10" i="5"/>
  <c r="D65" i="12"/>
  <c r="D66" i="12" s="1"/>
  <c r="H12" i="5" s="1"/>
  <c r="H11" i="5"/>
  <c r="D53" i="12"/>
  <c r="D69" i="12"/>
  <c r="D70" i="12" s="1"/>
  <c r="H13" i="5" s="1"/>
  <c r="BG72" i="11"/>
  <c r="BG53" i="11"/>
  <c r="BH47" i="11"/>
  <c r="BG32" i="6"/>
  <c r="BL72" i="13"/>
  <c r="D72" i="13" s="1"/>
  <c r="D9" i="10" s="1"/>
  <c r="F9" i="10" s="1"/>
  <c r="D48" i="13"/>
  <c r="BL53" i="13"/>
  <c r="H111" i="7"/>
  <c r="D89" i="8"/>
  <c r="D90" i="8" s="1"/>
  <c r="D64" i="13"/>
  <c r="D53" i="13" l="1"/>
  <c r="D69" i="13"/>
  <c r="D70" i="13" s="1"/>
  <c r="I13" i="5" s="1"/>
  <c r="BH35" i="11"/>
  <c r="BH31" i="6"/>
  <c r="M79" i="8"/>
  <c r="N79" i="8" s="1"/>
  <c r="O79" i="8" s="1"/>
  <c r="M76" i="8"/>
  <c r="D93" i="8" s="1"/>
  <c r="I22" i="5" s="1"/>
  <c r="M80" i="8"/>
  <c r="M77" i="8"/>
  <c r="N77" i="8" s="1"/>
  <c r="O77" i="8" s="1"/>
  <c r="I20" i="5"/>
  <c r="M78" i="8"/>
  <c r="N78" i="8" s="1"/>
  <c r="O78" i="8" s="1"/>
  <c r="D65" i="13"/>
  <c r="D66" i="13" s="1"/>
  <c r="I12" i="5" s="1"/>
  <c r="I11" i="5"/>
  <c r="I111" i="7"/>
  <c r="I10" i="5"/>
  <c r="BH22" i="6" l="1"/>
  <c r="BH43" i="11"/>
  <c r="BH36" i="11"/>
  <c r="BH46" i="11" l="1"/>
  <c r="BH50" i="11"/>
  <c r="BH27" i="6"/>
  <c r="BH57" i="11"/>
  <c r="BH41" i="11"/>
  <c r="BH25" i="6" s="1"/>
  <c r="BH23" i="6"/>
  <c r="BH59" i="11" l="1"/>
  <c r="BH58" i="11"/>
  <c r="BH35" i="6"/>
  <c r="BH51" i="11"/>
  <c r="BH30" i="6"/>
  <c r="BH48" i="11"/>
  <c r="BH72" i="11" l="1"/>
  <c r="BH53" i="11"/>
  <c r="BI47" i="11"/>
  <c r="BH32" i="6"/>
  <c r="BH52" i="11"/>
  <c r="BH36" i="6" s="1"/>
  <c r="BI35" i="11" l="1"/>
  <c r="BI31" i="6"/>
  <c r="BI22" i="6" l="1"/>
  <c r="BI43" i="11"/>
  <c r="BI36" i="11"/>
  <c r="BI41" i="11" l="1"/>
  <c r="BI25" i="6" s="1"/>
  <c r="BI23" i="6"/>
  <c r="BI46" i="11"/>
  <c r="BI50" i="11"/>
  <c r="BI27" i="6"/>
  <c r="BI57" i="11"/>
  <c r="BI59" i="11" l="1"/>
  <c r="BI58" i="11"/>
  <c r="BI35" i="6"/>
  <c r="BI51" i="11"/>
  <c r="BI30" i="6"/>
  <c r="BI48" i="11"/>
  <c r="BI72" i="11" l="1"/>
  <c r="BI53" i="11"/>
  <c r="BJ47" i="11"/>
  <c r="BI32" i="6"/>
  <c r="BI52" i="11"/>
  <c r="BI36" i="6" s="1"/>
  <c r="BJ35" i="11" l="1"/>
  <c r="BJ31" i="6"/>
  <c r="BJ22" i="6" l="1"/>
  <c r="BJ43" i="11"/>
  <c r="BJ36" i="11"/>
  <c r="BJ41" i="11" l="1"/>
  <c r="BJ25" i="6" s="1"/>
  <c r="BJ23" i="6"/>
  <c r="BJ46" i="11"/>
  <c r="BJ50" i="11"/>
  <c r="BJ27" i="6"/>
  <c r="BJ57" i="11"/>
  <c r="BJ59" i="11" l="1"/>
  <c r="BJ58" i="11"/>
  <c r="BJ35" i="6"/>
  <c r="BJ51" i="11"/>
  <c r="BJ30" i="6"/>
  <c r="BJ48" i="11"/>
  <c r="BK47" i="11" l="1"/>
  <c r="BJ53" i="11"/>
  <c r="BJ72" i="11"/>
  <c r="BJ32" i="6"/>
  <c r="BJ52" i="11"/>
  <c r="BJ36" i="6" s="1"/>
  <c r="BK35" i="11" l="1"/>
  <c r="BK31" i="6"/>
  <c r="BK22" i="6" l="1"/>
  <c r="BK43" i="11"/>
  <c r="BK36" i="11"/>
  <c r="BK41" i="11" l="1"/>
  <c r="BK25" i="6" s="1"/>
  <c r="BK23" i="6"/>
  <c r="BK46" i="11"/>
  <c r="BK50" i="11"/>
  <c r="BK27" i="6"/>
  <c r="BK57" i="11"/>
  <c r="BK59" i="11" l="1"/>
  <c r="BK58" i="11"/>
  <c r="BK35" i="6"/>
  <c r="BK51" i="11"/>
  <c r="BK30" i="6"/>
  <c r="BK48" i="11"/>
  <c r="BK52" i="11" l="1"/>
  <c r="BK36" i="6" s="1"/>
  <c r="BK53" i="11"/>
  <c r="BK72" i="11"/>
  <c r="BL47" i="11"/>
  <c r="BK32" i="6"/>
  <c r="BL35" i="11" l="1"/>
  <c r="BL31" i="6"/>
  <c r="BL22" i="6" l="1"/>
  <c r="D35" i="11"/>
  <c r="D22" i="6" s="1"/>
  <c r="BL36" i="11"/>
  <c r="H48" i="7"/>
  <c r="H21" i="7" l="1"/>
  <c r="I48" i="7"/>
  <c r="I21" i="7" s="1"/>
  <c r="BL23" i="6"/>
  <c r="D36" i="11"/>
  <c r="D23" i="6" s="1"/>
  <c r="BL37" i="11"/>
  <c r="H49" i="7"/>
  <c r="H22" i="7" l="1"/>
  <c r="I49" i="7"/>
  <c r="I22" i="7" s="1"/>
  <c r="D37" i="11"/>
  <c r="BL39" i="11"/>
  <c r="BL38" i="11"/>
  <c r="D38" i="11" s="1"/>
  <c r="BL40" i="11" l="1"/>
  <c r="D39" i="11"/>
  <c r="BL24" i="6" l="1"/>
  <c r="H50" i="7"/>
  <c r="D40" i="11"/>
  <c r="D24" i="6" s="1"/>
  <c r="BL43" i="11"/>
  <c r="BL41" i="11"/>
  <c r="BL25" i="6" l="1"/>
  <c r="D41" i="11"/>
  <c r="D25" i="6" s="1"/>
  <c r="H51" i="7"/>
  <c r="BL46" i="11"/>
  <c r="BL56" i="11"/>
  <c r="BK56" i="11" s="1"/>
  <c r="BJ56" i="11" s="1"/>
  <c r="BI56" i="11" s="1"/>
  <c r="BH56" i="11" s="1"/>
  <c r="BG56" i="11" s="1"/>
  <c r="BF56" i="11" s="1"/>
  <c r="BE56" i="11" s="1"/>
  <c r="BD56" i="11" s="1"/>
  <c r="BC56" i="11" s="1"/>
  <c r="BB56" i="11" s="1"/>
  <c r="BA56" i="11" s="1"/>
  <c r="AZ56" i="11" s="1"/>
  <c r="AY56" i="11" s="1"/>
  <c r="AX56" i="11" s="1"/>
  <c r="AW56" i="11" s="1"/>
  <c r="AV56" i="11" s="1"/>
  <c r="AU56" i="11" s="1"/>
  <c r="AT56" i="11" s="1"/>
  <c r="AS56" i="11" s="1"/>
  <c r="AR56" i="11" s="1"/>
  <c r="AQ56" i="11" s="1"/>
  <c r="AP56" i="11" s="1"/>
  <c r="AO56" i="11" s="1"/>
  <c r="AN56" i="11" s="1"/>
  <c r="AM56" i="11" s="1"/>
  <c r="AL56" i="11" s="1"/>
  <c r="AK56" i="11" s="1"/>
  <c r="AJ56" i="11" s="1"/>
  <c r="AI56" i="11" s="1"/>
  <c r="AH56" i="11" s="1"/>
  <c r="AG56" i="11" s="1"/>
  <c r="AF56" i="11" s="1"/>
  <c r="AE56" i="11" s="1"/>
  <c r="AD56" i="11" s="1"/>
  <c r="AC56" i="11" s="1"/>
  <c r="AB56" i="11" s="1"/>
  <c r="AA56" i="11" s="1"/>
  <c r="Z56" i="11" s="1"/>
  <c r="Y56" i="11" s="1"/>
  <c r="X56" i="11" s="1"/>
  <c r="W56" i="11" s="1"/>
  <c r="V56" i="11" s="1"/>
  <c r="U56" i="11" s="1"/>
  <c r="T56" i="11" s="1"/>
  <c r="S56" i="11" s="1"/>
  <c r="R56" i="11" s="1"/>
  <c r="Q56" i="11" s="1"/>
  <c r="P56" i="11" s="1"/>
  <c r="O56" i="11" s="1"/>
  <c r="N56" i="11" s="1"/>
  <c r="M56" i="11" s="1"/>
  <c r="L56" i="11" s="1"/>
  <c r="K56" i="11" s="1"/>
  <c r="J56" i="11" s="1"/>
  <c r="I56" i="11" s="1"/>
  <c r="H56" i="11" s="1"/>
  <c r="G56" i="11" s="1"/>
  <c r="F56" i="11" s="1"/>
  <c r="E56" i="11" s="1"/>
  <c r="BL50" i="11"/>
  <c r="BL27" i="6"/>
  <c r="D43" i="11"/>
  <c r="D27" i="6" s="1"/>
  <c r="H53" i="7"/>
  <c r="BL57" i="11"/>
  <c r="H23" i="7"/>
  <c r="I50" i="7"/>
  <c r="I23" i="7" s="1"/>
  <c r="BL59" i="11" l="1"/>
  <c r="D57" i="11"/>
  <c r="BL58" i="11"/>
  <c r="D58" i="11" s="1"/>
  <c r="H26" i="7"/>
  <c r="I53" i="7"/>
  <c r="I26" i="7" s="1"/>
  <c r="D56" i="11"/>
  <c r="D62" i="11"/>
  <c r="G9" i="5"/>
  <c r="H24" i="7"/>
  <c r="C9" i="5"/>
  <c r="I51" i="7"/>
  <c r="BL35" i="6"/>
  <c r="D50" i="11"/>
  <c r="D35" i="6" s="1"/>
  <c r="BL51" i="11"/>
  <c r="BL30" i="6"/>
  <c r="D46" i="11"/>
  <c r="D30" i="6" s="1"/>
  <c r="H56" i="7"/>
  <c r="BL48" i="11"/>
  <c r="BL52" i="11" l="1"/>
  <c r="D52" i="11"/>
  <c r="D36" i="6" s="1"/>
  <c r="G17" i="5"/>
  <c r="C17" i="5"/>
  <c r="BL36" i="6"/>
  <c r="BL72" i="11"/>
  <c r="BL53" i="11"/>
  <c r="D43" i="8"/>
  <c r="D48" i="11"/>
  <c r="D32" i="6" s="1"/>
  <c r="H57" i="7"/>
  <c r="BL32" i="6"/>
  <c r="D64" i="11"/>
  <c r="H29" i="7"/>
  <c r="I56" i="7"/>
  <c r="I29" i="7" s="1"/>
  <c r="I24" i="7"/>
  <c r="D63" i="11"/>
  <c r="E42" i="9"/>
  <c r="D59" i="11"/>
  <c r="D67" i="11"/>
  <c r="D68" i="11" s="1"/>
  <c r="G16" i="5" l="1"/>
  <c r="C16" i="5"/>
  <c r="I57" i="7"/>
  <c r="H25" i="9"/>
  <c r="H26" i="9" s="1"/>
  <c r="C10" i="5"/>
  <c r="G10" i="5"/>
  <c r="H30" i="7"/>
  <c r="C19" i="1" s="1"/>
  <c r="D20" i="8"/>
  <c r="D44" i="8"/>
  <c r="G15" i="5"/>
  <c r="D42" i="9"/>
  <c r="C15" i="5"/>
  <c r="D65" i="11"/>
  <c r="D43" i="9"/>
  <c r="E43" i="9" s="1"/>
  <c r="G11" i="5"/>
  <c r="C20" i="1"/>
  <c r="C11" i="5"/>
  <c r="D69" i="11"/>
  <c r="D70" i="11" s="1"/>
  <c r="D53" i="11"/>
  <c r="D72" i="11"/>
  <c r="D7" i="10" s="1"/>
  <c r="F7" i="10" s="1"/>
  <c r="G13" i="5" l="1"/>
  <c r="C13" i="5"/>
  <c r="D46" i="9"/>
  <c r="E46" i="9" s="1"/>
  <c r="M34" i="8"/>
  <c r="M11" i="8" s="1"/>
  <c r="M32" i="8"/>
  <c r="M31" i="8"/>
  <c r="M30" i="8"/>
  <c r="G20" i="5"/>
  <c r="M33" i="8"/>
  <c r="C20" i="5"/>
  <c r="D21" i="8"/>
  <c r="C23" i="1" s="1"/>
  <c r="D66" i="11"/>
  <c r="E44" i="9"/>
  <c r="I30" i="7"/>
  <c r="D15" i="10"/>
  <c r="F15" i="10" s="1"/>
  <c r="D44" i="9" l="1"/>
  <c r="C21" i="1"/>
  <c r="G12" i="5"/>
  <c r="C12" i="5"/>
  <c r="D47" i="8"/>
  <c r="M7" i="8"/>
  <c r="M10" i="8"/>
  <c r="N33" i="8"/>
  <c r="N31" i="8"/>
  <c r="M8" i="8"/>
  <c r="N32" i="8"/>
  <c r="M9" i="8"/>
  <c r="D48" i="9" l="1"/>
  <c r="E48" i="9" s="1"/>
  <c r="O32" i="8"/>
  <c r="O9" i="8" s="1"/>
  <c r="N9" i="8"/>
  <c r="D47" i="9"/>
  <c r="E47" i="9" s="1"/>
  <c r="O31" i="8"/>
  <c r="O8" i="8" s="1"/>
  <c r="N8" i="8"/>
  <c r="D10" i="10" s="1"/>
  <c r="F10" i="10" s="1"/>
  <c r="F4" i="10" s="1"/>
  <c r="C22" i="5"/>
  <c r="G22" i="5"/>
  <c r="D24" i="8"/>
  <c r="D49" i="9"/>
  <c r="E49" i="9" s="1"/>
  <c r="O33" i="8"/>
  <c r="O10" i="8" s="1"/>
  <c r="N10" i="8"/>
  <c r="D4" i="10" l="1"/>
  <c r="D25" i="1"/>
  <c r="F3" i="5"/>
  <c r="C25" i="1"/>
</calcChain>
</file>

<file path=xl/sharedStrings.xml><?xml version="1.0" encoding="utf-8"?>
<sst xmlns="http://schemas.openxmlformats.org/spreadsheetml/2006/main" count="1535" uniqueCount="447">
  <si>
    <t>D20 Quick Model</t>
  </si>
  <si>
    <t>Mirovest GmbH — 60-month what-if model, January 2027 – December 2031, three scenarios</t>
  </si>
  <si>
    <t>Data version CR02-2026-10-13-v1</t>
  </si>
  <si>
    <t>Fictional company — Mirovest GmbH is invented for this template kit.</t>
  </si>
  <si>
    <t>Illustrative calculation — not investment, tax or legal advice.</t>
  </si>
  <si>
    <t>Copy trading and crypto-assets involve a risk of loss.</t>
  </si>
  <si>
    <t>What this file is</t>
  </si>
  <si>
    <t>A light, top-down model for fast what-ifs: enter revenue, growth and cost numbers per year and see 60 months</t>
  </si>
  <si>
    <t>of P&amp;L, cash flow, runway, funding and an indicative exit valuation at once, for Base, Upside and Downside.</t>
  </si>
  <si>
    <t>It sits next to the full financial model (D10), which builds the same company bottom-up. The starting values</t>
  </si>
  <si>
    <t>come from the full model's Original Budget; the Reconciliation sheet compares the Base with it.</t>
  </si>
  <si>
    <t>All numbers are live formulas over the inputs. The file has no links to other files and no macros.</t>
  </si>
  <si>
    <t>Revenue FY2031</t>
  </si>
  <si>
    <t>EBITDA FY2031</t>
  </si>
  <si>
    <t>Closing cash, December 2031</t>
  </si>
  <si>
    <t>Minimum closing cash</t>
  </si>
  <si>
    <t>Minimum closing cash in</t>
  </si>
  <si>
    <t>EBITDA positive from</t>
  </si>
  <si>
    <t>Exit equity value (indicative)</t>
  </si>
  <si>
    <t>Valuation figures are illustrative, not a valuation opinion.</t>
  </si>
  <si>
    <t>Checks</t>
  </si>
  <si>
    <t>Sheets</t>
  </si>
  <si>
    <t>How_To_Use</t>
  </si>
  <si>
    <t>Step-by-step guide, the rules of the model, what is simplified and where the starting values come from.</t>
  </si>
  <si>
    <t>Inputs</t>
  </si>
  <si>
    <t>All inputs, one column per scenario, with allowed ranges; the scenario selector.</t>
  </si>
  <si>
    <t>Ramp</t>
  </si>
  <si>
    <t>Monthly profiles, each month's share of its year: revenue ramp, and FTE, marketing and other operating expenses for FY2027–FY2028.</t>
  </si>
  <si>
    <t>Dashboard</t>
  </si>
  <si>
    <t>Headline results, scenario comparison and charts.</t>
  </si>
  <si>
    <t>Monthly</t>
  </si>
  <si>
    <t>60 months of P&amp;L and cash flow for the scenario shown.</t>
  </si>
  <si>
    <t>Annual</t>
  </si>
  <si>
    <t>FY2027–FY2031 summary: scenario shown, then all three.</t>
  </si>
  <si>
    <t>Rounds_Exit</t>
  </si>
  <si>
    <t>Funding rounds with simple dilution and the indicative exit (MOIC, IRR).</t>
  </si>
  <si>
    <t>Reconciliation</t>
  </si>
  <si>
    <t>Base against the full model, for reference (not a tie).</t>
  </si>
  <si>
    <t>Cash roll-forward, error cells, input ranges, ramp profiles, rounds; overall status.</t>
  </si>
  <si>
    <t>Calc_Base, Calc_Upside, Calc_Downside</t>
  </si>
  <si>
    <t>The calculation engine, one identical sheet per scenario.</t>
  </si>
  <si>
    <t>Data frozen 13 October 2026. Starting values from the full model's Original Budget; amounts in EUR.</t>
  </si>
  <si>
    <t>Tested in Microsoft Excel (Windows, Microsoft 365): opens, recalculates, edits and saves. LibreOffice 26.8: opens and recalculates with identical results; saving from LibreOffice is not claimed. Google Sheets: not tested.</t>
  </si>
  <si>
    <t>How to use the Quick Model</t>
  </si>
  <si>
    <t>What it is</t>
  </si>
  <si>
    <t>A light, top-down model of Mirovest GmbH for fast what-ifs. You enter revenue, growth and cost assumptions per year; the workbook builds 60 months (January 2027 – December 2031) of profit and loss, cash flow, funding and an indicative exit valuation, for three scenarios at once.</t>
  </si>
  <si>
    <t>It sits next to the full financial model (D10_Mirovest_Financial_Model.xlsx), which calculates the same company bottom-up from users, prices, hires and contracts. The starting values here come from the full model's Original Budget, so you start from a familiar picture and can change it in minutes.</t>
  </si>
  <si>
    <t>Step by step</t>
  </si>
  <si>
    <t>1. Inputs, cell D5: choose the scenario to show (Base, Upside or Downside). All three are always calculated; the choice only changes what Dashboard, Monthly, Annual and Rounds_Exit display.</t>
  </si>
  <si>
    <t>2. Inputs: change any blue number on a yellow cell. Each scenario has its own column. Min and Max show the allowed range; the Status column shows CHECK if a value is outside it.</t>
  </si>
  <si>
    <t>3. Revenue: for each stream enter the revenue of FY2027 and FY2028 and a growth rate for FY2029, FY2030 and FY2031. The Ramp sheet spreads each year over its twelve months.</t>
  </si>
  <si>
    <t>4. Costs: marketing, FTE, cost per FTE, the annual pay rise, other operating expenses and capex per year. For FY2027–FY2028 the Ramp sheet also spreads FTE, marketing and other operating expenses over the months.</t>
  </si>
  <si>
    <t>5. Funding: up to four rounds with month, amount and pre-money valuation. Exit: month and multiple.</t>
  </si>
  <si>
    <t>6. Read the results: Dashboard (headline numbers, scenario comparison, charts), Monthly (60 months), Annual (FY2027–FY2031) and Rounds_Exit (ownership and indicative returns).</t>
  </si>
  <si>
    <t>7. Checks must read OK (also shown on Cover and Dashboard). Reconciliation compares the Base with the full model, for reference only.</t>
  </si>
  <si>
    <t>How revenue is built</t>
  </si>
  <si>
    <t>Three streams: R1 subscriptions (Plus and Pro), R2 copy-trading fees and R7 B2B licences (Mirovest for Teams). R2 is booked in full as revenue because Mirovest sells the copy service; the lead trader's 50% share is part of R2's cost of revenue.</t>
  </si>
  <si>
    <t>FY2027 and FY2028: the year's revenue × the month's share on the Ramp sheet. The twelve shares of a year must add up to 100%, or all be zero if the stream has no revenue that year.</t>
  </si>
  <si>
    <t>FY2029–FY2031: revenue grows month by month by (1 + g)^(1/12) − 1, where g is the growth rate of the year. So every December is (1 + g) × the December before, and January 2029 = December 2028 × (1 + g)^(1/12).</t>
  </si>
  <si>
    <t>A stream with no revenue in December 2028 cannot grow from zero. For such a stream enter its FY2029 revenue in the launch-year row; the FY2029 ramp profile spreads it and growth applies from FY2030 (its FY2029 growth rate is then not used). In the starting values this applies to R7 B2B licences, which start in FY2029.</t>
  </si>
  <si>
    <t>Cost of revenue = revenue × (1 − gross margin), with one margin per stream and year (Inputs, one row per stream and scenario). Early-year margins can be strongly negative, because fixed platform costs come before revenue scales.</t>
  </si>
  <si>
    <t>How costs, tax and cash work</t>
  </si>
  <si>
    <t>Marketing and the fixed part of other operating expenses: in FY2027–FY2028 the annual amount × the month's share on the Ramp sheet; from FY2029 one twelfth each month. Capex is always spread evenly. The variable part of other operating expenses is a % of each month's revenue.</t>
  </si>
  <si>
    <t>FTE: in FY2027–FY2028 the average FTE of the year × 12 × the month's share on the Ramp sheet (the year's FTE-months are kept); from FY2029 the same FTE in every month. People cost per month = FTE of the month × cost per FTE × (1 + annual raise)^(years since FY2027) ÷ 12.</t>
  </si>
  <si>
    <t>Depreciation: each month's capex is written off in equal monthly amounts over the useful life, from the month it is spent.</t>
  </si>
  <si>
    <t>Interest = interest rate ÷ 12 × the month's opening cash, when the opening cash is positive.</t>
  </si>
  <si>
    <t>Tax is calculated once a year, in December: tax rate × (EBT of the year − tax losses carried forward), if positive. Losses carry forward without limit. The tax is paid in the same December.</t>
  </si>
  <si>
    <t>Operating cash flow = EBITDA + interest − tax; investing cash flow = − capex; plus funding received. Closing cash = opening cash + net cash flow.</t>
  </si>
  <si>
    <t>Runway = closing cash ÷ average burn of the last three months (burn = operating + investing cash outflow); 0 when cash is negative. 'not burning' means the business generated cash on that average. "Cash runs out" is the first month with negative closing cash.</t>
  </si>
  <si>
    <t>Milestones: "EBITDA positive from" is the first month from which EBITDA is positive in every month up to December 2031; the same test for operating cash flow. "Cumulative cash payback" is the first month in which the operating + investing cash flow added up since January 2027 is back at or above zero. 'not reached' means it does not happen within the 60 months.</t>
  </si>
  <si>
    <t>Funding rounds and the indicative exit</t>
  </si>
  <si>
    <t>Each round is priced equity with simple dilution: price per share = pre-money ÷ shares before the round; new shares = amount ÷ price; post-money = pre-money + amount. Rounds are applied in row order, so keep them in time order (a check confirms it). There is no employee option pool.</t>
  </si>
  <si>
    <t>Round 1 is the €1.00 million convertible note of month 1 in the full model. This model has no loans, so it treats the note as equity raised in month 1. Its pre-money of €4.86 million is set so that the note buys the same number of shares (5,145) as it receives when it converts in the full model, accrued interest included. Ownership after the later rounds is therefore comparable with the full model's issued shares; the note's interest is not shown as a cost.</t>
  </si>
  <si>
    <t>Exit: recurring run-rate = 12 × total revenue (R1 + R2 + R7) of the exit month; enterprise value = exit multiple × run-rate; equity value = enterprise value + closing cash of the exit month (there is no debt). Each round's value = equity value × its ownership at exit; MOIC = value ÷ amount invested; IRR = MOIC^(12 ÷ months held) − 1, a single-in, single-out annual return. Rounds after the exit month do not dilute; a round in or after the exit month shows MOIC and IRR of 0. This is an illustration, not a valuation opinion.</t>
  </si>
  <si>
    <t>What is simplified compared with the full model</t>
  </si>
  <si>
    <t>• No VAT and no working capital: no receivables, payables, payout lags or deferred revenue. Revenue and costs are cash in the same month.</t>
  </si>
  <si>
    <t>• No users, cohorts, prices or individual hires: revenue and costs are top-down annual amounts.</t>
  </si>
  <si>
    <t>• No MiCA own-funds (regulatory capital) test and no cash-buffer target.</t>
  </si>
  <si>
    <t>• Tax: one combined rate on profit after loss carry-forward; no minimum taxation, no trade-tax add-backs, no advance payments; booked and paid in December.</t>
  </si>
  <si>
    <t>• The convertible note is a priced round in month 1: no interest and no conversion mechanics.</t>
  </si>
  <si>
    <t>• No employee option pool. Round fees are not modelled separately (the seeded other operating expenses include those of the full model).</t>
  </si>
  <si>
    <t>• One useful life for all capex; one gross margin per stream and year; costs spread evenly from FY2029.</t>
  </si>
  <si>
    <t>Where the starting values come from</t>
  </si>
  <si>
    <t>All starting values come from the full model's Original Budget, scenario by scenario, on the planned funding path (data version CR02-2026-10-13-v1).</t>
  </si>
  <si>
    <t>Revenue FY2027–FY2028 and the ramp profiles are the full model's monthly revenue per stream. The growth rates FY2029–FY2031 are set so that each year's revenue per stream equals the full model's.</t>
  </si>
  <si>
    <t>Gross margin per stream and year = 1 − the stream's share of the full model's cost of revenue of that year ÷ its revenue of that year. Direct costs: app-store commission → R1; lead-trader share and trader payout fees → R2. Payment costs (card processing, subscription billing, disputes, fraud losses) → R1 and R2 in proportion to their revenue of the year. Platform costs (identity checks, cloud hosting, customer support, market data) → R1, R2 and R7 in proportion to their revenue of the year. A year in which a stream has no revenue takes the margin of its first year with revenue.</t>
  </si>
  <si>
    <t>Cost profiles FY2027–FY2028 = the full model's monthly FTE, marketing and other operating expenses, as shares of each year.</t>
  </si>
  <si>
    <t>Marketing = paid acquisition, brand, trader contests and referral bonuses. Other operating expenses = all other operating costs (offices, employee software, recruiting, bookkeeping, compliance, audit, legal, insurance, round fees, contingency and the rest).</t>
  </si>
  <si>
    <t>FTE = the average of each year. Cost per FTE (94,652 EUR a year) = the full model's FY2027 people cost ÷ FY2027 FTE-months × 12, so FY2027 people cost matches; the annual raise (5.51%) is set so that FY2031 people cost matches too. FY2028–FY2030 differ by -2.6%, -3.7%, -1.9% (FY2028, FY2029, FY2030).</t>
  </si>
  <si>
    <t>Capex = asset additions per year, net of VAT; useful life 3.0 years = the average of the full model's asset lives weighted by additions: IT equipment 3 years, office fit-out 5 years.</t>
  </si>
  <si>
    <t>Interest 1.5% = the full model's deposit rate. Tax rate 25.955% = corporate income tax 11% (2031) × (1 + 5.5% solidarity surcharge) + trade tax 3.5% × 410% municipal multiplier.</t>
  </si>
  <si>
    <t>Rounds: Seed €4.00 million at €8.00 million pre-money in month 8; Series A €12.00 million at €20.00 million pre-money in month 19 — as in the full model. Round 4 is empty (the full model has no further round).</t>
  </si>
  <si>
    <t>Exit month 60 and multiple 4.0x are illustrative defaults.</t>
  </si>
  <si>
    <t>Colour code</t>
  </si>
  <si>
    <t>Blue on yellow: input. Black: formula. Green: formula that reads another sheet. Grey: frozen reference value from the full model (Reconciliation only).</t>
  </si>
  <si>
    <t>Fictional company — Mirovest GmbH is invented for this template kit. Illustrative calculation — not investment, tax or legal advice.</t>
  </si>
  <si>
    <t>Blue numbers on yellow cells are inputs. One column per scenario; all three are always calculated.</t>
  </si>
  <si>
    <t>Scenario shown on Dashboard, Monthly, Annual and Rounds_Exit</t>
  </si>
  <si>
    <t>Base</t>
  </si>
  <si>
    <t>Choose Base, Upside or Downside.</t>
  </si>
  <si>
    <t>Scenario number (calculated)</t>
  </si>
  <si>
    <t>Input</t>
  </si>
  <si>
    <t>Unit</t>
  </si>
  <si>
    <t>Upside</t>
  </si>
  <si>
    <t>Downside</t>
  </si>
  <si>
    <t>Min</t>
  </si>
  <si>
    <t>Max</t>
  </si>
  <si>
    <t>Status</t>
  </si>
  <si>
    <t>How the starting value was set</t>
  </si>
  <si>
    <t>Revenue — R1 Subscriptions (Plus and Pro)</t>
  </si>
  <si>
    <t>R1 revenue FY2027</t>
  </si>
  <si>
    <t>EUR</t>
  </si>
  <si>
    <t>no limit</t>
  </si>
  <si>
    <t>Full model, revenue of the stream in FY2027 (spread by the Ramp sheet).</t>
  </si>
  <si>
    <t>R1 revenue FY2028</t>
  </si>
  <si>
    <t>Full model, revenue of the stream in FY2028 (spread by the Ramp sheet).</t>
  </si>
  <si>
    <t>R1 growth FY2029 (December on December)</t>
  </si>
  <si>
    <t>%</t>
  </si>
  <si>
    <t>Set so that the year's revenue equals the full model's (December on December growth).</t>
  </si>
  <si>
    <t>R1 growth FY2030 (December on December)</t>
  </si>
  <si>
    <t>R1 growth FY2031 (December on December)</t>
  </si>
  <si>
    <t>R1 launch-year revenue FY2029 (used only if R1 has no revenue in December 2028)</t>
  </si>
  <si>
    <t>Full model FY2029 revenue for a stream that starts in FY2029; otherwise 0.</t>
  </si>
  <si>
    <t>Revenue — R2 Copy-trading fees</t>
  </si>
  <si>
    <t>R2 revenue FY2027</t>
  </si>
  <si>
    <t>R2 revenue FY2028</t>
  </si>
  <si>
    <t>R2 growth FY2029 (December on December)</t>
  </si>
  <si>
    <t>R2 growth FY2030 (December on December)</t>
  </si>
  <si>
    <t>R2 growth FY2031 (December on December)</t>
  </si>
  <si>
    <t>R2 launch-year revenue FY2029 (used only if R2 has no revenue in December 2028)</t>
  </si>
  <si>
    <t>Revenue — R7 B2B licences (Mirovest for Teams)</t>
  </si>
  <si>
    <t>R7 revenue FY2027</t>
  </si>
  <si>
    <t>R7 revenue FY2028</t>
  </si>
  <si>
    <t>R7 growth FY2029 (December on December)</t>
  </si>
  <si>
    <t>Not used while the stream starts in FY2029 (see the launch-year row).</t>
  </si>
  <si>
    <t>R7 growth FY2030 (December on December)</t>
  </si>
  <si>
    <t>R7 growth FY2031 (December on December)</t>
  </si>
  <si>
    <t>R7 launch-year revenue FY2029 (used only if R7 has no revenue in December 2028)</t>
  </si>
  <si>
    <t>Gross margin by stream and year: cost of revenue = revenue × (1 − margin)</t>
  </si>
  <si>
    <t>Stream</t>
  </si>
  <si>
    <t>Scenario</t>
  </si>
  <si>
    <t>FY2027</t>
  </si>
  <si>
    <t>FY2028</t>
  </si>
  <si>
    <t>FY2029</t>
  </si>
  <si>
    <t>FY2030</t>
  </si>
  <si>
    <t>FY2031</t>
  </si>
  <si>
    <t>How the starting value was set (allowed −5000% to 100%)</t>
  </si>
  <si>
    <t>R1 Subscriptions</t>
  </si>
  <si>
    <t>Full model: 1 − cost of revenue ÷ revenue of the year (How_To_Use); negative while fixed costs exceed revenue.</t>
  </si>
  <si>
    <t>R2 Copy-trading fees</t>
  </si>
  <si>
    <t>R7 B2B licences</t>
  </si>
  <si>
    <t>Operating costs</t>
  </si>
  <si>
    <t>Marketing FY2027</t>
  </si>
  <si>
    <t>Full model: paid acquisition, brand, trader contests and referral bonuses (months follow the cost profile on Ramp).</t>
  </si>
  <si>
    <t>Marketing FY2028</t>
  </si>
  <si>
    <t>Marketing FY2029</t>
  </si>
  <si>
    <t>Full model: paid acquisition, brand, trader contests and referral bonuses (spread evenly over the months).</t>
  </si>
  <si>
    <t>Marketing FY2030</t>
  </si>
  <si>
    <t>Marketing FY2031</t>
  </si>
  <si>
    <t>FTE FY2027 (average for the year)</t>
  </si>
  <si>
    <t>FTE</t>
  </si>
  <si>
    <t>Full model: average monthly FTE of the year (months follow the cost profile on Ramp).</t>
  </si>
  <si>
    <t>FTE FY2028 (average for the year)</t>
  </si>
  <si>
    <t>FTE FY2029 (average for the year)</t>
  </si>
  <si>
    <t>Full model: average monthly FTE of the year (spread evenly over the months).</t>
  </si>
  <si>
    <t>FTE FY2030 (average for the year)</t>
  </si>
  <si>
    <t>FTE FY2031 (average for the year)</t>
  </si>
  <si>
    <t>Fully loaded cost per FTE in FY2027 (salary and employer costs)</t>
  </si>
  <si>
    <t>EUR/year</t>
  </si>
  <si>
    <t>Full model FY2027 people cost ÷ FY2027 FTE-months × 12, so FY2027 people cost matches.</t>
  </si>
  <si>
    <t>Annual pay rise, from FY2028</t>
  </si>
  <si>
    <t>Set so that FY2031 people cost matches the full model too: (FY2031 ÷ FY2027 cost per FTE)^(1/4) − 1.</t>
  </si>
  <si>
    <t>Other operating expenses FY2027, fixed</t>
  </si>
  <si>
    <t>Full model: all operating expenses except marketing and people (months follow the cost profile on Ramp).</t>
  </si>
  <si>
    <t>Other operating expenses FY2028, fixed</t>
  </si>
  <si>
    <t>Other operating expenses FY2029, fixed</t>
  </si>
  <si>
    <t>Full model: all operating expenses except marketing and people (spread evenly over the months).</t>
  </si>
  <si>
    <t>Other operating expenses FY2030, fixed</t>
  </si>
  <si>
    <t>Other operating expenses FY2031, fixed</t>
  </si>
  <si>
    <t>Other operating expenses, variable (% of revenue)</t>
  </si>
  <si>
    <t>Starts at 0%; use it for costs that move with revenue.</t>
  </si>
  <si>
    <t>Capital expenditure</t>
  </si>
  <si>
    <t>Capex FY2027</t>
  </si>
  <si>
    <t>Full model: asset additions of the year (IT equipment, office fit-out), net of VAT.</t>
  </si>
  <si>
    <t>Capex FY2028</t>
  </si>
  <si>
    <t>Capex FY2029</t>
  </si>
  <si>
    <t>Capex FY2030</t>
  </si>
  <si>
    <t>Capex FY2031</t>
  </si>
  <si>
    <t>Useful life for straight-line depreciation</t>
  </si>
  <si>
    <t>years</t>
  </si>
  <si>
    <t>Average of the full model asset lives weighted by additions (IT equipment 3 years, office fit-out 5 years).</t>
  </si>
  <si>
    <t>Cash, interest and tax</t>
  </si>
  <si>
    <t>Opening cash (founders' share capital paid in)</t>
  </si>
  <si>
    <t>Full model: founders' share capital paid in at the start.</t>
  </si>
  <si>
    <t>Founders' shares at the start</t>
  </si>
  <si>
    <t>shares</t>
  </si>
  <si>
    <t>Full model: founders' shares (EUR 1 nominal each).</t>
  </si>
  <si>
    <t>Interest on positive cash (per year)</t>
  </si>
  <si>
    <t>Full model: deposit rate on positive cash.</t>
  </si>
  <si>
    <t>Tax rate on profit (corporate income tax, solidarity surcharge, trade tax)</t>
  </si>
  <si>
    <t>Full model 2031 rates, combined (see How_To_Use).</t>
  </si>
  <si>
    <t>Funding rounds (priced equity, simple dilution; leave a round empty if not used)</t>
  </si>
  <si>
    <t>Round 1 — convertible note, as equity: month (1–60)</t>
  </si>
  <si>
    <t>month</t>
  </si>
  <si>
    <t>Full model convertible note, treated as equity (see How_To_Use).</t>
  </si>
  <si>
    <t>Round 1 — convertible note, as equity: amount raised</t>
  </si>
  <si>
    <t>Round 1 — convertible note, as equity: pre-money valuation</t>
  </si>
  <si>
    <t>Round 2 — Seed: month (1–60)</t>
  </si>
  <si>
    <t>Full model funding event.</t>
  </si>
  <si>
    <t>Round 2 — Seed: amount raised</t>
  </si>
  <si>
    <t>Round 2 — Seed: pre-money valuation</t>
  </si>
  <si>
    <t>Round 3 — Series A: month (1–60)</t>
  </si>
  <si>
    <t>Round 3 — Series A: amount raised</t>
  </si>
  <si>
    <t>Round 3 — Series A: pre-money valuation</t>
  </si>
  <si>
    <t>Round 4 — optional: month (1–60)</t>
  </si>
  <si>
    <t>Empty: no further round in the full model.</t>
  </si>
  <si>
    <t>Round 4 — optional: amount raised</t>
  </si>
  <si>
    <t>Round 4 — optional: pre-money valuation</t>
  </si>
  <si>
    <t>Exit (indicative valuation)</t>
  </si>
  <si>
    <t>Exit month (13–60)</t>
  </si>
  <si>
    <t>Illustrative default: month 60 (December 2031).</t>
  </si>
  <si>
    <t>Exit multiple on the recurring run-rate (12 × monthly revenue)</t>
  </si>
  <si>
    <t>x</t>
  </si>
  <si>
    <t>Illustrative default: 4.0x.</t>
  </si>
  <si>
    <t>Monthly profiles: each month's share of its year. Each row must add up to 100%, or be all zero for a year without that revenue or cost.</t>
  </si>
  <si>
    <t>Revenue ramp. FY2029 rows are used only for a stream with no revenue in December 2028 (launch year). Cost profiles follow below.</t>
  </si>
  <si>
    <t>Year</t>
  </si>
  <si>
    <t>Jan</t>
  </si>
  <si>
    <t>Feb</t>
  </si>
  <si>
    <t>Mar</t>
  </si>
  <si>
    <t>Apr</t>
  </si>
  <si>
    <t>May</t>
  </si>
  <si>
    <t>Jun</t>
  </si>
  <si>
    <t>Jul</t>
  </si>
  <si>
    <t>Aug</t>
  </si>
  <si>
    <t>Sep</t>
  </si>
  <si>
    <t>Oct</t>
  </si>
  <si>
    <t>Nov</t>
  </si>
  <si>
    <t>Dec</t>
  </si>
  <si>
    <t>Sum</t>
  </si>
  <si>
    <t>FY2029 (launch year)</t>
  </si>
  <si>
    <t>Cost profiles FY2027–FY2028: each month's share of the year (from FY2029 costs are spread evenly)</t>
  </si>
  <si>
    <t>Cost line</t>
  </si>
  <si>
    <t>Marketing</t>
  </si>
  <si>
    <t>Other operating expenses (fixed)</t>
  </si>
  <si>
    <t>Headline results</t>
  </si>
  <si>
    <t>Value</t>
  </si>
  <si>
    <t>Note</t>
  </si>
  <si>
    <t>Scenario comparison</t>
  </si>
  <si>
    <t>Sum of R1, R2 and R7.</t>
  </si>
  <si>
    <t>Before depreciation, interest and tax.</t>
  </si>
  <si>
    <t>EBITDA margin FY2031</t>
  </si>
  <si>
    <t>EBITDA ÷ revenue.</t>
  </si>
  <si>
    <t>Net income FY2031</t>
  </si>
  <si>
    <t>After depreciation, interest and tax.</t>
  </si>
  <si>
    <t>After all funding rounds.</t>
  </si>
  <si>
    <t>Lowest month-end cash in the 60 months.</t>
  </si>
  <si>
    <t>First month at the minimum.</t>
  </si>
  <si>
    <t>Cash runs out</t>
  </si>
  <si>
    <t>First month with negative closing cash.</t>
  </si>
  <si>
    <t>Positive in that month and every month after.</t>
  </si>
  <si>
    <t>Operating cash flow positive from</t>
  </si>
  <si>
    <t>Same test on operating cash flow.</t>
  </si>
  <si>
    <t>Cumulative cash payback</t>
  </si>
  <si>
    <t>Cumulative operating + investing cash flow back at zero.</t>
  </si>
  <si>
    <t>Runway, December 2031 (months)</t>
  </si>
  <si>
    <t>Closing cash ÷ average burn of the last 3 months.</t>
  </si>
  <si>
    <t>Total funding raised</t>
  </si>
  <si>
    <t>All rounds in the 60 months.</t>
  </si>
  <si>
    <t>Exit enterprise value (indicative)</t>
  </si>
  <si>
    <t>Exit multiple × recurring run-rate.</t>
  </si>
  <si>
    <t>Enterprise value + closing cash.</t>
  </si>
  <si>
    <t>Founders' ownership at exit</t>
  </si>
  <si>
    <t>Simple dilution, no option pool.</t>
  </si>
  <si>
    <t>Founders' value at exit (indicative)</t>
  </si>
  <si>
    <t>Equity value × ownership.</t>
  </si>
  <si>
    <t>Monthly — scenario shown</t>
  </si>
  <si>
    <t>Month number</t>
  </si>
  <si>
    <t>Month</t>
  </si>
  <si>
    <t>Fiscal year</t>
  </si>
  <si>
    <t>Month of year</t>
  </si>
  <si>
    <t>Line</t>
  </si>
  <si>
    <t>60 months</t>
  </si>
  <si>
    <t>Profit and loss</t>
  </si>
  <si>
    <t>Total revenue</t>
  </si>
  <si>
    <t>Total cost of revenue</t>
  </si>
  <si>
    <t>Gross profit</t>
  </si>
  <si>
    <t>People cost</t>
  </si>
  <si>
    <t>Other operating expenses</t>
  </si>
  <si>
    <t>EBITDA</t>
  </si>
  <si>
    <t>Depreciation</t>
  </si>
  <si>
    <t>EBIT</t>
  </si>
  <si>
    <t>Interest on positive cash</t>
  </si>
  <si>
    <t>EBT (profit before tax)</t>
  </si>
  <si>
    <t>Tax (booked and paid in December)</t>
  </si>
  <si>
    <t>Net income</t>
  </si>
  <si>
    <t>Cash flow</t>
  </si>
  <si>
    <t>Operating cash flow (EBITDA + interest − tax)</t>
  </si>
  <si>
    <t>Investing cash flow (− capex)</t>
  </si>
  <si>
    <t>Funding received</t>
  </si>
  <si>
    <t>Net cash flow</t>
  </si>
  <si>
    <t>Opening cash</t>
  </si>
  <si>
    <t>Closing cash</t>
  </si>
  <si>
    <t>Team and runway</t>
  </si>
  <si>
    <t>Burn (operating + investing cash outflow; negative = cash generated)</t>
  </si>
  <si>
    <t>Runway (closing cash ÷ average burn), months</t>
  </si>
  <si>
    <t>months</t>
  </si>
  <si>
    <t>Annual summary</t>
  </si>
  <si>
    <t>FY2027–FY2031, scenario shown first, then all three scenarios.</t>
  </si>
  <si>
    <t>5 years</t>
  </si>
  <si>
    <t>Revenue growth on the previous year</t>
  </si>
  <si>
    <t>Cost of revenue</t>
  </si>
  <si>
    <t>Gross margin</t>
  </si>
  <si>
    <t>EBITDA margin</t>
  </si>
  <si>
    <t>Tax</t>
  </si>
  <si>
    <t>FTE (average)</t>
  </si>
  <si>
    <t>Operating cash flow</t>
  </si>
  <si>
    <t>Capex</t>
  </si>
  <si>
    <t>Closing cash (December)</t>
  </si>
  <si>
    <t>Base scenario</t>
  </si>
  <si>
    <t>n/a</t>
  </si>
  <si>
    <t>Upside scenario</t>
  </si>
  <si>
    <t>Downside scenario</t>
  </si>
  <si>
    <t>Funding rounds and indicative exit</t>
  </si>
  <si>
    <t>Priced equity with simple dilution, in row order. Values at exit are an illustration, not a valuation opinion.</t>
  </si>
  <si>
    <t>Round</t>
  </si>
  <si>
    <t>Amount (EUR)</t>
  </si>
  <si>
    <t>Pre-money (EUR)</t>
  </si>
  <si>
    <t>Post-money (EUR)</t>
  </si>
  <si>
    <t>Shares before</t>
  </si>
  <si>
    <t>Price per share (EUR)</t>
  </si>
  <si>
    <t>New shares</t>
  </si>
  <si>
    <t>Investor ownership at close</t>
  </si>
  <si>
    <t>Founders' ownership after</t>
  </si>
  <si>
    <t>Ownership at exit</t>
  </si>
  <si>
    <t>Value at exit (EUR)</t>
  </si>
  <si>
    <t>MOIC</t>
  </si>
  <si>
    <t>IRR (per year)</t>
  </si>
  <si>
    <t>In time order (1 = yes)</t>
  </si>
  <si>
    <t>Founders (shares at the start)</t>
  </si>
  <si>
    <t>Round 1 — convertible note, as equity</t>
  </si>
  <si>
    <t>Round 2 — Seed</t>
  </si>
  <si>
    <t>Round 3 — Series A</t>
  </si>
  <si>
    <t>Round 4 — optional</t>
  </si>
  <si>
    <t>Indicative exit</t>
  </si>
  <si>
    <t>Exit month</t>
  </si>
  <si>
    <t>Exit in</t>
  </si>
  <si>
    <t>Exit multiple</t>
  </si>
  <si>
    <t>Total revenue in the exit month (R1 + R2 + R7)</t>
  </si>
  <si>
    <t>Recurring run-rate (12 × monthly revenue)</t>
  </si>
  <si>
    <t>Enterprise value (multiple × run-rate)</t>
  </si>
  <si>
    <t>Closing cash in the exit month</t>
  </si>
  <si>
    <t>Equity value (enterprise value + cash; no debt)</t>
  </si>
  <si>
    <t>Shares at exit</t>
  </si>
  <si>
    <t>Founders' value at exit</t>
  </si>
  <si>
    <t>Total funding raised (60 months)</t>
  </si>
  <si>
    <t>Reconciliation with the full model — Base</t>
  </si>
  <si>
    <t>For reference, not a tie. Grey values are frozen from the full financial model (D10), Original Budget, Base scenario, data version CR02-2026-10-13-v1.</t>
  </si>
  <si>
    <t>Source</t>
  </si>
  <si>
    <t>Full model (frozen)</t>
  </si>
  <si>
    <t>Quick model, Base</t>
  </si>
  <si>
    <t>Difference (quick − full)</t>
  </si>
  <si>
    <t>FY2031 EBITDA difference by line (Base)</t>
  </si>
  <si>
    <t>Full model FY2031 (frozen)</t>
  </si>
  <si>
    <t>Quick model FY2031</t>
  </si>
  <si>
    <t>Effect on EBITDA (quick − full)</t>
  </si>
  <si>
    <t>Gross profit — R1 Subscriptions</t>
  </si>
  <si>
    <t>Gross profit — R2 Copy-trading fees</t>
  </si>
  <si>
    <t>Gross profit — R7 B2B licences</t>
  </si>
  <si>
    <t>Sum of the line effects less the EBITDA difference</t>
  </si>
  <si>
    <t>Milestones, minimum cash and indicative exit (Base)</t>
  </si>
  <si>
    <t>Item</t>
  </si>
  <si>
    <t>Difference</t>
  </si>
  <si>
    <t>not reached</t>
  </si>
  <si>
    <t>Dec 2031 (month 60)</t>
  </si>
  <si>
    <t>Jul 2027 (month 7)</t>
  </si>
  <si>
    <t>MOIC — round 1 (note)</t>
  </si>
  <si>
    <t>MOIC — round 2 (Seed)</t>
  </si>
  <si>
    <t>MOIC — round 3 (Series A)</t>
  </si>
  <si>
    <t>Why the two models differ</t>
  </si>
  <si>
    <t>•  Revenue per stream matches the full model by year for the seeded Base, because the growth rates were set to reproduce it; the monthly</t>
  </si>
  <si>
    <t xml:space="preserve">    path inside each year is smoother here.</t>
  </si>
  <si>
    <t>•  Cost of revenue uses one gross margin per stream and year, applied to every month of that year; the full model books its fixed platform</t>
  </si>
  <si>
    <t xml:space="preserve">    costs month by month, so gross profit matches by year, not by month.</t>
  </si>
  <si>
    <t>•  People cost uses one cost per FTE with a constant annual raise, set so that FY2027 and FY2031 match the full model; FY2028–FY2030</t>
  </si>
  <si>
    <t xml:space="preserve">    differ a little because the team mix changes.</t>
  </si>
  <si>
    <t>•  FY2027–FY2028 FTE, marketing and other operating expenses follow the full model month by month (Ramp sheet); from FY2029 they are</t>
  </si>
  <si>
    <t xml:space="preserve">    spread evenly over each year.</t>
  </si>
  <si>
    <t>•  Cash: the full model has VAT, receivables, payables, payout lags, prepaid annual subscriptions, tax paid after the year and round fees;</t>
  </si>
  <si>
    <t xml:space="preserve">    the quick model has none of these, so its cash, and its minimum cash, differ even where EBITDA is close.</t>
  </si>
  <si>
    <t>•  Tax: one combined rate after loss carry-forward, without minimum taxation; the full model's tax rules are detailed and its tax is paid</t>
  </si>
  <si>
    <t xml:space="preserve">    later.</t>
  </si>
  <si>
    <t>•  Exit: the full model values subscriptions, B2B seats and copy fees recognised in the month (without B2B onboarding fees); the quick</t>
  </si>
  <si>
    <t xml:space="preserve">    model uses all revenue of the exit month. MOIC: the full model measures ownership fully diluted, including the employee option pool,</t>
  </si>
  <si>
    <t xml:space="preserve">    and treats the note as a loan that converts; here there is no pool and the note is equity from month 1.</t>
  </si>
  <si>
    <t>Every check covers all three scenarios. The overall status is shown on Cover and Dashboard.</t>
  </si>
  <si>
    <t>Overall status</t>
  </si>
  <si>
    <t>#</t>
  </si>
  <si>
    <t>Check</t>
  </si>
  <si>
    <t>Result</t>
  </si>
  <si>
    <t>Limit</t>
  </si>
  <si>
    <t>Cash roll-forward, Base: largest monthly difference between closing cash and opening cash plus all flows to date (EUR)</t>
  </si>
  <si>
    <t>Cash roll-forward, Upside: largest monthly difference between closing cash and opening cash plus all flows to date (EUR)</t>
  </si>
  <si>
    <t>Cash roll-forward, Downside: largest monthly difference between closing cash and opening cash plus all flows to date (EUR)</t>
  </si>
  <si>
    <t>Error cells in all calculation ranges (count)</t>
  </si>
  <si>
    <t>Input rows with a value outside its allowed range, empty or not a number (count; see column I on Inputs)</t>
  </si>
  <si>
    <t>Revenue ramp and cost profiles that do not add up to 100% (or are all zero with an amount entered), count</t>
  </si>
  <si>
    <t>Funding rounds with an amount but no valid month (1–60) or no positive pre-money (count)</t>
  </si>
  <si>
    <t>Funding rounds out of time order (count; rounds are applied row by row)</t>
  </si>
  <si>
    <t>Annual summary equals the monthly calculation (revenue, EBITDA, net income, funding, closing cash; largest difference, EUR)</t>
  </si>
  <si>
    <t>Calculation — Base scenario</t>
  </si>
  <si>
    <t>The engine for one scenario (all EUR; costs are positive numbers and are subtracted). Read the results on Dashboard, Monthly and Annual.</t>
  </si>
  <si>
    <t>60 months / result</t>
  </si>
  <si>
    <t>Revenue</t>
  </si>
  <si>
    <t>R1 uses the launch-year revenue in FY2029 (1 = yes)</t>
  </si>
  <si>
    <t>flag</t>
  </si>
  <si>
    <t>R2 uses the launch-year revenue in FY2029 (1 = yes)</t>
  </si>
  <si>
    <t>R7 uses the launch-year revenue in FY2029 (1 = yes)</t>
  </si>
  <si>
    <t>Cost of revenue and gross profit</t>
  </si>
  <si>
    <t>Cost of revenue R1</t>
  </si>
  <si>
    <t>Cost of revenue R2 (incl. lead-trader share)</t>
  </si>
  <si>
    <t>Cost of revenue R7</t>
  </si>
  <si>
    <t>Operating expenses and EBITDA</t>
  </si>
  <si>
    <t>Depreciation, interest and tax</t>
  </si>
  <si>
    <t>Capex, cumulative</t>
  </si>
  <si>
    <t>Depreciation period (months)</t>
  </si>
  <si>
    <t>EBT of the year (December only)</t>
  </si>
  <si>
    <t>Tax losses carried forward, closing</t>
  </si>
  <si>
    <t>Taxable profit after loss carry-forward (December only)</t>
  </si>
  <si>
    <t>Burn and runway</t>
  </si>
  <si>
    <t>Average burn, last 3 months</t>
  </si>
  <si>
    <t>Closing cash below zero (1 = yes)</t>
  </si>
  <si>
    <t>Milestones (month numbers; 0 = not reached)</t>
  </si>
  <si>
    <t>EBITDA positive in this and every later month (1 = yes)</t>
  </si>
  <si>
    <t>Operating cash flow positive in this and every later month (1 = yes)</t>
  </si>
  <si>
    <t>Cumulative operating + investing cash flow since month 1</t>
  </si>
  <si>
    <t>Lowest cumulative cash flow so far</t>
  </si>
  <si>
    <t>Cumulative cash flow back at or above zero after being negative (1 = yes)</t>
  </si>
  <si>
    <t>EBITDA positive from (month)</t>
  </si>
  <si>
    <t>text</t>
  </si>
  <si>
    <t>Operating cash flow positive from (month)</t>
  </si>
  <si>
    <t>Month of the minimum (first)</t>
  </si>
  <si>
    <t>Cumulative cash payback (month)</t>
  </si>
  <si>
    <t>Cash runs out (month; 0 = not within 60 months)</t>
  </si>
  <si>
    <t>Cash roll-forward difference: closing cash − (opening cash + all flows to date)</t>
  </si>
  <si>
    <t>Calculation — Upside scenario</t>
  </si>
  <si>
    <t>Calculation — Downside scenario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</si>
</sst>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quot;-&quot;"/>
    <numFmt numFmtId="165" formatCode="0.00%;\(0.00%\);&quot;0.00%&quot;"/>
    <numFmt numFmtId="166" formatCode="0.0"/>
    <numFmt numFmtId="167" formatCode="0.0&quot;x&quot;"/>
    <numFmt numFmtId="168" formatCode="0.0000%"/>
    <numFmt numFmtId="169" formatCode="#,##0.00;\(#,##0.00\);&quot;-&quot;"/>
    <numFmt numFmtId="170" formatCode="0.0%;\(0.0%\);&quot;-&quot;"/>
    <numFmt numFmtId="171" formatCode="0.00&quot;x&quot;"/>
    <numFmt numFmtId="172" formatCode="\+0.00&quot;x&quot;;\-0.00&quot;x&quot;;0.00&quot;x&quot;"/>
  </numFmts>
  <fonts count="12" x14ac:knownFonts="1">
    <font>
      <sz val="11"/>
      <color theme="1"/>
      <name val="Calibri"/>
      <family val="2"/>
      <scheme val="minor"/>
    </font>
    <font>
      <b/>
      <sz val="16"/>
      <color rgb="FF203864"/>
      <name val="Arial"/>
    </font>
    <font>
      <i/>
      <sz val="9"/>
      <color rgb="FF595959"/>
      <name val="Arial"/>
    </font>
    <font>
      <b/>
      <sz val="10"/>
      <color rgb="FF111827"/>
      <name val="Arial"/>
    </font>
    <font>
      <sz val="10"/>
      <color rgb="FF0000FF"/>
      <name val="Arial"/>
    </font>
    <font>
      <sz val="10"/>
      <color rgb="FF111827"/>
      <name val="Arial"/>
    </font>
    <font>
      <b/>
      <sz val="10"/>
      <color rgb="FF203864"/>
      <name val="Arial"/>
    </font>
    <font>
      <b/>
      <sz val="11"/>
      <color rgb="FF203864"/>
      <name val="Arial"/>
    </font>
    <font>
      <sz val="10"/>
      <color rgb="FF008000"/>
      <name val="Arial"/>
    </font>
    <font>
      <b/>
      <sz val="10"/>
      <color rgb="FF008000"/>
      <name val="Arial"/>
    </font>
    <font>
      <b/>
      <sz val="12"/>
      <color rgb="FF203864"/>
      <name val="Arial"/>
    </font>
    <font>
      <b/>
      <sz val="20"/>
      <color rgb="FF203864"/>
      <name val="Arial"/>
    </font>
  </fonts>
  <fills count="6">
    <fill>
      <patternFill patternType="none"/>
    </fill>
    <fill>
      <patternFill patternType="gray125"/>
    </fill>
    <fill>
      <patternFill patternType="solid">
        <fgColor rgb="FFFFF2CC"/>
      </patternFill>
    </fill>
    <fill>
      <patternFill patternType="solid">
        <fgColor rgb="FFD9E1F2"/>
      </patternFill>
    </fill>
    <fill>
      <patternFill patternType="solid">
        <fgColor rgb="FFEEF2F8"/>
      </patternFill>
    </fill>
    <fill>
      <patternFill patternType="solid">
        <fgColor rgb="FFE7E6E6"/>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bottom style="thin">
        <color rgb="FFBFBFBF"/>
      </bottom>
      <diagonal/>
    </border>
    <border>
      <left/>
      <right/>
      <top style="thin">
        <color rgb="FF7F7F7F"/>
      </top>
      <bottom/>
      <diagonal/>
    </border>
  </borders>
  <cellStyleXfs count="1">
    <xf numFmtId="0" fontId="0" fillId="0" borderId="0"/>
  </cellStyleXfs>
  <cellXfs count="80">
    <xf numFmtId="0" fontId="0" fillId="0" borderId="0" xfId="0"/>
    <xf numFmtId="0" fontId="11" fillId="0" borderId="0" xfId="0" applyFont="1"/>
    <xf numFmtId="0" fontId="7" fillId="0" borderId="0" xfId="0" applyFont="1"/>
    <xf numFmtId="0" fontId="5" fillId="0" borderId="0" xfId="0" applyFont="1"/>
    <xf numFmtId="0" fontId="3" fillId="0" borderId="0" xfId="0" applyFont="1"/>
    <xf numFmtId="164" fontId="8" fillId="0" borderId="0" xfId="0" applyNumberFormat="1" applyFont="1" applyAlignment="1">
      <alignment horizontal="right"/>
    </xf>
    <xf numFmtId="0" fontId="8" fillId="0" borderId="0" xfId="0" applyFont="1" applyAlignment="1">
      <alignment horizontal="right"/>
    </xf>
    <xf numFmtId="0" fontId="10" fillId="0" borderId="0" xfId="0" applyFont="1"/>
    <xf numFmtId="0" fontId="8" fillId="0" borderId="0" xfId="0" applyFont="1"/>
    <xf numFmtId="0" fontId="2" fillId="0" borderId="0" xfId="0" applyFont="1"/>
    <xf numFmtId="0" fontId="5" fillId="0" borderId="0" xfId="0" applyFont="1" applyAlignment="1">
      <alignment vertical="top" wrapText="1"/>
    </xf>
    <xf numFmtId="0" fontId="1" fillId="0" borderId="0" xfId="0" applyFont="1"/>
    <xf numFmtId="0" fontId="4" fillId="2" borderId="1" xfId="0" applyFont="1" applyFill="1" applyBorder="1"/>
    <xf numFmtId="1" fontId="5" fillId="0" borderId="0" xfId="0" applyNumberFormat="1" applyFont="1"/>
    <xf numFmtId="0" fontId="6" fillId="3" borderId="0" xfId="0" applyFont="1" applyFill="1" applyAlignment="1">
      <alignment horizontal="left" vertical="center" wrapText="1"/>
    </xf>
    <xf numFmtId="0" fontId="6" fillId="3" borderId="0" xfId="0" applyFont="1" applyFill="1" applyAlignment="1">
      <alignment horizontal="center" vertical="center" wrapText="1"/>
    </xf>
    <xf numFmtId="0" fontId="7" fillId="4" borderId="0" xfId="0" applyFont="1" applyFill="1"/>
    <xf numFmtId="0" fontId="0" fillId="4" borderId="0" xfId="0" applyFill="1"/>
    <xf numFmtId="0" fontId="5" fillId="0" borderId="0" xfId="0" applyFont="1" applyAlignment="1">
      <alignment horizontal="center" vertical="center"/>
    </xf>
    <xf numFmtId="164" fontId="4" fillId="2" borderId="1" xfId="0" applyNumberFormat="1" applyFont="1" applyFill="1" applyBorder="1"/>
    <xf numFmtId="164" fontId="5" fillId="0" borderId="0" xfId="0" applyNumberFormat="1" applyFont="1"/>
    <xf numFmtId="0" fontId="2" fillId="0" borderId="0" xfId="0" applyFont="1" applyAlignment="1">
      <alignment horizontal="center" vertical="center"/>
    </xf>
    <xf numFmtId="165" fontId="4" fillId="2" borderId="1" xfId="0" applyNumberFormat="1" applyFont="1" applyFill="1" applyBorder="1"/>
    <xf numFmtId="165" fontId="5" fillId="0" borderId="0" xfId="0" applyNumberFormat="1" applyFont="1"/>
    <xf numFmtId="4" fontId="4" fillId="2" borderId="1" xfId="0" applyNumberFormat="1" applyFont="1" applyFill="1" applyBorder="1"/>
    <xf numFmtId="4" fontId="5" fillId="0" borderId="0" xfId="0" applyNumberFormat="1" applyFont="1"/>
    <xf numFmtId="166" fontId="4" fillId="2" borderId="1" xfId="0" applyNumberFormat="1" applyFont="1" applyFill="1" applyBorder="1"/>
    <xf numFmtId="166" fontId="5" fillId="0" borderId="0" xfId="0" applyNumberFormat="1" applyFont="1"/>
    <xf numFmtId="3" fontId="4" fillId="2" borderId="1" xfId="0" applyNumberFormat="1" applyFont="1" applyFill="1" applyBorder="1"/>
    <xf numFmtId="3" fontId="5" fillId="0" borderId="0" xfId="0" applyNumberFormat="1" applyFont="1"/>
    <xf numFmtId="1" fontId="4" fillId="2" borderId="1" xfId="0" applyNumberFormat="1" applyFont="1" applyFill="1" applyBorder="1"/>
    <xf numFmtId="167" fontId="4" fillId="2" borderId="1" xfId="0" applyNumberFormat="1" applyFont="1" applyFill="1" applyBorder="1"/>
    <xf numFmtId="167" fontId="5" fillId="0" borderId="0" xfId="0" applyNumberFormat="1" applyFont="1"/>
    <xf numFmtId="168" fontId="4" fillId="2" borderId="1" xfId="0" applyNumberFormat="1" applyFont="1" applyFill="1" applyBorder="1"/>
    <xf numFmtId="168" fontId="5" fillId="0" borderId="0" xfId="0" applyNumberFormat="1" applyFont="1"/>
    <xf numFmtId="0" fontId="8" fillId="0" borderId="0" xfId="0" applyFont="1" applyAlignment="1">
      <alignment horizontal="center" vertical="center"/>
    </xf>
    <xf numFmtId="170" fontId="8" fillId="0" borderId="0" xfId="0" applyNumberFormat="1" applyFont="1" applyAlignment="1">
      <alignment horizontal="right"/>
    </xf>
    <xf numFmtId="166" fontId="8" fillId="0" borderId="0" xfId="0" applyNumberFormat="1" applyFont="1" applyAlignment="1">
      <alignment horizontal="right"/>
    </xf>
    <xf numFmtId="17" fontId="5" fillId="0" borderId="0" xfId="0" applyNumberFormat="1" applyFont="1"/>
    <xf numFmtId="0" fontId="6" fillId="3" borderId="0" xfId="0" applyFont="1" applyFill="1" applyAlignment="1">
      <alignment horizontal="center" vertical="center"/>
    </xf>
    <xf numFmtId="164" fontId="8" fillId="0" borderId="0" xfId="0" applyNumberFormat="1" applyFont="1"/>
    <xf numFmtId="164" fontId="9" fillId="0" borderId="0" xfId="0" applyNumberFormat="1" applyFont="1"/>
    <xf numFmtId="4" fontId="8" fillId="0" borderId="0" xfId="0" applyNumberFormat="1" applyFont="1"/>
    <xf numFmtId="166" fontId="8" fillId="0" borderId="0" xfId="0" applyNumberFormat="1" applyFont="1"/>
    <xf numFmtId="164" fontId="5" fillId="0" borderId="0" xfId="0" applyNumberFormat="1" applyFont="1" applyAlignment="1">
      <alignment horizontal="right"/>
    </xf>
    <xf numFmtId="164" fontId="3" fillId="0" borderId="0" xfId="0" applyNumberFormat="1" applyFont="1" applyAlignment="1">
      <alignment horizontal="right"/>
    </xf>
    <xf numFmtId="170" fontId="5" fillId="0" borderId="0" xfId="0" applyNumberFormat="1" applyFont="1" applyAlignment="1">
      <alignment horizontal="right"/>
    </xf>
    <xf numFmtId="0" fontId="0" fillId="0" borderId="0" xfId="0" applyAlignment="1">
      <alignment horizontal="right"/>
    </xf>
    <xf numFmtId="4" fontId="5" fillId="0" borderId="0" xfId="0" applyNumberFormat="1" applyFont="1" applyAlignment="1">
      <alignment horizontal="right"/>
    </xf>
    <xf numFmtId="164" fontId="9" fillId="0" borderId="0" xfId="0" applyNumberFormat="1" applyFont="1" applyAlignment="1">
      <alignment horizontal="right"/>
    </xf>
    <xf numFmtId="0" fontId="5" fillId="0" borderId="0" xfId="0" applyFont="1" applyAlignment="1">
      <alignment horizontal="right"/>
    </xf>
    <xf numFmtId="4" fontId="8" fillId="0" borderId="0" xfId="0" applyNumberFormat="1" applyFont="1" applyAlignment="1">
      <alignment horizontal="right"/>
    </xf>
    <xf numFmtId="170" fontId="5" fillId="0" borderId="0" xfId="0" applyNumberFormat="1" applyFont="1"/>
    <xf numFmtId="169" fontId="5" fillId="0" borderId="0" xfId="0" applyNumberFormat="1" applyFont="1"/>
    <xf numFmtId="171" fontId="5" fillId="0" borderId="0" xfId="0" applyNumberFormat="1" applyFont="1"/>
    <xf numFmtId="0" fontId="6" fillId="3" borderId="0" xfId="0" applyFont="1" applyFill="1"/>
    <xf numFmtId="164" fontId="3" fillId="0" borderId="0" xfId="0" applyNumberFormat="1" applyFont="1"/>
    <xf numFmtId="3" fontId="8" fillId="0" borderId="0" xfId="0" applyNumberFormat="1" applyFont="1"/>
    <xf numFmtId="1" fontId="8" fillId="0" borderId="0" xfId="0" applyNumberFormat="1" applyFont="1"/>
    <xf numFmtId="167" fontId="8" fillId="0" borderId="0" xfId="0" applyNumberFormat="1" applyFont="1"/>
    <xf numFmtId="164" fontId="5" fillId="5" borderId="0" xfId="0" applyNumberFormat="1" applyFont="1" applyFill="1"/>
    <xf numFmtId="0" fontId="0" fillId="0" borderId="2" xfId="0" applyBorder="1"/>
    <xf numFmtId="0" fontId="5" fillId="0" borderId="2" xfId="0" applyFont="1" applyBorder="1"/>
    <xf numFmtId="164" fontId="5" fillId="0" borderId="2" xfId="0" applyNumberFormat="1" applyFont="1" applyBorder="1"/>
    <xf numFmtId="0" fontId="3" fillId="0" borderId="3" xfId="0" applyFont="1" applyBorder="1"/>
    <xf numFmtId="164" fontId="3" fillId="5" borderId="3" xfId="0" applyNumberFormat="1" applyFont="1" applyFill="1" applyBorder="1"/>
    <xf numFmtId="164" fontId="9" fillId="0" borderId="3" xfId="0" applyNumberFormat="1" applyFont="1" applyBorder="1"/>
    <xf numFmtId="164" fontId="3" fillId="0" borderId="3" xfId="0" applyNumberFormat="1" applyFont="1" applyBorder="1"/>
    <xf numFmtId="0" fontId="5" fillId="5" borderId="0" xfId="0" applyFont="1" applyFill="1" applyAlignment="1">
      <alignment horizontal="right"/>
    </xf>
    <xf numFmtId="171" fontId="5" fillId="5" borderId="0" xfId="0" applyNumberFormat="1" applyFont="1" applyFill="1"/>
    <xf numFmtId="171" fontId="8" fillId="0" borderId="0" xfId="0" applyNumberFormat="1" applyFont="1"/>
    <xf numFmtId="172" fontId="5" fillId="0" borderId="0" xfId="0" applyNumberFormat="1" applyFont="1"/>
    <xf numFmtId="1" fontId="5" fillId="0" borderId="0" xfId="0" applyNumberFormat="1" applyFont="1" applyAlignment="1">
      <alignment vertical="center"/>
    </xf>
    <xf numFmtId="0" fontId="5" fillId="0" borderId="0" xfId="0" applyFont="1" applyAlignment="1">
      <alignment vertical="center" wrapText="1"/>
    </xf>
    <xf numFmtId="169" fontId="8" fillId="0" borderId="0" xfId="0" applyNumberFormat="1" applyFont="1" applyAlignment="1">
      <alignment vertical="center"/>
    </xf>
    <xf numFmtId="169" fontId="5" fillId="0" borderId="0" xfId="0" applyNumberFormat="1" applyFont="1" applyAlignment="1">
      <alignment vertical="center"/>
    </xf>
    <xf numFmtId="1" fontId="8" fillId="0" borderId="0" xfId="0" applyNumberFormat="1" applyFont="1" applyAlignment="1">
      <alignment vertical="center"/>
    </xf>
    <xf numFmtId="1" fontId="3" fillId="0" borderId="0" xfId="0" applyNumberFormat="1" applyFont="1"/>
    <xf numFmtId="0" fontId="5" fillId="0" borderId="0" xfId="0" applyFont="1" applyAlignment="1">
      <alignment vertical="top" wrapText="1"/>
    </xf>
    <xf numFmtId="0" fontId="0" fillId="0" borderId="0" xfId="0"/>
  </cellXfs>
  <cellStyles count="1">
    <cellStyle name="Normal" xfId="0" builtinId="0"/>
  </cellStyles>
  <dxfs count="12">
    <dxf>
      <font>
        <color rgb="FF9C0006"/>
      </font>
      <fill>
        <patternFill patternType="solid">
          <fgColor rgb="FFFFC7CE"/>
        </patternFill>
      </fill>
    </dxf>
    <dxf>
      <font>
        <color rgb="FF006100"/>
      </font>
      <fill>
        <patternFill patternType="solid">
          <fgColor rgb="FFC6EFCE"/>
        </patternFill>
      </fill>
    </dxf>
    <dxf>
      <font>
        <color rgb="FF9C0006"/>
      </font>
      <fill>
        <patternFill patternType="solid">
          <fgColor rgb="FFFFC7CE"/>
        </patternFill>
      </fill>
    </dxf>
    <dxf>
      <font>
        <color rgb="FF006100"/>
      </font>
      <fill>
        <patternFill patternType="solid">
          <fgColor rgb="FFC6EFCE"/>
        </patternFill>
      </fill>
    </dxf>
    <dxf>
      <font>
        <color rgb="FF9C0006"/>
      </font>
      <fill>
        <patternFill patternType="solid">
          <fgColor rgb="FFFFC7CE"/>
        </patternFill>
      </fill>
    </dxf>
    <dxf>
      <font>
        <color rgb="FF006100"/>
      </font>
      <fill>
        <patternFill patternType="solid">
          <fgColor rgb="FFC6EFCE"/>
        </patternFill>
      </fill>
    </dxf>
    <dxf>
      <font>
        <color rgb="FF9C0006"/>
      </font>
      <fill>
        <patternFill patternType="solid">
          <fgColor rgb="FFFFC7CE"/>
        </patternFill>
      </fill>
    </dxf>
    <dxf>
      <font>
        <color rgb="FF006100"/>
      </font>
      <fill>
        <patternFill patternType="solid">
          <fgColor rgb="FFC6EFCE"/>
        </patternFill>
      </fill>
    </dxf>
    <dxf>
      <font>
        <color rgb="FF9C0006"/>
      </font>
      <fill>
        <patternFill patternType="solid">
          <fgColor rgb="FFFFC7CE"/>
        </patternFill>
      </fill>
    </dxf>
    <dxf>
      <font>
        <color rgb="FF006100"/>
      </font>
      <fill>
        <patternFill patternType="solid">
          <fgColor rgb="FFC6EFCE"/>
        </patternFill>
      </fill>
    </dxf>
    <dxf>
      <font>
        <color rgb="FF9C0006"/>
      </font>
      <fill>
        <patternFill patternType="solid">
          <fgColor rgb="FFFFC7CE"/>
        </patternFill>
      </fill>
    </dxf>
    <dxf>
      <font>
        <color rgb="FF006100"/>
      </font>
      <fill>
        <patternFill patternType="solid">
          <f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Monthly revenue by stream (EUR) — scenario shown</a:t>
            </a:r>
          </a:p>
        </c:rich>
      </c:tx>
      <c:overlay val="0"/>
    </c:title>
    <c:autoTitleDeleted val="0"/>
    <c:plotArea>
      <c:layout/>
      <c:barChart>
        <c:barDir val="col"/>
        <c:grouping val="stacked"/>
        <c:varyColors val="1"/>
        <c:ser>
          <c:idx val="0"/>
          <c:order val="0"/>
          <c:tx>
            <c:v>R1 Subscriptions</c:v>
          </c:tx>
          <c:spPr>
            <a:solidFill>
              <a:srgbClr val="203864"/>
            </a:solidFill>
            <a:ln>
              <a:solidFill>
                <a:srgbClr val="203864"/>
              </a:solidFill>
              <a:prstDash val="solid"/>
            </a:ln>
          </c:spPr>
          <c:invertIfNegative val="0"/>
          <c:cat>
            <c:strRef>
              <c:f>Monthly!$E$8:$BL$8</c:f>
              <c:strCache>
                <c:ptCount val="60"/>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pt idx="12">
                  <c:v>Jan 28</c:v>
                </c:pt>
                <c:pt idx="13">
                  <c:v>Feb 28</c:v>
                </c:pt>
                <c:pt idx="14">
                  <c:v>Mar 28</c:v>
                </c:pt>
                <c:pt idx="15">
                  <c:v>Apr 28</c:v>
                </c:pt>
                <c:pt idx="16">
                  <c:v>May 28</c:v>
                </c:pt>
                <c:pt idx="17">
                  <c:v>Jun 28</c:v>
                </c:pt>
                <c:pt idx="18">
                  <c:v>Jul 28</c:v>
                </c:pt>
                <c:pt idx="19">
                  <c:v>Aug 28</c:v>
                </c:pt>
                <c:pt idx="20">
                  <c:v>Sep 28</c:v>
                </c:pt>
                <c:pt idx="21">
                  <c:v>Oct 28</c:v>
                </c:pt>
                <c:pt idx="22">
                  <c:v>Nov 28</c:v>
                </c:pt>
                <c:pt idx="23">
                  <c:v>Dec 28</c:v>
                </c:pt>
                <c:pt idx="24">
                  <c:v>Jan 29</c:v>
                </c:pt>
                <c:pt idx="25">
                  <c:v>Feb 29</c:v>
                </c:pt>
                <c:pt idx="26">
                  <c:v>Mar 29</c:v>
                </c:pt>
                <c:pt idx="27">
                  <c:v>Apr 29</c:v>
                </c:pt>
                <c:pt idx="28">
                  <c:v>May 29</c:v>
                </c:pt>
                <c:pt idx="29">
                  <c:v>Jun 29</c:v>
                </c:pt>
                <c:pt idx="30">
                  <c:v>Jul 29</c:v>
                </c:pt>
                <c:pt idx="31">
                  <c:v>Aug 29</c:v>
                </c:pt>
                <c:pt idx="32">
                  <c:v>Sep 29</c:v>
                </c:pt>
                <c:pt idx="33">
                  <c:v>Oct 29</c:v>
                </c:pt>
                <c:pt idx="34">
                  <c:v>Nov 29</c:v>
                </c:pt>
                <c:pt idx="35">
                  <c:v>Dec 29</c:v>
                </c:pt>
                <c:pt idx="36">
                  <c:v>Jan 30</c:v>
                </c:pt>
                <c:pt idx="37">
                  <c:v>Feb 30</c:v>
                </c:pt>
                <c:pt idx="38">
                  <c:v>Mar 30</c:v>
                </c:pt>
                <c:pt idx="39">
                  <c:v>Apr 30</c:v>
                </c:pt>
                <c:pt idx="40">
                  <c:v>May 30</c:v>
                </c:pt>
                <c:pt idx="41">
                  <c:v>Jun 30</c:v>
                </c:pt>
                <c:pt idx="42">
                  <c:v>Jul 30</c:v>
                </c:pt>
                <c:pt idx="43">
                  <c:v>Aug 30</c:v>
                </c:pt>
                <c:pt idx="44">
                  <c:v>Sep 30</c:v>
                </c:pt>
                <c:pt idx="45">
                  <c:v>Oct 30</c:v>
                </c:pt>
                <c:pt idx="46">
                  <c:v>Nov 30</c:v>
                </c:pt>
                <c:pt idx="47">
                  <c:v>Dec 30</c:v>
                </c:pt>
                <c:pt idx="48">
                  <c:v>Jan 31</c:v>
                </c:pt>
                <c:pt idx="49">
                  <c:v>Feb 31</c:v>
                </c:pt>
                <c:pt idx="50">
                  <c:v>Mar 31</c:v>
                </c:pt>
                <c:pt idx="51">
                  <c:v>Apr 31</c:v>
                </c:pt>
                <c:pt idx="52">
                  <c:v>May 31</c:v>
                </c:pt>
                <c:pt idx="53">
                  <c:v>Jun 31</c:v>
                </c:pt>
                <c:pt idx="54">
                  <c:v>Jul 31</c:v>
                </c:pt>
                <c:pt idx="55">
                  <c:v>Aug 31</c:v>
                </c:pt>
                <c:pt idx="56">
                  <c:v>Sep 31</c:v>
                </c:pt>
                <c:pt idx="57">
                  <c:v>Oct 31</c:v>
                </c:pt>
                <c:pt idx="58">
                  <c:v>Nov 31</c:v>
                </c:pt>
                <c:pt idx="59">
                  <c:v>Dec 31</c:v>
                </c:pt>
              </c:strCache>
            </c:strRef>
          </c:cat>
          <c:val>
            <c:numRef>
              <c:f>Monthly!$E$10:$BL$10</c:f>
              <c:numCache>
                <c:formatCode>#,##0;\(#,##0\);"-"</c:formatCode>
                <c:ptCount val="60"/>
                <c:pt idx="0">
                  <c:v>0</c:v>
                </c:pt>
                <c:pt idx="1">
                  <c:v>0</c:v>
                </c:pt>
                <c:pt idx="2">
                  <c:v>0</c:v>
                </c:pt>
                <c:pt idx="3">
                  <c:v>0</c:v>
                </c:pt>
                <c:pt idx="4">
                  <c:v>0</c:v>
                </c:pt>
                <c:pt idx="5">
                  <c:v>0</c:v>
                </c:pt>
                <c:pt idx="6">
                  <c:v>0</c:v>
                </c:pt>
                <c:pt idx="7">
                  <c:v>0</c:v>
                </c:pt>
                <c:pt idx="8">
                  <c:v>0</c:v>
                </c:pt>
                <c:pt idx="9">
                  <c:v>1070.0514590600001</c:v>
                </c:pt>
                <c:pt idx="10">
                  <c:v>1963.15281891</c:v>
                </c:pt>
                <c:pt idx="11">
                  <c:v>2847.6857220300003</c:v>
                </c:pt>
                <c:pt idx="12">
                  <c:v>4257.0100221599996</c:v>
                </c:pt>
                <c:pt idx="13">
                  <c:v>5719.7692171199997</c:v>
                </c:pt>
                <c:pt idx="14">
                  <c:v>7196.3070614399994</c:v>
                </c:pt>
                <c:pt idx="15">
                  <c:v>8680.99356936</c:v>
                </c:pt>
                <c:pt idx="16">
                  <c:v>10170.421117919999</c:v>
                </c:pt>
                <c:pt idx="17">
                  <c:v>11662.663659359998</c:v>
                </c:pt>
                <c:pt idx="18">
                  <c:v>13156.980406079998</c:v>
                </c:pt>
                <c:pt idx="19">
                  <c:v>14653.519515599999</c:v>
                </c:pt>
                <c:pt idx="20">
                  <c:v>16152.1328304</c:v>
                </c:pt>
                <c:pt idx="21">
                  <c:v>17484.068935200001</c:v>
                </c:pt>
                <c:pt idx="22">
                  <c:v>18836.7470928</c:v>
                </c:pt>
                <c:pt idx="23">
                  <c:v>20186.906572560001</c:v>
                </c:pt>
                <c:pt idx="24">
                  <c:v>21977.251910284795</c:v>
                </c:pt>
                <c:pt idx="25">
                  <c:v>23926.380190645777</c:v>
                </c:pt>
                <c:pt idx="26">
                  <c:v>26048.373625795521</c:v>
                </c:pt>
                <c:pt idx="27">
                  <c:v>28358.563357373714</c:v>
                </c:pt>
                <c:pt idx="28">
                  <c:v>30873.640222120339</c:v>
                </c:pt>
                <c:pt idx="29">
                  <c:v>33611.775341118722</c:v>
                </c:pt>
                <c:pt idx="30">
                  <c:v>36592.751403910981</c:v>
                </c:pt>
                <c:pt idx="31">
                  <c:v>39838.105595997396</c:v>
                </c:pt>
                <c:pt idx="32">
                  <c:v>43371.285202353349</c:v>
                </c:pt>
                <c:pt idx="33">
                  <c:v>47217.817011180094</c:v>
                </c:pt>
                <c:pt idx="34">
                  <c:v>51405.49174181062</c:v>
                </c:pt>
                <c:pt idx="35">
                  <c:v>55964.564829239578</c:v>
                </c:pt>
                <c:pt idx="36">
                  <c:v>57841.922890501774</c:v>
                </c:pt>
                <c:pt idx="37">
                  <c:v>59782.257824736</c:v>
                </c:pt>
                <c:pt idx="38">
                  <c:v>61787.682221229923</c:v>
                </c:pt>
                <c:pt idx="39">
                  <c:v>63860.379537088047</c:v>
                </c:pt>
                <c:pt idx="40">
                  <c:v>66002.606474526459</c:v>
                </c:pt>
                <c:pt idx="41">
                  <c:v>68216.695437915114</c:v>
                </c:pt>
                <c:pt idx="42">
                  <c:v>70505.057073242744</c:v>
                </c:pt>
                <c:pt idx="43">
                  <c:v>72870.182892769313</c:v>
                </c:pt>
                <c:pt idx="44">
                  <c:v>75314.647987723743</c:v>
                </c:pt>
                <c:pt idx="45">
                  <c:v>77841.113832000352</c:v>
                </c:pt>
                <c:pt idx="46">
                  <c:v>80452.3311799066</c:v>
                </c:pt>
                <c:pt idx="47">
                  <c:v>83151.143061117211</c:v>
                </c:pt>
                <c:pt idx="48">
                  <c:v>86047.444730741321</c:v>
                </c:pt>
                <c:pt idx="49">
                  <c:v>89044.629720217112</c:v>
                </c:pt>
                <c:pt idx="50">
                  <c:v>92146.211974356003</c:v>
                </c:pt>
                <c:pt idx="51">
                  <c:v>95355.827834894459</c:v>
                </c:pt>
                <c:pt idx="52">
                  <c:v>98677.240303795799</c:v>
                </c:pt>
                <c:pt idx="53">
                  <c:v>102114.34345505034</c:v>
                </c:pt>
                <c:pt idx="54">
                  <c:v>105671.16700014639</c:v>
                </c:pt>
                <c:pt idx="55">
                  <c:v>109351.88101256469</c:v>
                </c:pt>
                <c:pt idx="56">
                  <c:v>113160.8008168353</c:v>
                </c:pt>
                <c:pt idx="57">
                  <c:v>117102.39204788912</c:v>
                </c:pt>
                <c:pt idx="58">
                  <c:v>121181.2758866355</c:v>
                </c:pt>
                <c:pt idx="59">
                  <c:v>125402.23447790428</c:v>
                </c:pt>
              </c:numCache>
            </c:numRef>
          </c:val>
          <c:extLst>
            <c:ext xmlns:c16="http://schemas.microsoft.com/office/drawing/2014/chart" uri="{C3380CC4-5D6E-409C-BE32-E72D297353CC}">
              <c16:uniqueId val="{00000000-6310-41B8-9D5F-D8356E35E414}"/>
            </c:ext>
          </c:extLst>
        </c:ser>
        <c:ser>
          <c:idx val="1"/>
          <c:order val="1"/>
          <c:tx>
            <c:v>R2 Copy-trading fees</c:v>
          </c:tx>
          <c:spPr>
            <a:solidFill>
              <a:srgbClr val="5B9BD5"/>
            </a:solidFill>
            <a:ln>
              <a:solidFill>
                <a:srgbClr val="5B9BD5"/>
              </a:solidFill>
              <a:prstDash val="solid"/>
            </a:ln>
          </c:spPr>
          <c:invertIfNegative val="0"/>
          <c:cat>
            <c:strRef>
              <c:f>Monthly!$E$8:$BL$8</c:f>
              <c:strCache>
                <c:ptCount val="60"/>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pt idx="12">
                  <c:v>Jan 28</c:v>
                </c:pt>
                <c:pt idx="13">
                  <c:v>Feb 28</c:v>
                </c:pt>
                <c:pt idx="14">
                  <c:v>Mar 28</c:v>
                </c:pt>
                <c:pt idx="15">
                  <c:v>Apr 28</c:v>
                </c:pt>
                <c:pt idx="16">
                  <c:v>May 28</c:v>
                </c:pt>
                <c:pt idx="17">
                  <c:v>Jun 28</c:v>
                </c:pt>
                <c:pt idx="18">
                  <c:v>Jul 28</c:v>
                </c:pt>
                <c:pt idx="19">
                  <c:v>Aug 28</c:v>
                </c:pt>
                <c:pt idx="20">
                  <c:v>Sep 28</c:v>
                </c:pt>
                <c:pt idx="21">
                  <c:v>Oct 28</c:v>
                </c:pt>
                <c:pt idx="22">
                  <c:v>Nov 28</c:v>
                </c:pt>
                <c:pt idx="23">
                  <c:v>Dec 28</c:v>
                </c:pt>
                <c:pt idx="24">
                  <c:v>Jan 29</c:v>
                </c:pt>
                <c:pt idx="25">
                  <c:v>Feb 29</c:v>
                </c:pt>
                <c:pt idx="26">
                  <c:v>Mar 29</c:v>
                </c:pt>
                <c:pt idx="27">
                  <c:v>Apr 29</c:v>
                </c:pt>
                <c:pt idx="28">
                  <c:v>May 29</c:v>
                </c:pt>
                <c:pt idx="29">
                  <c:v>Jun 29</c:v>
                </c:pt>
                <c:pt idx="30">
                  <c:v>Jul 29</c:v>
                </c:pt>
                <c:pt idx="31">
                  <c:v>Aug 29</c:v>
                </c:pt>
                <c:pt idx="32">
                  <c:v>Sep 29</c:v>
                </c:pt>
                <c:pt idx="33">
                  <c:v>Oct 29</c:v>
                </c:pt>
                <c:pt idx="34">
                  <c:v>Nov 29</c:v>
                </c:pt>
                <c:pt idx="35">
                  <c:v>Dec 29</c:v>
                </c:pt>
                <c:pt idx="36">
                  <c:v>Jan 30</c:v>
                </c:pt>
                <c:pt idx="37">
                  <c:v>Feb 30</c:v>
                </c:pt>
                <c:pt idx="38">
                  <c:v>Mar 30</c:v>
                </c:pt>
                <c:pt idx="39">
                  <c:v>Apr 30</c:v>
                </c:pt>
                <c:pt idx="40">
                  <c:v>May 30</c:v>
                </c:pt>
                <c:pt idx="41">
                  <c:v>Jun 30</c:v>
                </c:pt>
                <c:pt idx="42">
                  <c:v>Jul 30</c:v>
                </c:pt>
                <c:pt idx="43">
                  <c:v>Aug 30</c:v>
                </c:pt>
                <c:pt idx="44">
                  <c:v>Sep 30</c:v>
                </c:pt>
                <c:pt idx="45">
                  <c:v>Oct 30</c:v>
                </c:pt>
                <c:pt idx="46">
                  <c:v>Nov 30</c:v>
                </c:pt>
                <c:pt idx="47">
                  <c:v>Dec 30</c:v>
                </c:pt>
                <c:pt idx="48">
                  <c:v>Jan 31</c:v>
                </c:pt>
                <c:pt idx="49">
                  <c:v>Feb 31</c:v>
                </c:pt>
                <c:pt idx="50">
                  <c:v>Mar 31</c:v>
                </c:pt>
                <c:pt idx="51">
                  <c:v>Apr 31</c:v>
                </c:pt>
                <c:pt idx="52">
                  <c:v>May 31</c:v>
                </c:pt>
                <c:pt idx="53">
                  <c:v>Jun 31</c:v>
                </c:pt>
                <c:pt idx="54">
                  <c:v>Jul 31</c:v>
                </c:pt>
                <c:pt idx="55">
                  <c:v>Aug 31</c:v>
                </c:pt>
                <c:pt idx="56">
                  <c:v>Sep 31</c:v>
                </c:pt>
                <c:pt idx="57">
                  <c:v>Oct 31</c:v>
                </c:pt>
                <c:pt idx="58">
                  <c:v>Nov 31</c:v>
                </c:pt>
                <c:pt idx="59">
                  <c:v>Dec 31</c:v>
                </c:pt>
              </c:strCache>
            </c:strRef>
          </c:cat>
          <c:val>
            <c:numRef>
              <c:f>Monthly!$E$11:$BL$11</c:f>
              <c:numCache>
                <c:formatCode>#,##0;\(#,##0\);"-"</c:formatCode>
                <c:ptCount val="60"/>
                <c:pt idx="0">
                  <c:v>0</c:v>
                </c:pt>
                <c:pt idx="1">
                  <c:v>0</c:v>
                </c:pt>
                <c:pt idx="2">
                  <c:v>0</c:v>
                </c:pt>
                <c:pt idx="3">
                  <c:v>0</c:v>
                </c:pt>
                <c:pt idx="4">
                  <c:v>0</c:v>
                </c:pt>
                <c:pt idx="5">
                  <c:v>0</c:v>
                </c:pt>
                <c:pt idx="6">
                  <c:v>0</c:v>
                </c:pt>
                <c:pt idx="7">
                  <c:v>0</c:v>
                </c:pt>
                <c:pt idx="8">
                  <c:v>0</c:v>
                </c:pt>
                <c:pt idx="9">
                  <c:v>0</c:v>
                </c:pt>
                <c:pt idx="10">
                  <c:v>0</c:v>
                </c:pt>
                <c:pt idx="11">
                  <c:v>0</c:v>
                </c:pt>
                <c:pt idx="12">
                  <c:v>1684.87606486</c:v>
                </c:pt>
                <c:pt idx="13">
                  <c:v>3633.27101576</c:v>
                </c:pt>
                <c:pt idx="14">
                  <c:v>5696.10245502</c:v>
                </c:pt>
                <c:pt idx="15">
                  <c:v>7912.21579612</c:v>
                </c:pt>
                <c:pt idx="16">
                  <c:v>10248.01500578</c:v>
                </c:pt>
                <c:pt idx="17">
                  <c:v>12697.02584842</c:v>
                </c:pt>
                <c:pt idx="18">
                  <c:v>15246.649811560001</c:v>
                </c:pt>
                <c:pt idx="19">
                  <c:v>17906.860717579999</c:v>
                </c:pt>
                <c:pt idx="20">
                  <c:v>20654.386314260002</c:v>
                </c:pt>
                <c:pt idx="21">
                  <c:v>23472.078626280003</c:v>
                </c:pt>
                <c:pt idx="22">
                  <c:v>26400.532860520001</c:v>
                </c:pt>
                <c:pt idx="23">
                  <c:v>29427.325483839999</c:v>
                </c:pt>
                <c:pt idx="24">
                  <c:v>32635.059274991381</c:v>
                </c:pt>
                <c:pt idx="25">
                  <c:v>36192.452979359987</c:v>
                </c:pt>
                <c:pt idx="26">
                  <c:v>40137.621372943853</c:v>
                </c:pt>
                <c:pt idx="27">
                  <c:v>44512.833943489401</c:v>
                </c:pt>
                <c:pt idx="28">
                  <c:v>49364.967775999998</c:v>
                </c:pt>
                <c:pt idx="29">
                  <c:v>54746.009805155249</c:v>
                </c:pt>
                <c:pt idx="30">
                  <c:v>60713.613815894787</c:v>
                </c:pt>
                <c:pt idx="31">
                  <c:v>67331.71816000549</c:v>
                </c:pt>
                <c:pt idx="32">
                  <c:v>74671.230807076921</c:v>
                </c:pt>
                <c:pt idx="33">
                  <c:v>82810.78906962648</c:v>
                </c:pt>
                <c:pt idx="34">
                  <c:v>91837.602142272983</c:v>
                </c:pt>
                <c:pt idx="35">
                  <c:v>101848.38548212696</c:v>
                </c:pt>
                <c:pt idx="36">
                  <c:v>107121.60909622953</c:v>
                </c:pt>
                <c:pt idx="37">
                  <c:v>112667.85507737991</c:v>
                </c:pt>
                <c:pt idx="38">
                  <c:v>118501.25922150927</c:v>
                </c:pt>
                <c:pt idx="39">
                  <c:v>124636.68920863862</c:v>
                </c:pt>
                <c:pt idx="40">
                  <c:v>131089.78249634607</c:v>
                </c:pt>
                <c:pt idx="41">
                  <c:v>137876.98617517718</c:v>
                </c:pt>
                <c:pt idx="42">
                  <c:v>145015.59888757826</c:v>
                </c:pt>
                <c:pt idx="43">
                  <c:v>152523.81491719218</c:v>
                </c:pt>
                <c:pt idx="44">
                  <c:v>160420.77056088758</c:v>
                </c:pt>
                <c:pt idx="45">
                  <c:v>168726.59290171057</c:v>
                </c:pt>
                <c:pt idx="46">
                  <c:v>177462.45110706726</c:v>
                </c:pt>
                <c:pt idx="47">
                  <c:v>186650.61038288148</c:v>
                </c:pt>
                <c:pt idx="48">
                  <c:v>195107.23073469754</c:v>
                </c:pt>
                <c:pt idx="49">
                  <c:v>203946.99704905853</c:v>
                </c:pt>
                <c:pt idx="50">
                  <c:v>213187.26860455415</c:v>
                </c:pt>
                <c:pt idx="51">
                  <c:v>222846.19118043603</c:v>
                </c:pt>
                <c:pt idx="52">
                  <c:v>232942.73269077658</c:v>
                </c:pt>
                <c:pt idx="53">
                  <c:v>243496.72043311261</c:v>
                </c:pt>
                <c:pt idx="54">
                  <c:v>254528.88002472132</c:v>
                </c:pt>
                <c:pt idx="55">
                  <c:v>266060.87610299088</c:v>
                </c:pt>
                <c:pt idx="56">
                  <c:v>278115.35486981156</c:v>
                </c:pt>
                <c:pt idx="57">
                  <c:v>290715.98856353504</c:v>
                </c:pt>
                <c:pt idx="58">
                  <c:v>303887.52194583463</c:v>
                </c:pt>
                <c:pt idx="59">
                  <c:v>317655.82089475566</c:v>
                </c:pt>
              </c:numCache>
            </c:numRef>
          </c:val>
          <c:extLst>
            <c:ext xmlns:c16="http://schemas.microsoft.com/office/drawing/2014/chart" uri="{C3380CC4-5D6E-409C-BE32-E72D297353CC}">
              <c16:uniqueId val="{00000001-6310-41B8-9D5F-D8356E35E414}"/>
            </c:ext>
          </c:extLst>
        </c:ser>
        <c:ser>
          <c:idx val="2"/>
          <c:order val="2"/>
          <c:tx>
            <c:v>R7 B2B licences</c:v>
          </c:tx>
          <c:spPr>
            <a:solidFill>
              <a:srgbClr val="A9C4E4"/>
            </a:solidFill>
            <a:ln>
              <a:solidFill>
                <a:srgbClr val="A9C4E4"/>
              </a:solidFill>
              <a:prstDash val="solid"/>
            </a:ln>
          </c:spPr>
          <c:invertIfNegative val="0"/>
          <c:cat>
            <c:strRef>
              <c:f>Monthly!$E$8:$BL$8</c:f>
              <c:strCache>
                <c:ptCount val="60"/>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pt idx="12">
                  <c:v>Jan 28</c:v>
                </c:pt>
                <c:pt idx="13">
                  <c:v>Feb 28</c:v>
                </c:pt>
                <c:pt idx="14">
                  <c:v>Mar 28</c:v>
                </c:pt>
                <c:pt idx="15">
                  <c:v>Apr 28</c:v>
                </c:pt>
                <c:pt idx="16">
                  <c:v>May 28</c:v>
                </c:pt>
                <c:pt idx="17">
                  <c:v>Jun 28</c:v>
                </c:pt>
                <c:pt idx="18">
                  <c:v>Jul 28</c:v>
                </c:pt>
                <c:pt idx="19">
                  <c:v>Aug 28</c:v>
                </c:pt>
                <c:pt idx="20">
                  <c:v>Sep 28</c:v>
                </c:pt>
                <c:pt idx="21">
                  <c:v>Oct 28</c:v>
                </c:pt>
                <c:pt idx="22">
                  <c:v>Nov 28</c:v>
                </c:pt>
                <c:pt idx="23">
                  <c:v>Dec 28</c:v>
                </c:pt>
                <c:pt idx="24">
                  <c:v>Jan 29</c:v>
                </c:pt>
                <c:pt idx="25">
                  <c:v>Feb 29</c:v>
                </c:pt>
                <c:pt idx="26">
                  <c:v>Mar 29</c:v>
                </c:pt>
                <c:pt idx="27">
                  <c:v>Apr 29</c:v>
                </c:pt>
                <c:pt idx="28">
                  <c:v>May 29</c:v>
                </c:pt>
                <c:pt idx="29">
                  <c:v>Jun 29</c:v>
                </c:pt>
                <c:pt idx="30">
                  <c:v>Jul 29</c:v>
                </c:pt>
                <c:pt idx="31">
                  <c:v>Aug 29</c:v>
                </c:pt>
                <c:pt idx="32">
                  <c:v>Sep 29</c:v>
                </c:pt>
                <c:pt idx="33">
                  <c:v>Oct 29</c:v>
                </c:pt>
                <c:pt idx="34">
                  <c:v>Nov 29</c:v>
                </c:pt>
                <c:pt idx="35">
                  <c:v>Dec 29</c:v>
                </c:pt>
                <c:pt idx="36">
                  <c:v>Jan 30</c:v>
                </c:pt>
                <c:pt idx="37">
                  <c:v>Feb 30</c:v>
                </c:pt>
                <c:pt idx="38">
                  <c:v>Mar 30</c:v>
                </c:pt>
                <c:pt idx="39">
                  <c:v>Apr 30</c:v>
                </c:pt>
                <c:pt idx="40">
                  <c:v>May 30</c:v>
                </c:pt>
                <c:pt idx="41">
                  <c:v>Jun 30</c:v>
                </c:pt>
                <c:pt idx="42">
                  <c:v>Jul 30</c:v>
                </c:pt>
                <c:pt idx="43">
                  <c:v>Aug 30</c:v>
                </c:pt>
                <c:pt idx="44">
                  <c:v>Sep 30</c:v>
                </c:pt>
                <c:pt idx="45">
                  <c:v>Oct 30</c:v>
                </c:pt>
                <c:pt idx="46">
                  <c:v>Nov 30</c:v>
                </c:pt>
                <c:pt idx="47">
                  <c:v>Dec 30</c:v>
                </c:pt>
                <c:pt idx="48">
                  <c:v>Jan 31</c:v>
                </c:pt>
                <c:pt idx="49">
                  <c:v>Feb 31</c:v>
                </c:pt>
                <c:pt idx="50">
                  <c:v>Mar 31</c:v>
                </c:pt>
                <c:pt idx="51">
                  <c:v>Apr 31</c:v>
                </c:pt>
                <c:pt idx="52">
                  <c:v>May 31</c:v>
                </c:pt>
                <c:pt idx="53">
                  <c:v>Jun 31</c:v>
                </c:pt>
                <c:pt idx="54">
                  <c:v>Jul 31</c:v>
                </c:pt>
                <c:pt idx="55">
                  <c:v>Aug 31</c:v>
                </c:pt>
                <c:pt idx="56">
                  <c:v>Sep 31</c:v>
                </c:pt>
                <c:pt idx="57">
                  <c:v>Oct 31</c:v>
                </c:pt>
                <c:pt idx="58">
                  <c:v>Nov 31</c:v>
                </c:pt>
                <c:pt idx="59">
                  <c:v>Dec 31</c:v>
                </c:pt>
              </c:strCache>
            </c:strRef>
          </c:cat>
          <c:val>
            <c:numRef>
              <c:f>Monthly!$E$12:$BL$12</c:f>
              <c:numCache>
                <c:formatCode>#,##0;\(#,##0\);"-"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2416.7585000000004</c:v>
                </c:pt>
                <c:pt idx="25">
                  <c:v>4833.3285000000005</c:v>
                </c:pt>
                <c:pt idx="26">
                  <c:v>7250.0870000000004</c:v>
                </c:pt>
                <c:pt idx="27">
                  <c:v>9666.6570000000011</c:v>
                </c:pt>
                <c:pt idx="28">
                  <c:v>12083.415499999999</c:v>
                </c:pt>
                <c:pt idx="29">
                  <c:v>14499.985500000001</c:v>
                </c:pt>
                <c:pt idx="30">
                  <c:v>16916.744000000002</c:v>
                </c:pt>
                <c:pt idx="31">
                  <c:v>19333.314000000002</c:v>
                </c:pt>
                <c:pt idx="32">
                  <c:v>21750.072500000002</c:v>
                </c:pt>
                <c:pt idx="33">
                  <c:v>24166.642500000002</c:v>
                </c:pt>
                <c:pt idx="34">
                  <c:v>26583.401000000002</c:v>
                </c:pt>
                <c:pt idx="35">
                  <c:v>28999.594000000001</c:v>
                </c:pt>
                <c:pt idx="36">
                  <c:v>31986.666149185767</c:v>
                </c:pt>
                <c:pt idx="37">
                  <c:v>35281.418468805685</c:v>
                </c:pt>
                <c:pt idx="38">
                  <c:v>38915.543225584617</c:v>
                </c:pt>
                <c:pt idx="39">
                  <c:v>42923.997114269354</c:v>
                </c:pt>
                <c:pt idx="40">
                  <c:v>47345.337506543954</c:v>
                </c:pt>
                <c:pt idx="41">
                  <c:v>52222.093334904777</c:v>
                </c:pt>
                <c:pt idx="42">
                  <c:v>57601.174179032234</c:v>
                </c:pt>
                <c:pt idx="43">
                  <c:v>63534.321489666494</c:v>
                </c:pt>
                <c:pt idx="44">
                  <c:v>70078.606290315685</c:v>
                </c:pt>
                <c:pt idx="45">
                  <c:v>77296.978144195993</c:v>
                </c:pt>
                <c:pt idx="46">
                  <c:v>85258.87066692402</c:v>
                </c:pt>
                <c:pt idx="47">
                  <c:v>94040.869409396066</c:v>
                </c:pt>
                <c:pt idx="48">
                  <c:v>97661.159404364371</c:v>
                </c:pt>
                <c:pt idx="49">
                  <c:v>101420.81965111768</c:v>
                </c:pt>
                <c:pt idx="50">
                  <c:v>105325.21548423129</c:v>
                </c:pt>
                <c:pt idx="51">
                  <c:v>109379.91878748835</c:v>
                </c:pt>
                <c:pt idx="52">
                  <c:v>113590.71594540175</c:v>
                </c:pt>
                <c:pt idx="53">
                  <c:v>117963.61610084563</c:v>
                </c:pt>
                <c:pt idx="54">
                  <c:v>122504.85973058076</c:v>
                </c:pt>
                <c:pt idx="55">
                  <c:v>127220.92755091193</c:v>
                </c:pt>
                <c:pt idx="56">
                  <c:v>132118.5497661861</c:v>
                </c:pt>
                <c:pt idx="57">
                  <c:v>137204.71567333004</c:v>
                </c:pt>
                <c:pt idx="58">
                  <c:v>142486.68363613365</c:v>
                </c:pt>
                <c:pt idx="59">
                  <c:v>147971.99144351308</c:v>
                </c:pt>
              </c:numCache>
            </c:numRef>
          </c:val>
          <c:extLst>
            <c:ext xmlns:c16="http://schemas.microsoft.com/office/drawing/2014/chart" uri="{C3380CC4-5D6E-409C-BE32-E72D297353CC}">
              <c16:uniqueId val="{00000002-6310-41B8-9D5F-D8356E35E414}"/>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6"/>
        <c:tickMarkSkip val="6"/>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EBITDA and closing cash (EUR) — scenario shown</a:t>
            </a:r>
          </a:p>
        </c:rich>
      </c:tx>
      <c:overlay val="0"/>
    </c:title>
    <c:autoTitleDeleted val="0"/>
    <c:plotArea>
      <c:layout/>
      <c:barChart>
        <c:barDir val="col"/>
        <c:grouping val="clustered"/>
        <c:varyColors val="1"/>
        <c:ser>
          <c:idx val="0"/>
          <c:order val="0"/>
          <c:tx>
            <c:v>EBITDA (left axis)</c:v>
          </c:tx>
          <c:spPr>
            <a:solidFill>
              <a:srgbClr val="5B9BD5"/>
            </a:solidFill>
            <a:ln>
              <a:solidFill>
                <a:srgbClr val="5B9BD5"/>
              </a:solidFill>
              <a:prstDash val="solid"/>
            </a:ln>
          </c:spPr>
          <c:invertIfNegative val="0"/>
          <c:cat>
            <c:strRef>
              <c:f>Monthly!$E$8:$BL$8</c:f>
              <c:strCache>
                <c:ptCount val="60"/>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pt idx="12">
                  <c:v>Jan 28</c:v>
                </c:pt>
                <c:pt idx="13">
                  <c:v>Feb 28</c:v>
                </c:pt>
                <c:pt idx="14">
                  <c:v>Mar 28</c:v>
                </c:pt>
                <c:pt idx="15">
                  <c:v>Apr 28</c:v>
                </c:pt>
                <c:pt idx="16">
                  <c:v>May 28</c:v>
                </c:pt>
                <c:pt idx="17">
                  <c:v>Jun 28</c:v>
                </c:pt>
                <c:pt idx="18">
                  <c:v>Jul 28</c:v>
                </c:pt>
                <c:pt idx="19">
                  <c:v>Aug 28</c:v>
                </c:pt>
                <c:pt idx="20">
                  <c:v>Sep 28</c:v>
                </c:pt>
                <c:pt idx="21">
                  <c:v>Oct 28</c:v>
                </c:pt>
                <c:pt idx="22">
                  <c:v>Nov 28</c:v>
                </c:pt>
                <c:pt idx="23">
                  <c:v>Dec 28</c:v>
                </c:pt>
                <c:pt idx="24">
                  <c:v>Jan 29</c:v>
                </c:pt>
                <c:pt idx="25">
                  <c:v>Feb 29</c:v>
                </c:pt>
                <c:pt idx="26">
                  <c:v>Mar 29</c:v>
                </c:pt>
                <c:pt idx="27">
                  <c:v>Apr 29</c:v>
                </c:pt>
                <c:pt idx="28">
                  <c:v>May 29</c:v>
                </c:pt>
                <c:pt idx="29">
                  <c:v>Jun 29</c:v>
                </c:pt>
                <c:pt idx="30">
                  <c:v>Jul 29</c:v>
                </c:pt>
                <c:pt idx="31">
                  <c:v>Aug 29</c:v>
                </c:pt>
                <c:pt idx="32">
                  <c:v>Sep 29</c:v>
                </c:pt>
                <c:pt idx="33">
                  <c:v>Oct 29</c:v>
                </c:pt>
                <c:pt idx="34">
                  <c:v>Nov 29</c:v>
                </c:pt>
                <c:pt idx="35">
                  <c:v>Dec 29</c:v>
                </c:pt>
                <c:pt idx="36">
                  <c:v>Jan 30</c:v>
                </c:pt>
                <c:pt idx="37">
                  <c:v>Feb 30</c:v>
                </c:pt>
                <c:pt idx="38">
                  <c:v>Mar 30</c:v>
                </c:pt>
                <c:pt idx="39">
                  <c:v>Apr 30</c:v>
                </c:pt>
                <c:pt idx="40">
                  <c:v>May 30</c:v>
                </c:pt>
                <c:pt idx="41">
                  <c:v>Jun 30</c:v>
                </c:pt>
                <c:pt idx="42">
                  <c:v>Jul 30</c:v>
                </c:pt>
                <c:pt idx="43">
                  <c:v>Aug 30</c:v>
                </c:pt>
                <c:pt idx="44">
                  <c:v>Sep 30</c:v>
                </c:pt>
                <c:pt idx="45">
                  <c:v>Oct 30</c:v>
                </c:pt>
                <c:pt idx="46">
                  <c:v>Nov 30</c:v>
                </c:pt>
                <c:pt idx="47">
                  <c:v>Dec 30</c:v>
                </c:pt>
                <c:pt idx="48">
                  <c:v>Jan 31</c:v>
                </c:pt>
                <c:pt idx="49">
                  <c:v>Feb 31</c:v>
                </c:pt>
                <c:pt idx="50">
                  <c:v>Mar 31</c:v>
                </c:pt>
                <c:pt idx="51">
                  <c:v>Apr 31</c:v>
                </c:pt>
                <c:pt idx="52">
                  <c:v>May 31</c:v>
                </c:pt>
                <c:pt idx="53">
                  <c:v>Jun 31</c:v>
                </c:pt>
                <c:pt idx="54">
                  <c:v>Jul 31</c:v>
                </c:pt>
                <c:pt idx="55">
                  <c:v>Aug 31</c:v>
                </c:pt>
                <c:pt idx="56">
                  <c:v>Sep 31</c:v>
                </c:pt>
                <c:pt idx="57">
                  <c:v>Oct 31</c:v>
                </c:pt>
                <c:pt idx="58">
                  <c:v>Nov 31</c:v>
                </c:pt>
                <c:pt idx="59">
                  <c:v>Dec 31</c:v>
                </c:pt>
              </c:strCache>
            </c:strRef>
          </c:cat>
          <c:val>
            <c:numRef>
              <c:f>Monthly!$E$19:$BL$19</c:f>
              <c:numCache>
                <c:formatCode>#,##0;\(#,##0\);"-"</c:formatCode>
                <c:ptCount val="60"/>
                <c:pt idx="0">
                  <c:v>-53340.465908521845</c:v>
                </c:pt>
                <c:pt idx="1">
                  <c:v>-60944.450549625719</c:v>
                </c:pt>
                <c:pt idx="2">
                  <c:v>-68557.948316584705</c:v>
                </c:pt>
                <c:pt idx="3">
                  <c:v>-106079.13064240757</c:v>
                </c:pt>
                <c:pt idx="4">
                  <c:v>-105769.97888798654</c:v>
                </c:pt>
                <c:pt idx="5">
                  <c:v>-96760.768003396544</c:v>
                </c:pt>
                <c:pt idx="6">
                  <c:v>-96760.768003396544</c:v>
                </c:pt>
                <c:pt idx="7">
                  <c:v>-172171.1391443894</c:v>
                </c:pt>
                <c:pt idx="8">
                  <c:v>-155884.54208420229</c:v>
                </c:pt>
                <c:pt idx="9">
                  <c:v>-207960.14957297326</c:v>
                </c:pt>
                <c:pt idx="10">
                  <c:v>-204949.24391235888</c:v>
                </c:pt>
                <c:pt idx="11">
                  <c:v>-211795.80713537667</c:v>
                </c:pt>
                <c:pt idx="12">
                  <c:v>-287997.68018807378</c:v>
                </c:pt>
                <c:pt idx="13">
                  <c:v>-253319.88683753126</c:v>
                </c:pt>
                <c:pt idx="14">
                  <c:v>-251773.91771225826</c:v>
                </c:pt>
                <c:pt idx="15">
                  <c:v>-250172.36655714651</c:v>
                </c:pt>
                <c:pt idx="16">
                  <c:v>-248530.52090177211</c:v>
                </c:pt>
                <c:pt idx="17">
                  <c:v>-246852.72706244435</c:v>
                </c:pt>
                <c:pt idx="18">
                  <c:v>-380214.94194550673</c:v>
                </c:pt>
                <c:pt idx="19">
                  <c:v>-252531.18401020241</c:v>
                </c:pt>
                <c:pt idx="20">
                  <c:v>-250759.67548570153</c:v>
                </c:pt>
                <c:pt idx="21">
                  <c:v>-249086.51044160855</c:v>
                </c:pt>
                <c:pt idx="22">
                  <c:v>-247366.29773795657</c:v>
                </c:pt>
                <c:pt idx="23">
                  <c:v>-271835.13309000758</c:v>
                </c:pt>
                <c:pt idx="24">
                  <c:v>-304705.60579341976</c:v>
                </c:pt>
                <c:pt idx="25">
                  <c:v>-299529.75460891833</c:v>
                </c:pt>
                <c:pt idx="26">
                  <c:v>-294067.02101587673</c:v>
                </c:pt>
                <c:pt idx="27">
                  <c:v>-288289.37858611869</c:v>
                </c:pt>
                <c:pt idx="28">
                  <c:v>-282165.26117851492</c:v>
                </c:pt>
                <c:pt idx="29">
                  <c:v>-275660.6791100367</c:v>
                </c:pt>
                <c:pt idx="30">
                  <c:v>-268737.50019832538</c:v>
                </c:pt>
                <c:pt idx="31">
                  <c:v>-261354.50441548077</c:v>
                </c:pt>
                <c:pt idx="32">
                  <c:v>-253465.5970792298</c:v>
                </c:pt>
                <c:pt idx="33">
                  <c:v>-245020.78866368049</c:v>
                </c:pt>
                <c:pt idx="34">
                  <c:v>-235964.32542957278</c:v>
                </c:pt>
                <c:pt idx="35">
                  <c:v>-226235.92888840934</c:v>
                </c:pt>
                <c:pt idx="36">
                  <c:v>-260001.89535519679</c:v>
                </c:pt>
                <c:pt idx="37">
                  <c:v>-253017.0132449817</c:v>
                </c:pt>
                <c:pt idx="38">
                  <c:v>-245539.48765485061</c:v>
                </c:pt>
                <c:pt idx="39">
                  <c:v>-237528.24463884914</c:v>
                </c:pt>
                <c:pt idx="40">
                  <c:v>-228938.41058886237</c:v>
                </c:pt>
                <c:pt idx="41">
                  <c:v>-219720.94084201322</c:v>
                </c:pt>
                <c:pt idx="42">
                  <c:v>-209822.21098974132</c:v>
                </c:pt>
                <c:pt idx="43">
                  <c:v>-199183.56709359016</c:v>
                </c:pt>
                <c:pt idx="44">
                  <c:v>-187740.83062417302</c:v>
                </c:pt>
                <c:pt idx="45">
                  <c:v>-175423.75351132726</c:v>
                </c:pt>
                <c:pt idx="46">
                  <c:v>-162155.41822099508</c:v>
                </c:pt>
                <c:pt idx="47">
                  <c:v>-147851.57725336342</c:v>
                </c:pt>
                <c:pt idx="48">
                  <c:v>-145228.37961039634</c:v>
                </c:pt>
                <c:pt idx="49">
                  <c:v>-135441.86829460232</c:v>
                </c:pt>
                <c:pt idx="50">
                  <c:v>-125263.44306657204</c:v>
                </c:pt>
                <c:pt idx="51">
                  <c:v>-114677.23106058568</c:v>
                </c:pt>
                <c:pt idx="52">
                  <c:v>-103666.709344128</c:v>
                </c:pt>
                <c:pt idx="53">
                  <c:v>-92214.678005513124</c:v>
                </c:pt>
                <c:pt idx="54">
                  <c:v>-80303.232115821418</c:v>
                </c:pt>
                <c:pt idx="55">
                  <c:v>-67913.732517608296</c:v>
                </c:pt>
                <c:pt idx="56">
                  <c:v>-55026.775390816234</c:v>
                </c:pt>
                <c:pt idx="57">
                  <c:v>-41622.160544210252</c:v>
                </c:pt>
                <c:pt idx="58">
                  <c:v>-27678.858378452795</c:v>
                </c:pt>
                <c:pt idx="59">
                  <c:v>-13174.97546463491</c:v>
                </c:pt>
              </c:numCache>
            </c:numRef>
          </c:val>
          <c:extLst>
            <c:ext xmlns:c16="http://schemas.microsoft.com/office/drawing/2014/chart" uri="{C3380CC4-5D6E-409C-BE32-E72D297353CC}">
              <c16:uniqueId val="{00000000-F9F1-4911-9C9E-24B940ABBBAE}"/>
            </c:ext>
          </c:extLst>
        </c:ser>
        <c:dLbls>
          <c:showLegendKey val="0"/>
          <c:showVal val="0"/>
          <c:showCatName val="0"/>
          <c:showSerName val="0"/>
          <c:showPercent val="0"/>
          <c:showBubbleSize val="0"/>
        </c:dLbls>
        <c:gapWidth val="150"/>
        <c:axId val="10"/>
        <c:axId val="100"/>
      </c:barChart>
      <c:lineChart>
        <c:grouping val="standard"/>
        <c:varyColors val="1"/>
        <c:ser>
          <c:idx val="1"/>
          <c:order val="1"/>
          <c:tx>
            <c:v>Closing cash (right axis)</c:v>
          </c:tx>
          <c:spPr>
            <a:ln w="25400">
              <a:solidFill>
                <a:srgbClr val="203864"/>
              </a:solidFill>
              <a:prstDash val="solid"/>
            </a:ln>
          </c:spPr>
          <c:marker>
            <c:symbol val="none"/>
          </c:marker>
          <c:val>
            <c:numRef>
              <c:f>Monthly!$E$32:$BL$32</c:f>
              <c:numCache>
                <c:formatCode>#,##0;\(#,##0\);"-"</c:formatCode>
                <c:ptCount val="60"/>
                <c:pt idx="0">
                  <c:v>968982.45075814484</c:v>
                </c:pt>
                <c:pt idx="1">
                  <c:v>906540.89493863343</c:v>
                </c:pt>
                <c:pt idx="2">
                  <c:v>836407.78940738866</c:v>
                </c:pt>
                <c:pt idx="3">
                  <c:v>728665.83516840695</c:v>
                </c:pt>
                <c:pt idx="4">
                  <c:v>621098.35524104757</c:v>
                </c:pt>
                <c:pt idx="5">
                  <c:v>522405.62684836902</c:v>
                </c:pt>
                <c:pt idx="6">
                  <c:v>423589.53254519962</c:v>
                </c:pt>
                <c:pt idx="7">
                  <c:v>4249239.5469831582</c:v>
                </c:pt>
                <c:pt idx="8">
                  <c:v>4095958.2209993517</c:v>
                </c:pt>
                <c:pt idx="9">
                  <c:v>3890409.6858692942</c:v>
                </c:pt>
                <c:pt idx="10">
                  <c:v>3687615.1207309384</c:v>
                </c:pt>
                <c:pt idx="11">
                  <c:v>3477720.4991631419</c:v>
                </c:pt>
                <c:pt idx="12">
                  <c:v>3193444.9695990221</c:v>
                </c:pt>
                <c:pt idx="13">
                  <c:v>2943491.8889734894</c:v>
                </c:pt>
                <c:pt idx="14">
                  <c:v>2694772.3361224481</c:v>
                </c:pt>
                <c:pt idx="15">
                  <c:v>2447343.4349854547</c:v>
                </c:pt>
                <c:pt idx="16">
                  <c:v>2201247.0933774142</c:v>
                </c:pt>
                <c:pt idx="17">
                  <c:v>1956520.9251816915</c:v>
                </c:pt>
                <c:pt idx="18">
                  <c:v>13578126.63439266</c:v>
                </c:pt>
                <c:pt idx="19">
                  <c:v>13341943.108675448</c:v>
                </c:pt>
                <c:pt idx="20">
                  <c:v>13107235.862075591</c:v>
                </c:pt>
                <c:pt idx="21">
                  <c:v>12873908.396461578</c:v>
                </c:pt>
                <c:pt idx="22">
                  <c:v>12642009.484219199</c:v>
                </c:pt>
                <c:pt idx="23">
                  <c:v>12385351.862984465</c:v>
                </c:pt>
                <c:pt idx="24">
                  <c:v>12096127.947019776</c:v>
                </c:pt>
                <c:pt idx="25">
                  <c:v>11811718.352344632</c:v>
                </c:pt>
                <c:pt idx="26">
                  <c:v>11532415.979269186</c:v>
                </c:pt>
                <c:pt idx="27">
                  <c:v>11258542.120657153</c:v>
                </c:pt>
                <c:pt idx="28">
                  <c:v>10990450.03712946</c:v>
                </c:pt>
                <c:pt idx="29">
                  <c:v>10728527.420565834</c:v>
                </c:pt>
                <c:pt idx="30">
                  <c:v>10473200.579643216</c:v>
                </c:pt>
                <c:pt idx="31">
                  <c:v>10224937.57595229</c:v>
                </c:pt>
                <c:pt idx="32">
                  <c:v>9984253.150843</c:v>
                </c:pt>
                <c:pt idx="33">
                  <c:v>9751712.6786178742</c:v>
                </c:pt>
                <c:pt idx="34">
                  <c:v>9527937.9940365739</c:v>
                </c:pt>
                <c:pt idx="35">
                  <c:v>9313611.9876407105</c:v>
                </c:pt>
                <c:pt idx="36">
                  <c:v>9065252.1072700638</c:v>
                </c:pt>
                <c:pt idx="37">
                  <c:v>8823566.6591591705</c:v>
                </c:pt>
                <c:pt idx="38">
                  <c:v>8589056.6298282687</c:v>
                </c:pt>
                <c:pt idx="39">
                  <c:v>8362264.7059767051</c:v>
                </c:pt>
                <c:pt idx="40">
                  <c:v>8143779.1262703137</c:v>
                </c:pt>
                <c:pt idx="41">
                  <c:v>7934237.9093361385</c:v>
                </c:pt>
                <c:pt idx="42">
                  <c:v>7734333.4957330674</c:v>
                </c:pt>
                <c:pt idx="43">
                  <c:v>7544817.8455091435</c:v>
                </c:pt>
                <c:pt idx="44">
                  <c:v>7366508.0371918567</c:v>
                </c:pt>
                <c:pt idx="45">
                  <c:v>7200292.4187270189</c:v>
                </c:pt>
                <c:pt idx="46">
                  <c:v>7047137.366029433</c:v>
                </c:pt>
                <c:pt idx="47">
                  <c:v>6908094.710483606</c:v>
                </c:pt>
                <c:pt idx="48">
                  <c:v>6768793.1159279812</c:v>
                </c:pt>
                <c:pt idx="49">
                  <c:v>6639103.905694956</c:v>
                </c:pt>
                <c:pt idx="50">
                  <c:v>6519431.0091771688</c:v>
                </c:pt>
                <c:pt idx="51">
                  <c:v>6410194.7335447213</c:v>
                </c:pt>
                <c:pt idx="52">
                  <c:v>6311832.4342841906</c:v>
                </c:pt>
                <c:pt idx="53">
                  <c:v>6224799.2134881997</c:v>
                </c:pt>
                <c:pt idx="54">
                  <c:v>6149568.6470559053</c:v>
                </c:pt>
                <c:pt idx="55">
                  <c:v>6086633.5420137839</c:v>
                </c:pt>
                <c:pt idx="56">
                  <c:v>6036506.7252171515</c:v>
                </c:pt>
                <c:pt idx="57">
                  <c:v>5999721.8647461291</c:v>
                </c:pt>
                <c:pt idx="58">
                  <c:v>5976834.3253652761</c:v>
                </c:pt>
                <c:pt idx="59">
                  <c:v>5968422.0594740147</c:v>
                </c:pt>
              </c:numCache>
            </c:numRef>
          </c:val>
          <c:smooth val="0"/>
          <c:extLst>
            <c:ext xmlns:c16="http://schemas.microsoft.com/office/drawing/2014/chart" uri="{C3380CC4-5D6E-409C-BE32-E72D297353CC}">
              <c16:uniqueId val="{00000001-F9F1-4911-9C9E-24B940ABBBAE}"/>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6"/>
        <c:tickMarkSkip val="6"/>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valAx>
        <c:axId val="200"/>
        <c:scaling>
          <c:orientation val="minMax"/>
        </c:scaling>
        <c:delete val="0"/>
        <c:axPos val="r"/>
        <c:numFmt formatCode="#,##0"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Annual revenue and EBITDA (EUR) — scenario shown</a:t>
            </a:r>
          </a:p>
        </c:rich>
      </c:tx>
      <c:overlay val="0"/>
    </c:title>
    <c:autoTitleDeleted val="0"/>
    <c:plotArea>
      <c:layout/>
      <c:barChart>
        <c:barDir val="col"/>
        <c:grouping val="clustered"/>
        <c:varyColors val="1"/>
        <c:ser>
          <c:idx val="0"/>
          <c:order val="0"/>
          <c:tx>
            <c:v>Revenue</c:v>
          </c:tx>
          <c:spPr>
            <a:solidFill>
              <a:srgbClr val="203864"/>
            </a:solidFill>
            <a:ln>
              <a:solidFill>
                <a:srgbClr val="203864"/>
              </a:solidFill>
              <a:prstDash val="solid"/>
            </a:ln>
          </c:spPr>
          <c:invertIfNegative val="0"/>
          <c:cat>
            <c:strRef>
              <c:f>Annual!$D$6:$H$6</c:f>
              <c:strCache>
                <c:ptCount val="5"/>
                <c:pt idx="0">
                  <c:v>FY2027</c:v>
                </c:pt>
                <c:pt idx="1">
                  <c:v>FY2028</c:v>
                </c:pt>
                <c:pt idx="2">
                  <c:v>FY2029</c:v>
                </c:pt>
                <c:pt idx="3">
                  <c:v>FY2030</c:v>
                </c:pt>
                <c:pt idx="4">
                  <c:v>FY2031</c:v>
                </c:pt>
              </c:strCache>
            </c:strRef>
          </c:cat>
          <c:val>
            <c:numRef>
              <c:f>Annual!$D$10:$H$10</c:f>
              <c:numCache>
                <c:formatCode>#,##0;\(#,##0\);"-"</c:formatCode>
                <c:ptCount val="5"/>
                <c:pt idx="0">
                  <c:v>5880.89</c:v>
                </c:pt>
                <c:pt idx="1">
                  <c:v>323136.86</c:v>
                </c:pt>
                <c:pt idx="2">
                  <c:v>1364488.2850607745</c:v>
                </c:pt>
                <c:pt idx="3">
                  <c:v>3256805.9164241804</c:v>
                </c:pt>
                <c:pt idx="4">
                  <c:v>5732596.2055294197</c:v>
                </c:pt>
              </c:numCache>
            </c:numRef>
          </c:val>
          <c:extLst>
            <c:ext xmlns:c16="http://schemas.microsoft.com/office/drawing/2014/chart" uri="{C3380CC4-5D6E-409C-BE32-E72D297353CC}">
              <c16:uniqueId val="{00000000-2659-4E45-A62B-2C07D130D6F2}"/>
            </c:ext>
          </c:extLst>
        </c:ser>
        <c:ser>
          <c:idx val="1"/>
          <c:order val="1"/>
          <c:tx>
            <c:v>EBITDA</c:v>
          </c:tx>
          <c:spPr>
            <a:solidFill>
              <a:srgbClr val="5B9BD5"/>
            </a:solidFill>
            <a:ln>
              <a:solidFill>
                <a:srgbClr val="5B9BD5"/>
              </a:solidFill>
              <a:prstDash val="solid"/>
            </a:ln>
          </c:spPr>
          <c:invertIfNegative val="0"/>
          <c:cat>
            <c:strRef>
              <c:f>Annual!$D$6:$H$6</c:f>
              <c:strCache>
                <c:ptCount val="5"/>
                <c:pt idx="0">
                  <c:v>FY2027</c:v>
                </c:pt>
                <c:pt idx="1">
                  <c:v>FY2028</c:v>
                </c:pt>
                <c:pt idx="2">
                  <c:v>FY2029</c:v>
                </c:pt>
                <c:pt idx="3">
                  <c:v>FY2030</c:v>
                </c:pt>
                <c:pt idx="4">
                  <c:v>FY2031</c:v>
                </c:pt>
              </c:strCache>
            </c:strRef>
          </c:cat>
          <c:val>
            <c:numRef>
              <c:f>Annual!$D$18:$H$18</c:f>
              <c:numCache>
                <c:formatCode>#,##0;\(#,##0\);"-"</c:formatCode>
                <c:ptCount val="5"/>
                <c:pt idx="0">
                  <c:v>-1540974.3921612198</c:v>
                </c:pt>
                <c:pt idx="1">
                  <c:v>-3190440.84197021</c:v>
                </c:pt>
                <c:pt idx="2">
                  <c:v>-3235196.3449675841</c:v>
                </c:pt>
                <c:pt idx="3">
                  <c:v>-2526923.3500179444</c:v>
                </c:pt>
                <c:pt idx="4">
                  <c:v>-1002212.0437933416</c:v>
                </c:pt>
              </c:numCache>
            </c:numRef>
          </c:val>
          <c:extLst>
            <c:ext xmlns:c16="http://schemas.microsoft.com/office/drawing/2014/chart" uri="{C3380CC4-5D6E-409C-BE32-E72D297353CC}">
              <c16:uniqueId val="{00000001-2659-4E45-A62B-2C07D130D6F2}"/>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Closing cash by scenario (EUR)</a:t>
            </a:r>
          </a:p>
        </c:rich>
      </c:tx>
      <c:overlay val="0"/>
    </c:title>
    <c:autoTitleDeleted val="0"/>
    <c:plotArea>
      <c:layout/>
      <c:lineChart>
        <c:grouping val="standard"/>
        <c:varyColors val="1"/>
        <c:ser>
          <c:idx val="0"/>
          <c:order val="0"/>
          <c:tx>
            <c:v>Base</c:v>
          </c:tx>
          <c:spPr>
            <a:ln w="25400">
              <a:solidFill>
                <a:srgbClr val="203864"/>
              </a:solidFill>
              <a:prstDash val="solid"/>
            </a:ln>
          </c:spPr>
          <c:marker>
            <c:symbol val="none"/>
          </c:marker>
          <c:cat>
            <c:strRef>
              <c:f>Monthly!$E$8:$BL$8</c:f>
              <c:strCache>
                <c:ptCount val="60"/>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pt idx="12">
                  <c:v>Jan 28</c:v>
                </c:pt>
                <c:pt idx="13">
                  <c:v>Feb 28</c:v>
                </c:pt>
                <c:pt idx="14">
                  <c:v>Mar 28</c:v>
                </c:pt>
                <c:pt idx="15">
                  <c:v>Apr 28</c:v>
                </c:pt>
                <c:pt idx="16">
                  <c:v>May 28</c:v>
                </c:pt>
                <c:pt idx="17">
                  <c:v>Jun 28</c:v>
                </c:pt>
                <c:pt idx="18">
                  <c:v>Jul 28</c:v>
                </c:pt>
                <c:pt idx="19">
                  <c:v>Aug 28</c:v>
                </c:pt>
                <c:pt idx="20">
                  <c:v>Sep 28</c:v>
                </c:pt>
                <c:pt idx="21">
                  <c:v>Oct 28</c:v>
                </c:pt>
                <c:pt idx="22">
                  <c:v>Nov 28</c:v>
                </c:pt>
                <c:pt idx="23">
                  <c:v>Dec 28</c:v>
                </c:pt>
                <c:pt idx="24">
                  <c:v>Jan 29</c:v>
                </c:pt>
                <c:pt idx="25">
                  <c:v>Feb 29</c:v>
                </c:pt>
                <c:pt idx="26">
                  <c:v>Mar 29</c:v>
                </c:pt>
                <c:pt idx="27">
                  <c:v>Apr 29</c:v>
                </c:pt>
                <c:pt idx="28">
                  <c:v>May 29</c:v>
                </c:pt>
                <c:pt idx="29">
                  <c:v>Jun 29</c:v>
                </c:pt>
                <c:pt idx="30">
                  <c:v>Jul 29</c:v>
                </c:pt>
                <c:pt idx="31">
                  <c:v>Aug 29</c:v>
                </c:pt>
                <c:pt idx="32">
                  <c:v>Sep 29</c:v>
                </c:pt>
                <c:pt idx="33">
                  <c:v>Oct 29</c:v>
                </c:pt>
                <c:pt idx="34">
                  <c:v>Nov 29</c:v>
                </c:pt>
                <c:pt idx="35">
                  <c:v>Dec 29</c:v>
                </c:pt>
                <c:pt idx="36">
                  <c:v>Jan 30</c:v>
                </c:pt>
                <c:pt idx="37">
                  <c:v>Feb 30</c:v>
                </c:pt>
                <c:pt idx="38">
                  <c:v>Mar 30</c:v>
                </c:pt>
                <c:pt idx="39">
                  <c:v>Apr 30</c:v>
                </c:pt>
                <c:pt idx="40">
                  <c:v>May 30</c:v>
                </c:pt>
                <c:pt idx="41">
                  <c:v>Jun 30</c:v>
                </c:pt>
                <c:pt idx="42">
                  <c:v>Jul 30</c:v>
                </c:pt>
                <c:pt idx="43">
                  <c:v>Aug 30</c:v>
                </c:pt>
                <c:pt idx="44">
                  <c:v>Sep 30</c:v>
                </c:pt>
                <c:pt idx="45">
                  <c:v>Oct 30</c:v>
                </c:pt>
                <c:pt idx="46">
                  <c:v>Nov 30</c:v>
                </c:pt>
                <c:pt idx="47">
                  <c:v>Dec 30</c:v>
                </c:pt>
                <c:pt idx="48">
                  <c:v>Jan 31</c:v>
                </c:pt>
                <c:pt idx="49">
                  <c:v>Feb 31</c:v>
                </c:pt>
                <c:pt idx="50">
                  <c:v>Mar 31</c:v>
                </c:pt>
                <c:pt idx="51">
                  <c:v>Apr 31</c:v>
                </c:pt>
                <c:pt idx="52">
                  <c:v>May 31</c:v>
                </c:pt>
                <c:pt idx="53">
                  <c:v>Jun 31</c:v>
                </c:pt>
                <c:pt idx="54">
                  <c:v>Jul 31</c:v>
                </c:pt>
                <c:pt idx="55">
                  <c:v>Aug 31</c:v>
                </c:pt>
                <c:pt idx="56">
                  <c:v>Sep 31</c:v>
                </c:pt>
                <c:pt idx="57">
                  <c:v>Oct 31</c:v>
                </c:pt>
                <c:pt idx="58">
                  <c:v>Nov 31</c:v>
                </c:pt>
                <c:pt idx="59">
                  <c:v>Dec 31</c:v>
                </c:pt>
              </c:strCache>
            </c:strRef>
          </c:cat>
          <c:val>
            <c:numRef>
              <c:f>Calc_Base!$E$48:$BL$48</c:f>
              <c:numCache>
                <c:formatCode>#,##0;\(#,##0\);"-"</c:formatCode>
                <c:ptCount val="60"/>
                <c:pt idx="0">
                  <c:v>968982.45075814484</c:v>
                </c:pt>
                <c:pt idx="1">
                  <c:v>906540.89493863343</c:v>
                </c:pt>
                <c:pt idx="2">
                  <c:v>836407.78940738866</c:v>
                </c:pt>
                <c:pt idx="3">
                  <c:v>728665.83516840695</c:v>
                </c:pt>
                <c:pt idx="4">
                  <c:v>621098.35524104757</c:v>
                </c:pt>
                <c:pt idx="5">
                  <c:v>522405.62684836902</c:v>
                </c:pt>
                <c:pt idx="6">
                  <c:v>423589.53254519962</c:v>
                </c:pt>
                <c:pt idx="7">
                  <c:v>4249239.5469831582</c:v>
                </c:pt>
                <c:pt idx="8">
                  <c:v>4095958.2209993517</c:v>
                </c:pt>
                <c:pt idx="9">
                  <c:v>3890409.6858692942</c:v>
                </c:pt>
                <c:pt idx="10">
                  <c:v>3687615.1207309384</c:v>
                </c:pt>
                <c:pt idx="11">
                  <c:v>3477720.4991631419</c:v>
                </c:pt>
                <c:pt idx="12">
                  <c:v>3193444.9695990221</c:v>
                </c:pt>
                <c:pt idx="13">
                  <c:v>2943491.8889734894</c:v>
                </c:pt>
                <c:pt idx="14">
                  <c:v>2694772.3361224481</c:v>
                </c:pt>
                <c:pt idx="15">
                  <c:v>2447343.4349854547</c:v>
                </c:pt>
                <c:pt idx="16">
                  <c:v>2201247.0933774142</c:v>
                </c:pt>
                <c:pt idx="17">
                  <c:v>1956520.9251816915</c:v>
                </c:pt>
                <c:pt idx="18">
                  <c:v>13578126.63439266</c:v>
                </c:pt>
                <c:pt idx="19">
                  <c:v>13341943.108675448</c:v>
                </c:pt>
                <c:pt idx="20">
                  <c:v>13107235.862075591</c:v>
                </c:pt>
                <c:pt idx="21">
                  <c:v>12873908.396461578</c:v>
                </c:pt>
                <c:pt idx="22">
                  <c:v>12642009.484219199</c:v>
                </c:pt>
                <c:pt idx="23">
                  <c:v>12385351.862984465</c:v>
                </c:pt>
                <c:pt idx="24">
                  <c:v>12096127.947019776</c:v>
                </c:pt>
                <c:pt idx="25">
                  <c:v>11811718.352344632</c:v>
                </c:pt>
                <c:pt idx="26">
                  <c:v>11532415.979269186</c:v>
                </c:pt>
                <c:pt idx="27">
                  <c:v>11258542.120657153</c:v>
                </c:pt>
                <c:pt idx="28">
                  <c:v>10990450.03712946</c:v>
                </c:pt>
                <c:pt idx="29">
                  <c:v>10728527.420565834</c:v>
                </c:pt>
                <c:pt idx="30">
                  <c:v>10473200.579643216</c:v>
                </c:pt>
                <c:pt idx="31">
                  <c:v>10224937.57595229</c:v>
                </c:pt>
                <c:pt idx="32">
                  <c:v>9984253.150843</c:v>
                </c:pt>
                <c:pt idx="33">
                  <c:v>9751712.6786178742</c:v>
                </c:pt>
                <c:pt idx="34">
                  <c:v>9527937.9940365739</c:v>
                </c:pt>
                <c:pt idx="35">
                  <c:v>9313611.9876407105</c:v>
                </c:pt>
                <c:pt idx="36">
                  <c:v>9065252.1072700638</c:v>
                </c:pt>
                <c:pt idx="37">
                  <c:v>8823566.6591591705</c:v>
                </c:pt>
                <c:pt idx="38">
                  <c:v>8589056.6298282687</c:v>
                </c:pt>
                <c:pt idx="39">
                  <c:v>8362264.7059767051</c:v>
                </c:pt>
                <c:pt idx="40">
                  <c:v>8143779.1262703137</c:v>
                </c:pt>
                <c:pt idx="41">
                  <c:v>7934237.9093361385</c:v>
                </c:pt>
                <c:pt idx="42">
                  <c:v>7734333.4957330674</c:v>
                </c:pt>
                <c:pt idx="43">
                  <c:v>7544817.8455091435</c:v>
                </c:pt>
                <c:pt idx="44">
                  <c:v>7366508.0371918567</c:v>
                </c:pt>
                <c:pt idx="45">
                  <c:v>7200292.4187270189</c:v>
                </c:pt>
                <c:pt idx="46">
                  <c:v>7047137.366029433</c:v>
                </c:pt>
                <c:pt idx="47">
                  <c:v>6908094.710483606</c:v>
                </c:pt>
                <c:pt idx="48">
                  <c:v>6768793.1159279812</c:v>
                </c:pt>
                <c:pt idx="49">
                  <c:v>6639103.905694956</c:v>
                </c:pt>
                <c:pt idx="50">
                  <c:v>6519431.0091771688</c:v>
                </c:pt>
                <c:pt idx="51">
                  <c:v>6410194.7335447213</c:v>
                </c:pt>
                <c:pt idx="52">
                  <c:v>6311832.4342841906</c:v>
                </c:pt>
                <c:pt idx="53">
                  <c:v>6224799.2134881997</c:v>
                </c:pt>
                <c:pt idx="54">
                  <c:v>6149568.6470559053</c:v>
                </c:pt>
                <c:pt idx="55">
                  <c:v>6086633.5420137839</c:v>
                </c:pt>
                <c:pt idx="56">
                  <c:v>6036506.7252171515</c:v>
                </c:pt>
                <c:pt idx="57">
                  <c:v>5999721.8647461291</c:v>
                </c:pt>
                <c:pt idx="58">
                  <c:v>5976834.3253652761</c:v>
                </c:pt>
                <c:pt idx="59">
                  <c:v>5968422.0594740147</c:v>
                </c:pt>
              </c:numCache>
            </c:numRef>
          </c:val>
          <c:smooth val="0"/>
          <c:extLst>
            <c:ext xmlns:c16="http://schemas.microsoft.com/office/drawing/2014/chart" uri="{C3380CC4-5D6E-409C-BE32-E72D297353CC}">
              <c16:uniqueId val="{00000000-D075-435A-AF6A-3F5B16855132}"/>
            </c:ext>
          </c:extLst>
        </c:ser>
        <c:ser>
          <c:idx val="1"/>
          <c:order val="1"/>
          <c:tx>
            <c:v>Upside</c:v>
          </c:tx>
          <c:spPr>
            <a:ln w="25400">
              <a:solidFill>
                <a:srgbClr val="70AD47"/>
              </a:solidFill>
              <a:prstDash val="solid"/>
            </a:ln>
          </c:spPr>
          <c:marker>
            <c:symbol val="none"/>
          </c:marker>
          <c:cat>
            <c:strRef>
              <c:f>Monthly!$E$8:$BL$8</c:f>
              <c:strCache>
                <c:ptCount val="60"/>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pt idx="12">
                  <c:v>Jan 28</c:v>
                </c:pt>
                <c:pt idx="13">
                  <c:v>Feb 28</c:v>
                </c:pt>
                <c:pt idx="14">
                  <c:v>Mar 28</c:v>
                </c:pt>
                <c:pt idx="15">
                  <c:v>Apr 28</c:v>
                </c:pt>
                <c:pt idx="16">
                  <c:v>May 28</c:v>
                </c:pt>
                <c:pt idx="17">
                  <c:v>Jun 28</c:v>
                </c:pt>
                <c:pt idx="18">
                  <c:v>Jul 28</c:v>
                </c:pt>
                <c:pt idx="19">
                  <c:v>Aug 28</c:v>
                </c:pt>
                <c:pt idx="20">
                  <c:v>Sep 28</c:v>
                </c:pt>
                <c:pt idx="21">
                  <c:v>Oct 28</c:v>
                </c:pt>
                <c:pt idx="22">
                  <c:v>Nov 28</c:v>
                </c:pt>
                <c:pt idx="23">
                  <c:v>Dec 28</c:v>
                </c:pt>
                <c:pt idx="24">
                  <c:v>Jan 29</c:v>
                </c:pt>
                <c:pt idx="25">
                  <c:v>Feb 29</c:v>
                </c:pt>
                <c:pt idx="26">
                  <c:v>Mar 29</c:v>
                </c:pt>
                <c:pt idx="27">
                  <c:v>Apr 29</c:v>
                </c:pt>
                <c:pt idx="28">
                  <c:v>May 29</c:v>
                </c:pt>
                <c:pt idx="29">
                  <c:v>Jun 29</c:v>
                </c:pt>
                <c:pt idx="30">
                  <c:v>Jul 29</c:v>
                </c:pt>
                <c:pt idx="31">
                  <c:v>Aug 29</c:v>
                </c:pt>
                <c:pt idx="32">
                  <c:v>Sep 29</c:v>
                </c:pt>
                <c:pt idx="33">
                  <c:v>Oct 29</c:v>
                </c:pt>
                <c:pt idx="34">
                  <c:v>Nov 29</c:v>
                </c:pt>
                <c:pt idx="35">
                  <c:v>Dec 29</c:v>
                </c:pt>
                <c:pt idx="36">
                  <c:v>Jan 30</c:v>
                </c:pt>
                <c:pt idx="37">
                  <c:v>Feb 30</c:v>
                </c:pt>
                <c:pt idx="38">
                  <c:v>Mar 30</c:v>
                </c:pt>
                <c:pt idx="39">
                  <c:v>Apr 30</c:v>
                </c:pt>
                <c:pt idx="40">
                  <c:v>May 30</c:v>
                </c:pt>
                <c:pt idx="41">
                  <c:v>Jun 30</c:v>
                </c:pt>
                <c:pt idx="42">
                  <c:v>Jul 30</c:v>
                </c:pt>
                <c:pt idx="43">
                  <c:v>Aug 30</c:v>
                </c:pt>
                <c:pt idx="44">
                  <c:v>Sep 30</c:v>
                </c:pt>
                <c:pt idx="45">
                  <c:v>Oct 30</c:v>
                </c:pt>
                <c:pt idx="46">
                  <c:v>Nov 30</c:v>
                </c:pt>
                <c:pt idx="47">
                  <c:v>Dec 30</c:v>
                </c:pt>
                <c:pt idx="48">
                  <c:v>Jan 31</c:v>
                </c:pt>
                <c:pt idx="49">
                  <c:v>Feb 31</c:v>
                </c:pt>
                <c:pt idx="50">
                  <c:v>Mar 31</c:v>
                </c:pt>
                <c:pt idx="51">
                  <c:v>Apr 31</c:v>
                </c:pt>
                <c:pt idx="52">
                  <c:v>May 31</c:v>
                </c:pt>
                <c:pt idx="53">
                  <c:v>Jun 31</c:v>
                </c:pt>
                <c:pt idx="54">
                  <c:v>Jul 31</c:v>
                </c:pt>
                <c:pt idx="55">
                  <c:v>Aug 31</c:v>
                </c:pt>
                <c:pt idx="56">
                  <c:v>Sep 31</c:v>
                </c:pt>
                <c:pt idx="57">
                  <c:v>Oct 31</c:v>
                </c:pt>
                <c:pt idx="58">
                  <c:v>Nov 31</c:v>
                </c:pt>
                <c:pt idx="59">
                  <c:v>Dec 31</c:v>
                </c:pt>
              </c:strCache>
            </c:strRef>
          </c:cat>
          <c:val>
            <c:numRef>
              <c:f>Calc_Upside!$E$48:$BL$48</c:f>
              <c:numCache>
                <c:formatCode>#,##0;\(#,##0\);"-"</c:formatCode>
                <c:ptCount val="60"/>
                <c:pt idx="0">
                  <c:v>968982.45075814484</c:v>
                </c:pt>
                <c:pt idx="1">
                  <c:v>906540.89493863343</c:v>
                </c:pt>
                <c:pt idx="2">
                  <c:v>836407.78940738866</c:v>
                </c:pt>
                <c:pt idx="3">
                  <c:v>728665.83516840695</c:v>
                </c:pt>
                <c:pt idx="4">
                  <c:v>621098.35524104757</c:v>
                </c:pt>
                <c:pt idx="5">
                  <c:v>522405.62684836902</c:v>
                </c:pt>
                <c:pt idx="6">
                  <c:v>423589.53254519962</c:v>
                </c:pt>
                <c:pt idx="7">
                  <c:v>4249239.441519348</c:v>
                </c:pt>
                <c:pt idx="8">
                  <c:v>4095958.0099399015</c:v>
                </c:pt>
                <c:pt idx="9">
                  <c:v>3891337.8048240049</c:v>
                </c:pt>
                <c:pt idx="10">
                  <c:v>3690067.1271341564</c:v>
                </c:pt>
                <c:pt idx="11">
                  <c:v>3482309.5471278653</c:v>
                </c:pt>
                <c:pt idx="12">
                  <c:v>3221770.7577064615</c:v>
                </c:pt>
                <c:pt idx="13">
                  <c:v>2983416.3322309782</c:v>
                </c:pt>
                <c:pt idx="14">
                  <c:v>2749326.206680797</c:v>
                </c:pt>
                <c:pt idx="15">
                  <c:v>2519759.3700326881</c:v>
                </c:pt>
                <c:pt idx="16">
                  <c:v>2294927.3052421054</c:v>
                </c:pt>
                <c:pt idx="17">
                  <c:v>2075030.2240099018</c:v>
                </c:pt>
                <c:pt idx="18">
                  <c:v>13725176.65340694</c:v>
                </c:pt>
                <c:pt idx="19">
                  <c:v>13521397.936359046</c:v>
                </c:pt>
                <c:pt idx="20">
                  <c:v>13323095.43409485</c:v>
                </c:pt>
                <c:pt idx="21">
                  <c:v>13130145.147581093</c:v>
                </c:pt>
                <c:pt idx="22">
                  <c:v>12942758.071141941</c:v>
                </c:pt>
                <c:pt idx="23">
                  <c:v>12734876.712309133</c:v>
                </c:pt>
                <c:pt idx="24">
                  <c:v>12500215.483441068</c:v>
                </c:pt>
                <c:pt idx="25">
                  <c:v>12276982.025883686</c:v>
                </c:pt>
                <c:pt idx="26">
                  <c:v>12066061.043429684</c:v>
                </c:pt>
                <c:pt idx="27">
                  <c:v>11868427.885538343</c:v>
                </c:pt>
                <c:pt idx="28">
                  <c:v>11685159.065585015</c:v>
                </c:pt>
                <c:pt idx="29">
                  <c:v>11517441.75607164</c:v>
                </c:pt>
                <c:pt idx="30">
                  <c:v>11366586.411356755</c:v>
                </c:pt>
                <c:pt idx="31">
                  <c:v>11234038.590263657</c:v>
                </c:pt>
                <c:pt idx="32">
                  <c:v>11121394.152899494</c:v>
                </c:pt>
                <c:pt idx="33">
                  <c:v>11030413.930369776</c:v>
                </c:pt>
                <c:pt idx="34">
                  <c:v>10963042.07087389</c:v>
                </c:pt>
                <c:pt idx="35">
                  <c:v>10921423.687242581</c:v>
                </c:pt>
                <c:pt idx="36">
                  <c:v>10853435.352750028</c:v>
                </c:pt>
                <c:pt idx="37">
                  <c:v>10802225.501386093</c:v>
                </c:pt>
                <c:pt idx="38">
                  <c:v>10768882.339878654</c:v>
                </c:pt>
                <c:pt idx="39">
                  <c:v>10754573.487011973</c:v>
                </c:pt>
                <c:pt idx="40">
                  <c:v>10760552.55856478</c:v>
                </c:pt>
                <c:pt idx="41">
                  <c:v>10788166.351282079</c:v>
                </c:pt>
                <c:pt idx="42">
                  <c:v>10838862.68359771</c:v>
                </c:pt>
                <c:pt idx="43">
                  <c:v>10914198.956569346</c:v>
                </c:pt>
                <c:pt idx="44">
                  <c:v>11015851.504813965</c:v>
                </c:pt>
                <c:pt idx="45">
                  <c:v>11145625.81419961</c:v>
                </c:pt>
                <c:pt idx="46">
                  <c:v>11305467.690723872</c:v>
                </c:pt>
                <c:pt idx="47">
                  <c:v>11497475.473463474</c:v>
                </c:pt>
                <c:pt idx="48">
                  <c:v>11702034.379575312</c:v>
                </c:pt>
                <c:pt idx="49">
                  <c:v>11932423.386996387</c:v>
                </c:pt>
                <c:pt idx="50">
                  <c:v>12189789.41452031</c:v>
                </c:pt>
                <c:pt idx="51">
                  <c:v>12475329.949137783</c:v>
                </c:pt>
                <c:pt idx="52">
                  <c:v>12790295.299279224</c:v>
                </c:pt>
                <c:pt idx="53">
                  <c:v>13135990.949525025</c:v>
                </c:pt>
                <c:pt idx="54">
                  <c:v>13513780.021398136</c:v>
                </c:pt>
                <c:pt idx="55">
                  <c:v>13925085.845065484</c:v>
                </c:pt>
                <c:pt idx="56">
                  <c:v>14371394.646996293</c:v>
                </c:pt>
                <c:pt idx="57">
                  <c:v>14854258.35885727</c:v>
                </c:pt>
                <c:pt idx="58">
                  <c:v>15375297.553167129</c:v>
                </c:pt>
                <c:pt idx="59">
                  <c:v>15936204.511486808</c:v>
                </c:pt>
              </c:numCache>
            </c:numRef>
          </c:val>
          <c:smooth val="0"/>
          <c:extLst>
            <c:ext xmlns:c16="http://schemas.microsoft.com/office/drawing/2014/chart" uri="{C3380CC4-5D6E-409C-BE32-E72D297353CC}">
              <c16:uniqueId val="{00000001-D075-435A-AF6A-3F5B16855132}"/>
            </c:ext>
          </c:extLst>
        </c:ser>
        <c:ser>
          <c:idx val="2"/>
          <c:order val="2"/>
          <c:tx>
            <c:v>Downside</c:v>
          </c:tx>
          <c:spPr>
            <a:ln w="25400">
              <a:solidFill>
                <a:srgbClr val="C00000"/>
              </a:solidFill>
              <a:prstDash val="solid"/>
            </a:ln>
          </c:spPr>
          <c:marker>
            <c:symbol val="none"/>
          </c:marker>
          <c:cat>
            <c:strRef>
              <c:f>Monthly!$E$8:$BL$8</c:f>
              <c:strCache>
                <c:ptCount val="60"/>
                <c:pt idx="0">
                  <c:v>Jan 27</c:v>
                </c:pt>
                <c:pt idx="1">
                  <c:v>Feb 27</c:v>
                </c:pt>
                <c:pt idx="2">
                  <c:v>Mar 27</c:v>
                </c:pt>
                <c:pt idx="3">
                  <c:v>Apr 27</c:v>
                </c:pt>
                <c:pt idx="4">
                  <c:v>May 27</c:v>
                </c:pt>
                <c:pt idx="5">
                  <c:v>Jun 27</c:v>
                </c:pt>
                <c:pt idx="6">
                  <c:v>Jul 27</c:v>
                </c:pt>
                <c:pt idx="7">
                  <c:v>Aug 27</c:v>
                </c:pt>
                <c:pt idx="8">
                  <c:v>Sep 27</c:v>
                </c:pt>
                <c:pt idx="9">
                  <c:v>Oct 27</c:v>
                </c:pt>
                <c:pt idx="10">
                  <c:v>Nov 27</c:v>
                </c:pt>
                <c:pt idx="11">
                  <c:v>Dec 27</c:v>
                </c:pt>
                <c:pt idx="12">
                  <c:v>Jan 28</c:v>
                </c:pt>
                <c:pt idx="13">
                  <c:v>Feb 28</c:v>
                </c:pt>
                <c:pt idx="14">
                  <c:v>Mar 28</c:v>
                </c:pt>
                <c:pt idx="15">
                  <c:v>Apr 28</c:v>
                </c:pt>
                <c:pt idx="16">
                  <c:v>May 28</c:v>
                </c:pt>
                <c:pt idx="17">
                  <c:v>Jun 28</c:v>
                </c:pt>
                <c:pt idx="18">
                  <c:v>Jul 28</c:v>
                </c:pt>
                <c:pt idx="19">
                  <c:v>Aug 28</c:v>
                </c:pt>
                <c:pt idx="20">
                  <c:v>Sep 28</c:v>
                </c:pt>
                <c:pt idx="21">
                  <c:v>Oct 28</c:v>
                </c:pt>
                <c:pt idx="22">
                  <c:v>Nov 28</c:v>
                </c:pt>
                <c:pt idx="23">
                  <c:v>Dec 28</c:v>
                </c:pt>
                <c:pt idx="24">
                  <c:v>Jan 29</c:v>
                </c:pt>
                <c:pt idx="25">
                  <c:v>Feb 29</c:v>
                </c:pt>
                <c:pt idx="26">
                  <c:v>Mar 29</c:v>
                </c:pt>
                <c:pt idx="27">
                  <c:v>Apr 29</c:v>
                </c:pt>
                <c:pt idx="28">
                  <c:v>May 29</c:v>
                </c:pt>
                <c:pt idx="29">
                  <c:v>Jun 29</c:v>
                </c:pt>
                <c:pt idx="30">
                  <c:v>Jul 29</c:v>
                </c:pt>
                <c:pt idx="31">
                  <c:v>Aug 29</c:v>
                </c:pt>
                <c:pt idx="32">
                  <c:v>Sep 29</c:v>
                </c:pt>
                <c:pt idx="33">
                  <c:v>Oct 29</c:v>
                </c:pt>
                <c:pt idx="34">
                  <c:v>Nov 29</c:v>
                </c:pt>
                <c:pt idx="35">
                  <c:v>Dec 29</c:v>
                </c:pt>
                <c:pt idx="36">
                  <c:v>Jan 30</c:v>
                </c:pt>
                <c:pt idx="37">
                  <c:v>Feb 30</c:v>
                </c:pt>
                <c:pt idx="38">
                  <c:v>Mar 30</c:v>
                </c:pt>
                <c:pt idx="39">
                  <c:v>Apr 30</c:v>
                </c:pt>
                <c:pt idx="40">
                  <c:v>May 30</c:v>
                </c:pt>
                <c:pt idx="41">
                  <c:v>Jun 30</c:v>
                </c:pt>
                <c:pt idx="42">
                  <c:v>Jul 30</c:v>
                </c:pt>
                <c:pt idx="43">
                  <c:v>Aug 30</c:v>
                </c:pt>
                <c:pt idx="44">
                  <c:v>Sep 30</c:v>
                </c:pt>
                <c:pt idx="45">
                  <c:v>Oct 30</c:v>
                </c:pt>
                <c:pt idx="46">
                  <c:v>Nov 30</c:v>
                </c:pt>
                <c:pt idx="47">
                  <c:v>Dec 30</c:v>
                </c:pt>
                <c:pt idx="48">
                  <c:v>Jan 31</c:v>
                </c:pt>
                <c:pt idx="49">
                  <c:v>Feb 31</c:v>
                </c:pt>
                <c:pt idx="50">
                  <c:v>Mar 31</c:v>
                </c:pt>
                <c:pt idx="51">
                  <c:v>Apr 31</c:v>
                </c:pt>
                <c:pt idx="52">
                  <c:v>May 31</c:v>
                </c:pt>
                <c:pt idx="53">
                  <c:v>Jun 31</c:v>
                </c:pt>
                <c:pt idx="54">
                  <c:v>Jul 31</c:v>
                </c:pt>
                <c:pt idx="55">
                  <c:v>Aug 31</c:v>
                </c:pt>
                <c:pt idx="56">
                  <c:v>Sep 31</c:v>
                </c:pt>
                <c:pt idx="57">
                  <c:v>Oct 31</c:v>
                </c:pt>
                <c:pt idx="58">
                  <c:v>Nov 31</c:v>
                </c:pt>
                <c:pt idx="59">
                  <c:v>Dec 31</c:v>
                </c:pt>
              </c:strCache>
            </c:strRef>
          </c:cat>
          <c:val>
            <c:numRef>
              <c:f>Calc_Downside!$E$48:$BL$48</c:f>
              <c:numCache>
                <c:formatCode>#,##0;\(#,##0\);"-"</c:formatCode>
                <c:ptCount val="60"/>
                <c:pt idx="0">
                  <c:v>968982.45075814484</c:v>
                </c:pt>
                <c:pt idx="1">
                  <c:v>906540.89493863343</c:v>
                </c:pt>
                <c:pt idx="2">
                  <c:v>836407.78940738866</c:v>
                </c:pt>
                <c:pt idx="3">
                  <c:v>728665.83516840695</c:v>
                </c:pt>
                <c:pt idx="4">
                  <c:v>621098.35524104757</c:v>
                </c:pt>
                <c:pt idx="5">
                  <c:v>522405.62684836902</c:v>
                </c:pt>
                <c:pt idx="6">
                  <c:v>423589.53254519962</c:v>
                </c:pt>
                <c:pt idx="7">
                  <c:v>4249239.4672424085</c:v>
                </c:pt>
                <c:pt idx="8">
                  <c:v>4095958.0614181762</c:v>
                </c:pt>
                <c:pt idx="9">
                  <c:v>3889882.7336816047</c:v>
                </c:pt>
                <c:pt idx="10">
                  <c:v>3686254.0341868829</c:v>
                </c:pt>
                <c:pt idx="11">
                  <c:v>3475216.6233035158</c:v>
                </c:pt>
                <c:pt idx="12">
                  <c:v>3238426.3564042128</c:v>
                </c:pt>
                <c:pt idx="13">
                  <c:v>3009613.9380602846</c:v>
                </c:pt>
                <c:pt idx="14">
                  <c:v>2780602.5643638675</c:v>
                </c:pt>
                <c:pt idx="15">
                  <c:v>2551392.8464318826</c:v>
                </c:pt>
                <c:pt idx="16">
                  <c:v>2321982.0601110323</c:v>
                </c:pt>
                <c:pt idx="17">
                  <c:v>2092369.8865458255</c:v>
                </c:pt>
                <c:pt idx="18">
                  <c:v>13613085.449892946</c:v>
                </c:pt>
                <c:pt idx="19">
                  <c:v>13334040.608580256</c:v>
                </c:pt>
                <c:pt idx="20">
                  <c:v>13054558.523070125</c:v>
                </c:pt>
                <c:pt idx="21">
                  <c:v>12774629.867376184</c:v>
                </c:pt>
                <c:pt idx="22">
                  <c:v>12494261.353081271</c:v>
                </c:pt>
                <c:pt idx="23">
                  <c:v>12187244.977725793</c:v>
                </c:pt>
                <c:pt idx="24">
                  <c:v>11863057.507223524</c:v>
                </c:pt>
                <c:pt idx="25">
                  <c:v>11539906.481065327</c:v>
                </c:pt>
                <c:pt idx="26">
                  <c:v>11217855.781840079</c:v>
                </c:pt>
                <c:pt idx="27">
                  <c:v>10896975.914752146</c:v>
                </c:pt>
                <c:pt idx="28">
                  <c:v>10577345.015579723</c:v>
                </c:pt>
                <c:pt idx="29">
                  <c:v>10259049.425358865</c:v>
                </c:pt>
                <c:pt idx="30">
                  <c:v>9942184.8802785464</c:v>
                </c:pt>
                <c:pt idx="31">
                  <c:v>9626857.2898375951</c:v>
                </c:pt>
                <c:pt idx="32">
                  <c:v>9313184.1543583702</c:v>
                </c:pt>
                <c:pt idx="33">
                  <c:v>9001295.5978394393</c:v>
                </c:pt>
                <c:pt idx="34">
                  <c:v>8691336.0705355331</c:v>
                </c:pt>
                <c:pt idx="35">
                  <c:v>8383465.5710753705</c:v>
                </c:pt>
                <c:pt idx="36">
                  <c:v>8037241.0227888459</c:v>
                </c:pt>
                <c:pt idx="37">
                  <c:v>7692507.4858041499</c:v>
                </c:pt>
                <c:pt idx="38">
                  <c:v>7349416.1011145432</c:v>
                </c:pt>
                <c:pt idx="39">
                  <c:v>7008131.8547510412</c:v>
                </c:pt>
                <c:pt idx="40">
                  <c:v>6668834.9359383415</c:v>
                </c:pt>
                <c:pt idx="41">
                  <c:v>6331722.2321722843</c:v>
                </c:pt>
                <c:pt idx="42">
                  <c:v>5997008.9751617359</c:v>
                </c:pt>
                <c:pt idx="43">
                  <c:v>5664930.5530028883</c:v>
                </c:pt>
                <c:pt idx="44">
                  <c:v>5335744.5055249222</c:v>
                </c:pt>
                <c:pt idx="45">
                  <c:v>5009732.7214777218</c:v>
                </c:pt>
                <c:pt idx="46">
                  <c:v>4687203.8581413552</c:v>
                </c:pt>
                <c:pt idx="47">
                  <c:v>4368496.0060414607</c:v>
                </c:pt>
                <c:pt idx="48">
                  <c:v>4042953.9536881982</c:v>
                </c:pt>
                <c:pt idx="49">
                  <c:v>3719706.781681797</c:v>
                </c:pt>
                <c:pt idx="50">
                  <c:v>3398863.7755512618</c:v>
                </c:pt>
                <c:pt idx="51">
                  <c:v>3080538.633395121</c:v>
                </c:pt>
                <c:pt idx="52">
                  <c:v>2764849.6465477068</c:v>
                </c:pt>
                <c:pt idx="53">
                  <c:v>2451919.8877776237</c:v>
                </c:pt>
                <c:pt idx="54">
                  <c:v>2141877.4073378127</c:v>
                </c:pt>
                <c:pt idx="55">
                  <c:v>1834855.4372003817</c:v>
                </c:pt>
                <c:pt idx="56">
                  <c:v>1530992.6038237226</c:v>
                </c:pt>
                <c:pt idx="57">
                  <c:v>1230433.1498144306</c:v>
                </c:pt>
                <c:pt idx="58">
                  <c:v>933327.16486217466</c:v>
                </c:pt>
                <c:pt idx="59">
                  <c:v>639830.82634200004</c:v>
                </c:pt>
              </c:numCache>
            </c:numRef>
          </c:val>
          <c:smooth val="0"/>
          <c:extLst>
            <c:ext xmlns:c16="http://schemas.microsoft.com/office/drawing/2014/chart" uri="{C3380CC4-5D6E-409C-BE32-E72D297353CC}">
              <c16:uniqueId val="{00000002-D075-435A-AF6A-3F5B1685513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6"/>
        <c:tickMarkSkip val="6"/>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xdr:col>
      <xdr:colOff>0</xdr:colOff>
      <xdr:row>23</xdr:row>
      <xdr:rowOff>0</xdr:rowOff>
    </xdr:from>
    <xdr:ext cx="7020000" cy="252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5</xdr:col>
      <xdr:colOff>0</xdr:colOff>
      <xdr:row>23</xdr:row>
      <xdr:rowOff>0</xdr:rowOff>
    </xdr:from>
    <xdr:ext cx="6300000" cy="252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38</xdr:row>
      <xdr:rowOff>0</xdr:rowOff>
    </xdr:from>
    <xdr:ext cx="7020000" cy="2520000"/>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5</xdr:col>
      <xdr:colOff>0</xdr:colOff>
      <xdr:row>38</xdr:row>
      <xdr:rowOff>0</xdr:rowOff>
    </xdr:from>
    <xdr:ext cx="6300000" cy="2520000"/>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03864"/>
    <pageSetUpPr fitToPage="1"/>
  </sheetPr>
  <dimension ref="B2:D40"/>
  <sheetViews>
    <sheetView showGridLines="0" tabSelected="1" workbookViewId="0"/>
  </sheetViews>
  <sheetFormatPr defaultRowHeight="14.5" x14ac:dyDescent="0.35"/>
  <cols>
    <col min="1" max="1" width="2" customWidth="1"/>
    <col min="2" max="2" width="46" customWidth="1"/>
    <col min="3" max="3" width="26" customWidth="1"/>
    <col min="4" max="4" width="70" customWidth="1"/>
  </cols>
  <sheetData>
    <row r="2" spans="2:2" ht="25" x14ac:dyDescent="0.5">
      <c r="B2" s="1" t="s">
        <v>0</v>
      </c>
    </row>
    <row r="3" spans="2:2" x14ac:dyDescent="0.35">
      <c r="B3" s="2" t="s">
        <v>1</v>
      </c>
    </row>
    <row r="4" spans="2:2" x14ac:dyDescent="0.35">
      <c r="B4" s="3" t="s">
        <v>2</v>
      </c>
    </row>
    <row r="5" spans="2:2" x14ac:dyDescent="0.35">
      <c r="B5" s="4" t="s">
        <v>3</v>
      </c>
    </row>
    <row r="6" spans="2:2" x14ac:dyDescent="0.35">
      <c r="B6" s="4" t="s">
        <v>4</v>
      </c>
    </row>
    <row r="7" spans="2:2" x14ac:dyDescent="0.35">
      <c r="B7" s="4" t="s">
        <v>5</v>
      </c>
    </row>
    <row r="9" spans="2:2" x14ac:dyDescent="0.35">
      <c r="B9" s="2" t="s">
        <v>6</v>
      </c>
    </row>
    <row r="10" spans="2:2" x14ac:dyDescent="0.35">
      <c r="B10" s="3" t="s">
        <v>7</v>
      </c>
    </row>
    <row r="11" spans="2:2" x14ac:dyDescent="0.35">
      <c r="B11" s="3" t="s">
        <v>8</v>
      </c>
    </row>
    <row r="12" spans="2:2" x14ac:dyDescent="0.35">
      <c r="B12" s="3" t="s">
        <v>9</v>
      </c>
    </row>
    <row r="13" spans="2:2" x14ac:dyDescent="0.35">
      <c r="B13" s="3" t="s">
        <v>10</v>
      </c>
    </row>
    <row r="14" spans="2:2" x14ac:dyDescent="0.35">
      <c r="B14" s="3" t="s">
        <v>11</v>
      </c>
    </row>
    <row r="16" spans="2:2" x14ac:dyDescent="0.35">
      <c r="B16" s="2" t="str">
        <f>"Key results — scenario shown: "&amp;INDEX(Inputs!$D$8:$F$8,1,ScenarioNo)</f>
        <v>Key results — scenario shown: Base</v>
      </c>
    </row>
    <row r="17" spans="2:4" x14ac:dyDescent="0.35">
      <c r="B17" s="3" t="s">
        <v>12</v>
      </c>
      <c r="C17" s="5">
        <f>Annual!H10</f>
        <v>5732596.2055294197</v>
      </c>
    </row>
    <row r="18" spans="2:4" x14ac:dyDescent="0.35">
      <c r="B18" s="3" t="s">
        <v>13</v>
      </c>
      <c r="C18" s="5">
        <f>Annual!H18</f>
        <v>-1002212.0437933416</v>
      </c>
    </row>
    <row r="19" spans="2:4" x14ac:dyDescent="0.35">
      <c r="B19" s="3" t="s">
        <v>14</v>
      </c>
      <c r="C19" s="5">
        <f>Annual!H30</f>
        <v>5968422.0594740147</v>
      </c>
    </row>
    <row r="20" spans="2:4" x14ac:dyDescent="0.35">
      <c r="B20" s="3" t="s">
        <v>15</v>
      </c>
      <c r="C20" s="5">
        <f>CHOOSE(ScenarioNo,Calc_Base!D64,Calc_Upside!D64,Calc_Downside!D64)</f>
        <v>423589.53254519962</v>
      </c>
    </row>
    <row r="21" spans="2:4" x14ac:dyDescent="0.35">
      <c r="B21" s="3" t="s">
        <v>16</v>
      </c>
      <c r="C21" s="6" t="str">
        <f>CHOOSE(ScenarioNo,Calc_Base!D66,Calc_Upside!D66,Calc_Downside!D66)</f>
        <v>Jul 2027 (month 7)</v>
      </c>
    </row>
    <row r="22" spans="2:4" x14ac:dyDescent="0.35">
      <c r="B22" s="3" t="s">
        <v>17</v>
      </c>
      <c r="C22" s="6" t="str">
        <f>CHOOSE(ScenarioNo,Calc_Base!D61,Calc_Upside!D61,Calc_Downside!D61)</f>
        <v>not reached</v>
      </c>
    </row>
    <row r="23" spans="2:4" x14ac:dyDescent="0.35">
      <c r="B23" s="3" t="s">
        <v>18</v>
      </c>
      <c r="C23" s="5">
        <f>Rounds_Exit!D21</f>
        <v>34337864.306650318</v>
      </c>
      <c r="D23" s="3" t="s">
        <v>19</v>
      </c>
    </row>
    <row r="25" spans="2:4" ht="15.5" x14ac:dyDescent="0.35">
      <c r="B25" s="2" t="s">
        <v>20</v>
      </c>
      <c r="C25" s="7" t="str">
        <f>Checks!F4</f>
        <v>OK</v>
      </c>
      <c r="D25" s="8" t="str">
        <f>IF(Checks!F4="OK","All checks OK","Some checks need attention — see the Checks sheet")</f>
        <v>All checks OK</v>
      </c>
    </row>
    <row r="27" spans="2:4" x14ac:dyDescent="0.35">
      <c r="B27" s="2" t="s">
        <v>21</v>
      </c>
    </row>
    <row r="28" spans="2:4" x14ac:dyDescent="0.35">
      <c r="B28" s="4" t="s">
        <v>22</v>
      </c>
      <c r="C28" s="3" t="s">
        <v>23</v>
      </c>
    </row>
    <row r="29" spans="2:4" x14ac:dyDescent="0.35">
      <c r="B29" s="4" t="s">
        <v>24</v>
      </c>
      <c r="C29" s="3" t="s">
        <v>25</v>
      </c>
    </row>
    <row r="30" spans="2:4" x14ac:dyDescent="0.35">
      <c r="B30" s="4" t="s">
        <v>26</v>
      </c>
      <c r="C30" s="3" t="s">
        <v>27</v>
      </c>
    </row>
    <row r="31" spans="2:4" x14ac:dyDescent="0.35">
      <c r="B31" s="4" t="s">
        <v>28</v>
      </c>
      <c r="C31" s="3" t="s">
        <v>29</v>
      </c>
    </row>
    <row r="32" spans="2:4" x14ac:dyDescent="0.35">
      <c r="B32" s="4" t="s">
        <v>30</v>
      </c>
      <c r="C32" s="3" t="s">
        <v>31</v>
      </c>
    </row>
    <row r="33" spans="2:4" x14ac:dyDescent="0.35">
      <c r="B33" s="4" t="s">
        <v>32</v>
      </c>
      <c r="C33" s="3" t="s">
        <v>33</v>
      </c>
    </row>
    <row r="34" spans="2:4" x14ac:dyDescent="0.35">
      <c r="B34" s="4" t="s">
        <v>34</v>
      </c>
      <c r="C34" s="3" t="s">
        <v>35</v>
      </c>
    </row>
    <row r="35" spans="2:4" x14ac:dyDescent="0.35">
      <c r="B35" s="4" t="s">
        <v>36</v>
      </c>
      <c r="C35" s="3" t="s">
        <v>37</v>
      </c>
    </row>
    <row r="36" spans="2:4" x14ac:dyDescent="0.35">
      <c r="B36" s="4" t="s">
        <v>20</v>
      </c>
      <c r="C36" s="3" t="s">
        <v>38</v>
      </c>
    </row>
    <row r="37" spans="2:4" x14ac:dyDescent="0.35">
      <c r="B37" s="4" t="s">
        <v>39</v>
      </c>
      <c r="C37" s="3" t="s">
        <v>40</v>
      </c>
    </row>
    <row r="39" spans="2:4" x14ac:dyDescent="0.35">
      <c r="B39" s="9" t="s">
        <v>41</v>
      </c>
    </row>
    <row r="40" spans="2:4" ht="30" customHeight="1" x14ac:dyDescent="0.35">
      <c r="B40" s="78" t="s">
        <v>42</v>
      </c>
      <c r="C40" s="79"/>
      <c r="D40" s="79"/>
    </row>
  </sheetData>
  <mergeCells count="1">
    <mergeCell ref="B40:D40"/>
  </mergeCells>
  <conditionalFormatting sqref="C25">
    <cfRule type="cellIs" dxfId="11" priority="1" operator="equal">
      <formula>"OK"</formula>
    </cfRule>
    <cfRule type="cellIs" dxfId="10" priority="2" operator="equal">
      <formula>"CHECK"</formula>
    </cfRule>
  </conditionalFormatting>
  <pageMargins left="0.4" right="0.4" top="0.5" bottom="0.5" header="0.5" footer="0.5"/>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03864"/>
    <pageSetUpPr fitToPage="1"/>
  </sheetPr>
  <dimension ref="B2:B66"/>
  <sheetViews>
    <sheetView showGridLines="0" workbookViewId="0"/>
  </sheetViews>
  <sheetFormatPr defaultRowHeight="14.5" x14ac:dyDescent="0.35"/>
  <cols>
    <col min="1" max="1" width="2" customWidth="1"/>
    <col min="2" max="2" width="150" customWidth="1"/>
  </cols>
  <sheetData>
    <row r="2" spans="2:2" ht="20" x14ac:dyDescent="0.4">
      <c r="B2" s="11" t="s">
        <v>43</v>
      </c>
    </row>
    <row r="4" spans="2:2" x14ac:dyDescent="0.35">
      <c r="B4" s="4" t="s">
        <v>3</v>
      </c>
    </row>
    <row r="5" spans="2:2" x14ac:dyDescent="0.35">
      <c r="B5" s="4" t="s">
        <v>4</v>
      </c>
    </row>
    <row r="6" spans="2:2" x14ac:dyDescent="0.35">
      <c r="B6" s="4" t="s">
        <v>5</v>
      </c>
    </row>
    <row r="7" spans="2:2" ht="25" x14ac:dyDescent="0.35">
      <c r="B7" s="10" t="s">
        <v>42</v>
      </c>
    </row>
    <row r="9" spans="2:2" x14ac:dyDescent="0.35">
      <c r="B9" s="2" t="s">
        <v>44</v>
      </c>
    </row>
    <row r="10" spans="2:2" ht="25" x14ac:dyDescent="0.35">
      <c r="B10" s="10" t="s">
        <v>45</v>
      </c>
    </row>
    <row r="11" spans="2:2" ht="25" x14ac:dyDescent="0.35">
      <c r="B11" s="10" t="s">
        <v>46</v>
      </c>
    </row>
    <row r="13" spans="2:2" x14ac:dyDescent="0.35">
      <c r="B13" s="2" t="s">
        <v>47</v>
      </c>
    </row>
    <row r="14" spans="2:2" ht="25" x14ac:dyDescent="0.35">
      <c r="B14" s="10" t="s">
        <v>48</v>
      </c>
    </row>
    <row r="15" spans="2:2" x14ac:dyDescent="0.35">
      <c r="B15" s="10" t="s">
        <v>49</v>
      </c>
    </row>
    <row r="16" spans="2:2" ht="25" x14ac:dyDescent="0.35">
      <c r="B16" s="10" t="s">
        <v>50</v>
      </c>
    </row>
    <row r="17" spans="2:2" ht="25" x14ac:dyDescent="0.35">
      <c r="B17" s="10" t="s">
        <v>51</v>
      </c>
    </row>
    <row r="18" spans="2:2" x14ac:dyDescent="0.35">
      <c r="B18" s="10" t="s">
        <v>52</v>
      </c>
    </row>
    <row r="19" spans="2:2" x14ac:dyDescent="0.35">
      <c r="B19" s="10" t="s">
        <v>53</v>
      </c>
    </row>
    <row r="20" spans="2:2" x14ac:dyDescent="0.35">
      <c r="B20" s="10" t="s">
        <v>54</v>
      </c>
    </row>
    <row r="22" spans="2:2" x14ac:dyDescent="0.35">
      <c r="B22" s="2" t="s">
        <v>55</v>
      </c>
    </row>
    <row r="23" spans="2:2" ht="25" x14ac:dyDescent="0.35">
      <c r="B23" s="10" t="s">
        <v>56</v>
      </c>
    </row>
    <row r="24" spans="2:2" ht="25" x14ac:dyDescent="0.35">
      <c r="B24" s="10" t="s">
        <v>57</v>
      </c>
    </row>
    <row r="25" spans="2:2" ht="25" x14ac:dyDescent="0.35">
      <c r="B25" s="10" t="s">
        <v>58</v>
      </c>
    </row>
    <row r="26" spans="2:2" ht="25" x14ac:dyDescent="0.35">
      <c r="B26" s="10" t="s">
        <v>59</v>
      </c>
    </row>
    <row r="27" spans="2:2" ht="25" x14ac:dyDescent="0.35">
      <c r="B27" s="10" t="s">
        <v>60</v>
      </c>
    </row>
    <row r="29" spans="2:2" x14ac:dyDescent="0.35">
      <c r="B29" s="2" t="s">
        <v>61</v>
      </c>
    </row>
    <row r="30" spans="2:2" ht="25" x14ac:dyDescent="0.35">
      <c r="B30" s="10" t="s">
        <v>62</v>
      </c>
    </row>
    <row r="31" spans="2:2" ht="25" x14ac:dyDescent="0.35">
      <c r="B31" s="10" t="s">
        <v>63</v>
      </c>
    </row>
    <row r="32" spans="2:2" x14ac:dyDescent="0.35">
      <c r="B32" s="10" t="s">
        <v>64</v>
      </c>
    </row>
    <row r="33" spans="2:2" x14ac:dyDescent="0.35">
      <c r="B33" s="10" t="s">
        <v>65</v>
      </c>
    </row>
    <row r="34" spans="2:2" x14ac:dyDescent="0.35">
      <c r="B34" s="10" t="s">
        <v>66</v>
      </c>
    </row>
    <row r="35" spans="2:2" x14ac:dyDescent="0.35">
      <c r="B35" s="10" t="s">
        <v>67</v>
      </c>
    </row>
    <row r="36" spans="2:2" x14ac:dyDescent="0.35">
      <c r="B36" s="10" t="s">
        <v>68</v>
      </c>
    </row>
    <row r="37" spans="2:2" x14ac:dyDescent="0.35">
      <c r="B37" s="10" t="s">
        <v>69</v>
      </c>
    </row>
    <row r="39" spans="2:2" x14ac:dyDescent="0.35">
      <c r="B39" s="2" t="s">
        <v>70</v>
      </c>
    </row>
    <row r="40" spans="2:2" x14ac:dyDescent="0.35">
      <c r="B40" s="10" t="s">
        <v>71</v>
      </c>
    </row>
    <row r="41" spans="2:2" x14ac:dyDescent="0.35">
      <c r="B41" s="10" t="s">
        <v>72</v>
      </c>
    </row>
    <row r="42" spans="2:2" x14ac:dyDescent="0.35">
      <c r="B42" s="10" t="s">
        <v>73</v>
      </c>
    </row>
    <row r="44" spans="2:2" x14ac:dyDescent="0.35">
      <c r="B44" s="2" t="s">
        <v>74</v>
      </c>
    </row>
    <row r="45" spans="2:2" x14ac:dyDescent="0.35">
      <c r="B45" s="10" t="s">
        <v>75</v>
      </c>
    </row>
    <row r="46" spans="2:2" x14ac:dyDescent="0.35">
      <c r="B46" s="10" t="s">
        <v>76</v>
      </c>
    </row>
    <row r="47" spans="2:2" x14ac:dyDescent="0.35">
      <c r="B47" s="10" t="s">
        <v>77</v>
      </c>
    </row>
    <row r="48" spans="2:2" x14ac:dyDescent="0.35">
      <c r="B48" s="10" t="s">
        <v>78</v>
      </c>
    </row>
    <row r="49" spans="2:2" x14ac:dyDescent="0.35">
      <c r="B49" s="10" t="s">
        <v>79</v>
      </c>
    </row>
    <row r="50" spans="2:2" x14ac:dyDescent="0.35">
      <c r="B50" s="10" t="s">
        <v>80</v>
      </c>
    </row>
    <row r="51" spans="2:2" x14ac:dyDescent="0.35">
      <c r="B51" s="10" t="s">
        <v>81</v>
      </c>
    </row>
    <row r="53" spans="2:2" x14ac:dyDescent="0.35">
      <c r="B53" s="2" t="s">
        <v>82</v>
      </c>
    </row>
    <row r="54" spans="2:2" x14ac:dyDescent="0.35">
      <c r="B54" s="10" t="s">
        <v>83</v>
      </c>
    </row>
    <row r="55" spans="2:2" x14ac:dyDescent="0.35">
      <c r="B55" s="10" t="s">
        <v>84</v>
      </c>
    </row>
    <row r="56" spans="2:2" x14ac:dyDescent="0.35">
      <c r="B56" s="10" t="s">
        <v>85</v>
      </c>
    </row>
    <row r="57" spans="2:2" x14ac:dyDescent="0.35">
      <c r="B57" s="10" t="s">
        <v>86</v>
      </c>
    </row>
    <row r="58" spans="2:2" x14ac:dyDescent="0.35">
      <c r="B58" s="10" t="s">
        <v>87</v>
      </c>
    </row>
    <row r="59" spans="2:2" x14ac:dyDescent="0.35">
      <c r="B59" s="10" t="s">
        <v>88</v>
      </c>
    </row>
    <row r="60" spans="2:2" x14ac:dyDescent="0.35">
      <c r="B60" s="10" t="s">
        <v>89</v>
      </c>
    </row>
    <row r="61" spans="2:2" x14ac:dyDescent="0.35">
      <c r="B61" s="10" t="s">
        <v>90</v>
      </c>
    </row>
    <row r="62" spans="2:2" x14ac:dyDescent="0.35">
      <c r="B62" s="10" t="s">
        <v>91</v>
      </c>
    </row>
    <row r="63" spans="2:2" x14ac:dyDescent="0.35">
      <c r="B63" s="10" t="s">
        <v>92</v>
      </c>
    </row>
    <row r="65" spans="2:2" x14ac:dyDescent="0.35">
      <c r="B65" s="2" t="s">
        <v>93</v>
      </c>
    </row>
    <row r="66" spans="2:2" x14ac:dyDescent="0.35">
      <c r="B66" s="10" t="s">
        <v>94</v>
      </c>
    </row>
  </sheetData>
  <pageMargins left="0.4" right="0.4" top="0.5" bottom="0.5" header="0.5" footer="0.5"/>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1:J87"/>
  <sheetViews>
    <sheetView showGridLines="0" workbookViewId="0">
      <pane xSplit="3" ySplit="8" topLeftCell="D9" activePane="bottomRight" state="frozen"/>
      <selection pane="topRight"/>
      <selection pane="bottomLeft"/>
      <selection pane="bottomRight"/>
    </sheetView>
  </sheetViews>
  <sheetFormatPr defaultRowHeight="14.5" x14ac:dyDescent="0.35"/>
  <cols>
    <col min="1" max="1" width="2" customWidth="1"/>
    <col min="2" max="2" width="70" customWidth="1"/>
    <col min="3" max="3" width="10" customWidth="1"/>
    <col min="4" max="6" width="16" customWidth="1"/>
    <col min="7" max="7" width="12" customWidth="1"/>
    <col min="8" max="8" width="14" customWidth="1"/>
    <col min="9" max="9" width="9" customWidth="1"/>
    <col min="10" max="10" width="92" customWidth="1"/>
  </cols>
  <sheetData>
    <row r="1" spans="2:10" ht="20" x14ac:dyDescent="0.4">
      <c r="B1" s="11" t="s">
        <v>24</v>
      </c>
    </row>
    <row r="2" spans="2:10" x14ac:dyDescent="0.35">
      <c r="B2" s="9" t="s">
        <v>95</v>
      </c>
    </row>
    <row r="3" spans="2:10" x14ac:dyDescent="0.35">
      <c r="B3" s="9" t="s">
        <v>96</v>
      </c>
    </row>
    <row r="5" spans="2:10" x14ac:dyDescent="0.35">
      <c r="B5" s="4" t="s">
        <v>97</v>
      </c>
      <c r="D5" s="12" t="s">
        <v>98</v>
      </c>
      <c r="E5" s="9" t="s">
        <v>99</v>
      </c>
    </row>
    <row r="6" spans="2:10" x14ac:dyDescent="0.35">
      <c r="B6" s="3" t="s">
        <v>100</v>
      </c>
      <c r="D6" s="13">
        <f>IF(ISERROR(MATCH(D5,$D$8:$F$8,0)),1,MATCH(D5,$D$8:$F$8,0))</f>
        <v>1</v>
      </c>
    </row>
    <row r="8" spans="2:10" x14ac:dyDescent="0.35">
      <c r="B8" s="14" t="s">
        <v>101</v>
      </c>
      <c r="C8" s="15" t="s">
        <v>102</v>
      </c>
      <c r="D8" s="15" t="s">
        <v>98</v>
      </c>
      <c r="E8" s="15" t="s">
        <v>103</v>
      </c>
      <c r="F8" s="15" t="s">
        <v>104</v>
      </c>
      <c r="G8" s="15" t="s">
        <v>105</v>
      </c>
      <c r="H8" s="15" t="s">
        <v>106</v>
      </c>
      <c r="I8" s="15" t="s">
        <v>107</v>
      </c>
      <c r="J8" s="15" t="s">
        <v>108</v>
      </c>
    </row>
    <row r="9" spans="2:10" x14ac:dyDescent="0.35">
      <c r="B9" s="16" t="s">
        <v>109</v>
      </c>
      <c r="C9" s="17"/>
      <c r="D9" s="17"/>
      <c r="E9" s="17"/>
      <c r="F9" s="17"/>
      <c r="G9" s="17"/>
      <c r="H9" s="17"/>
      <c r="I9" s="17"/>
      <c r="J9" s="17"/>
    </row>
    <row r="10" spans="2:10" x14ac:dyDescent="0.35">
      <c r="B10" s="3" t="s">
        <v>110</v>
      </c>
      <c r="C10" s="18" t="s">
        <v>111</v>
      </c>
      <c r="D10" s="19">
        <v>5880.89</v>
      </c>
      <c r="E10" s="19">
        <v>12895.53</v>
      </c>
      <c r="F10" s="19">
        <v>1807.79</v>
      </c>
      <c r="G10" s="20">
        <v>0</v>
      </c>
      <c r="H10" s="21" t="s">
        <v>112</v>
      </c>
      <c r="I10" s="18" t="str">
        <f>IF(ISERROR(SUMPRODUCT(--NOT(ISNUMBER(D10:F10)))+SUMPRODUCT(--(D10:F10&lt;G10))),"CHECK",IF(SUMPRODUCT(--NOT(ISNUMBER(D10:F10)))+SUMPRODUCT(--(D10:F10&lt;G10))=0,"OK","CHECK"))</f>
        <v>OK</v>
      </c>
      <c r="J10" s="9" t="s">
        <v>113</v>
      </c>
    </row>
    <row r="11" spans="2:10" x14ac:dyDescent="0.35">
      <c r="B11" s="3" t="s">
        <v>114</v>
      </c>
      <c r="C11" s="18" t="s">
        <v>111</v>
      </c>
      <c r="D11" s="19">
        <v>148157.51999999999</v>
      </c>
      <c r="E11" s="19">
        <v>352143.47</v>
      </c>
      <c r="F11" s="19">
        <v>41455.53</v>
      </c>
      <c r="G11" s="20">
        <v>0</v>
      </c>
      <c r="H11" s="21" t="s">
        <v>112</v>
      </c>
      <c r="I11" s="18" t="str">
        <f>IF(ISERROR(SUMPRODUCT(--NOT(ISNUMBER(D11:F11)))+SUMPRODUCT(--(D11:F11&lt;G11))),"CHECK",IF(SUMPRODUCT(--NOT(ISNUMBER(D11:F11)))+SUMPRODUCT(--(D11:F11&lt;G11))=0,"OK","CHECK"))</f>
        <v>OK</v>
      </c>
      <c r="J11" s="9" t="s">
        <v>115</v>
      </c>
    </row>
    <row r="12" spans="2:10" x14ac:dyDescent="0.35">
      <c r="B12" s="3" t="s">
        <v>116</v>
      </c>
      <c r="C12" s="18" t="s">
        <v>117</v>
      </c>
      <c r="D12" s="22">
        <v>1.7723199999999999</v>
      </c>
      <c r="E12" s="22">
        <v>1.921591</v>
      </c>
      <c r="F12" s="22">
        <v>1.7080880000000001</v>
      </c>
      <c r="G12" s="23">
        <v>-0.9</v>
      </c>
      <c r="H12" s="23">
        <v>5</v>
      </c>
      <c r="I12" s="18" t="str">
        <f>IF(ISERROR(SUMPRODUCT(--NOT(ISNUMBER(D12:F12)))+SUMPRODUCT(--(D12:F12&lt;G12))+SUMPRODUCT(--(D12:F12&gt;H12))),"CHECK",IF(SUMPRODUCT(--NOT(ISNUMBER(D12:F12)))+SUMPRODUCT(--(D12:F12&lt;G12))+SUMPRODUCT(--(D12:F12&gt;H12))=0,"OK","CHECK"))</f>
        <v>OK</v>
      </c>
      <c r="J12" s="9" t="s">
        <v>118</v>
      </c>
    </row>
    <row r="13" spans="2:10" x14ac:dyDescent="0.35">
      <c r="B13" s="3" t="s">
        <v>119</v>
      </c>
      <c r="C13" s="18" t="s">
        <v>117</v>
      </c>
      <c r="D13" s="22">
        <v>0.48578199999999999</v>
      </c>
      <c r="E13" s="22">
        <v>0.59592699999999998</v>
      </c>
      <c r="F13" s="22">
        <v>0.393264</v>
      </c>
      <c r="G13" s="23">
        <v>-0.9</v>
      </c>
      <c r="H13" s="23">
        <v>5</v>
      </c>
      <c r="I13" s="18" t="str">
        <f>IF(ISERROR(SUMPRODUCT(--NOT(ISNUMBER(D13:F13)))+SUMPRODUCT(--(D13:F13&lt;G13))+SUMPRODUCT(--(D13:F13&gt;H13))),"CHECK",IF(SUMPRODUCT(--NOT(ISNUMBER(D13:F13)))+SUMPRODUCT(--(D13:F13&lt;G13))+SUMPRODUCT(--(D13:F13&gt;H13))=0,"OK","CHECK"))</f>
        <v>OK</v>
      </c>
      <c r="J13" s="9" t="s">
        <v>118</v>
      </c>
    </row>
    <row r="14" spans="2:10" x14ac:dyDescent="0.35">
      <c r="B14" s="3" t="s">
        <v>120</v>
      </c>
      <c r="C14" s="18" t="s">
        <v>117</v>
      </c>
      <c r="D14" s="22">
        <v>0.50812400000000002</v>
      </c>
      <c r="E14" s="22">
        <v>0.59304999999999997</v>
      </c>
      <c r="F14" s="22">
        <v>0.44670900000000002</v>
      </c>
      <c r="G14" s="23">
        <v>-0.9</v>
      </c>
      <c r="H14" s="23">
        <v>5</v>
      </c>
      <c r="I14" s="18" t="str">
        <f>IF(ISERROR(SUMPRODUCT(--NOT(ISNUMBER(D14:F14)))+SUMPRODUCT(--(D14:F14&lt;G14))+SUMPRODUCT(--(D14:F14&gt;H14))),"CHECK",IF(SUMPRODUCT(--NOT(ISNUMBER(D14:F14)))+SUMPRODUCT(--(D14:F14&lt;G14))+SUMPRODUCT(--(D14:F14&gt;H14))=0,"OK","CHECK"))</f>
        <v>OK</v>
      </c>
      <c r="J14" s="9" t="s">
        <v>118</v>
      </c>
    </row>
    <row r="15" spans="2:10" x14ac:dyDescent="0.35">
      <c r="B15" s="3" t="s">
        <v>121</v>
      </c>
      <c r="C15" s="18" t="s">
        <v>111</v>
      </c>
      <c r="D15" s="19">
        <v>0</v>
      </c>
      <c r="E15" s="19">
        <v>0</v>
      </c>
      <c r="F15" s="19">
        <v>0</v>
      </c>
      <c r="G15" s="20">
        <v>0</v>
      </c>
      <c r="H15" s="21" t="s">
        <v>112</v>
      </c>
      <c r="I15" s="18" t="str">
        <f>IF(ISERROR(SUMPRODUCT(--NOT(ISNUMBER(D15:F15)))+SUMPRODUCT(--(D15:F15&lt;G15))),"CHECK",IF(SUMPRODUCT(--NOT(ISNUMBER(D15:F15)))+SUMPRODUCT(--(D15:F15&lt;G15))=0,"OK","CHECK"))</f>
        <v>OK</v>
      </c>
      <c r="J15" s="9" t="s">
        <v>122</v>
      </c>
    </row>
    <row r="16" spans="2:10" x14ac:dyDescent="0.35">
      <c r="B16" s="16" t="s">
        <v>123</v>
      </c>
      <c r="C16" s="17"/>
      <c r="D16" s="17"/>
      <c r="E16" s="17"/>
      <c r="F16" s="17"/>
      <c r="G16" s="17"/>
      <c r="H16" s="17"/>
      <c r="I16" s="17"/>
      <c r="J16" s="17"/>
    </row>
    <row r="17" spans="2:10" x14ac:dyDescent="0.35">
      <c r="B17" s="3" t="s">
        <v>124</v>
      </c>
      <c r="C17" s="18" t="s">
        <v>111</v>
      </c>
      <c r="D17" s="19">
        <v>0</v>
      </c>
      <c r="E17" s="19">
        <v>0</v>
      </c>
      <c r="F17" s="19">
        <v>0</v>
      </c>
      <c r="G17" s="20">
        <v>0</v>
      </c>
      <c r="H17" s="21" t="s">
        <v>112</v>
      </c>
      <c r="I17" s="18" t="str">
        <f>IF(ISERROR(SUMPRODUCT(--NOT(ISNUMBER(D17:F17)))+SUMPRODUCT(--(D17:F17&lt;G17))),"CHECK",IF(SUMPRODUCT(--NOT(ISNUMBER(D17:F17)))+SUMPRODUCT(--(D17:F17&lt;G17))=0,"OK","CHECK"))</f>
        <v>OK</v>
      </c>
      <c r="J17" s="9" t="s">
        <v>113</v>
      </c>
    </row>
    <row r="18" spans="2:10" x14ac:dyDescent="0.35">
      <c r="B18" s="3" t="s">
        <v>125</v>
      </c>
      <c r="C18" s="18" t="s">
        <v>111</v>
      </c>
      <c r="D18" s="19">
        <v>174979.34</v>
      </c>
      <c r="E18" s="19">
        <v>483650.14</v>
      </c>
      <c r="F18" s="19">
        <v>20634.97</v>
      </c>
      <c r="G18" s="20">
        <v>0</v>
      </c>
      <c r="H18" s="21" t="s">
        <v>112</v>
      </c>
      <c r="I18" s="18" t="str">
        <f>IF(ISERROR(SUMPRODUCT(--NOT(ISNUMBER(D18:F18)))+SUMPRODUCT(--(D18:F18&lt;G18))),"CHECK",IF(SUMPRODUCT(--NOT(ISNUMBER(D18:F18)))+SUMPRODUCT(--(D18:F18&lt;G18))=0,"OK","CHECK"))</f>
        <v>OK</v>
      </c>
      <c r="J18" s="9" t="s">
        <v>115</v>
      </c>
    </row>
    <row r="19" spans="2:10" x14ac:dyDescent="0.35">
      <c r="B19" s="3" t="s">
        <v>126</v>
      </c>
      <c r="C19" s="18" t="s">
        <v>117</v>
      </c>
      <c r="D19" s="22">
        <v>2.461014</v>
      </c>
      <c r="E19" s="22">
        <v>2.57836</v>
      </c>
      <c r="F19" s="22">
        <v>3.278737</v>
      </c>
      <c r="G19" s="23">
        <v>-0.9</v>
      </c>
      <c r="H19" s="23">
        <v>5</v>
      </c>
      <c r="I19" s="18" t="str">
        <f>IF(ISERROR(SUMPRODUCT(--NOT(ISNUMBER(D19:F19)))+SUMPRODUCT(--(D19:F19&lt;G19))+SUMPRODUCT(--(D19:F19&gt;H19))),"CHECK",IF(SUMPRODUCT(--NOT(ISNUMBER(D19:F19)))+SUMPRODUCT(--(D19:F19&lt;G19))+SUMPRODUCT(--(D19:F19&gt;H19))=0,"OK","CHECK"))</f>
        <v>OK</v>
      </c>
      <c r="J19" s="9" t="s">
        <v>118</v>
      </c>
    </row>
    <row r="20" spans="2:10" x14ac:dyDescent="0.35">
      <c r="B20" s="3" t="s">
        <v>127</v>
      </c>
      <c r="C20" s="18" t="s">
        <v>117</v>
      </c>
      <c r="D20" s="22">
        <v>0.83263200000000004</v>
      </c>
      <c r="E20" s="22">
        <v>0.90712999999999999</v>
      </c>
      <c r="F20" s="22">
        <v>0.62533399999999995</v>
      </c>
      <c r="G20" s="23">
        <v>-0.9</v>
      </c>
      <c r="H20" s="23">
        <v>5</v>
      </c>
      <c r="I20" s="18" t="str">
        <f>IF(ISERROR(SUMPRODUCT(--NOT(ISNUMBER(D20:F20)))+SUMPRODUCT(--(D20:F20&lt;G20))+SUMPRODUCT(--(D20:F20&gt;H20))),"CHECK",IF(SUMPRODUCT(--NOT(ISNUMBER(D20:F20)))+SUMPRODUCT(--(D20:F20&lt;G20))+SUMPRODUCT(--(D20:F20&gt;H20))=0,"OK","CHECK"))</f>
        <v>OK</v>
      </c>
      <c r="J20" s="9" t="s">
        <v>118</v>
      </c>
    </row>
    <row r="21" spans="2:10" x14ac:dyDescent="0.35">
      <c r="B21" s="3" t="s">
        <v>128</v>
      </c>
      <c r="C21" s="18" t="s">
        <v>117</v>
      </c>
      <c r="D21" s="22">
        <v>0.701874</v>
      </c>
      <c r="E21" s="22">
        <v>0.76466599999999996</v>
      </c>
      <c r="F21" s="22">
        <v>0.74281299999999995</v>
      </c>
      <c r="G21" s="23">
        <v>-0.9</v>
      </c>
      <c r="H21" s="23">
        <v>5</v>
      </c>
      <c r="I21" s="18" t="str">
        <f>IF(ISERROR(SUMPRODUCT(--NOT(ISNUMBER(D21:F21)))+SUMPRODUCT(--(D21:F21&lt;G21))+SUMPRODUCT(--(D21:F21&gt;H21))),"CHECK",IF(SUMPRODUCT(--NOT(ISNUMBER(D21:F21)))+SUMPRODUCT(--(D21:F21&lt;G21))+SUMPRODUCT(--(D21:F21&gt;H21))=0,"OK","CHECK"))</f>
        <v>OK</v>
      </c>
      <c r="J21" s="9" t="s">
        <v>118</v>
      </c>
    </row>
    <row r="22" spans="2:10" x14ac:dyDescent="0.35">
      <c r="B22" s="3" t="s">
        <v>129</v>
      </c>
      <c r="C22" s="18" t="s">
        <v>111</v>
      </c>
      <c r="D22" s="19">
        <v>0</v>
      </c>
      <c r="E22" s="19">
        <v>0</v>
      </c>
      <c r="F22" s="19">
        <v>0</v>
      </c>
      <c r="G22" s="20">
        <v>0</v>
      </c>
      <c r="H22" s="21" t="s">
        <v>112</v>
      </c>
      <c r="I22" s="18" t="str">
        <f>IF(ISERROR(SUMPRODUCT(--NOT(ISNUMBER(D22:F22)))+SUMPRODUCT(--(D22:F22&lt;G22))),"CHECK",IF(SUMPRODUCT(--NOT(ISNUMBER(D22:F22)))+SUMPRODUCT(--(D22:F22&lt;G22))=0,"OK","CHECK"))</f>
        <v>OK</v>
      </c>
      <c r="J22" s="9" t="s">
        <v>122</v>
      </c>
    </row>
    <row r="23" spans="2:10" x14ac:dyDescent="0.35">
      <c r="B23" s="16" t="s">
        <v>130</v>
      </c>
      <c r="C23" s="17"/>
      <c r="D23" s="17"/>
      <c r="E23" s="17"/>
      <c r="F23" s="17"/>
      <c r="G23" s="17"/>
      <c r="H23" s="17"/>
      <c r="I23" s="17"/>
      <c r="J23" s="17"/>
    </row>
    <row r="24" spans="2:10" x14ac:dyDescent="0.35">
      <c r="B24" s="3" t="s">
        <v>131</v>
      </c>
      <c r="C24" s="18" t="s">
        <v>111</v>
      </c>
      <c r="D24" s="19">
        <v>0</v>
      </c>
      <c r="E24" s="19">
        <v>0</v>
      </c>
      <c r="F24" s="19">
        <v>0</v>
      </c>
      <c r="G24" s="20">
        <v>0</v>
      </c>
      <c r="H24" s="21" t="s">
        <v>112</v>
      </c>
      <c r="I24" s="18" t="str">
        <f>IF(ISERROR(SUMPRODUCT(--NOT(ISNUMBER(D24:F24)))+SUMPRODUCT(--(D24:F24&lt;G24))),"CHECK",IF(SUMPRODUCT(--NOT(ISNUMBER(D24:F24)))+SUMPRODUCT(--(D24:F24&lt;G24))=0,"OK","CHECK"))</f>
        <v>OK</v>
      </c>
      <c r="J24" s="9" t="s">
        <v>113</v>
      </c>
    </row>
    <row r="25" spans="2:10" x14ac:dyDescent="0.35">
      <c r="B25" s="3" t="s">
        <v>132</v>
      </c>
      <c r="C25" s="18" t="s">
        <v>111</v>
      </c>
      <c r="D25" s="19">
        <v>0</v>
      </c>
      <c r="E25" s="19">
        <v>0</v>
      </c>
      <c r="F25" s="19">
        <v>0</v>
      </c>
      <c r="G25" s="20">
        <v>0</v>
      </c>
      <c r="H25" s="21" t="s">
        <v>112</v>
      </c>
      <c r="I25" s="18" t="str">
        <f>IF(ISERROR(SUMPRODUCT(--NOT(ISNUMBER(D25:F25)))+SUMPRODUCT(--(D25:F25&lt;G25))),"CHECK",IF(SUMPRODUCT(--NOT(ISNUMBER(D25:F25)))+SUMPRODUCT(--(D25:F25&lt;G25))=0,"OK","CHECK"))</f>
        <v>OK</v>
      </c>
      <c r="J25" s="9" t="s">
        <v>115</v>
      </c>
    </row>
    <row r="26" spans="2:10" x14ac:dyDescent="0.35">
      <c r="B26" s="3" t="s">
        <v>133</v>
      </c>
      <c r="C26" s="18" t="s">
        <v>117</v>
      </c>
      <c r="D26" s="22">
        <v>0</v>
      </c>
      <c r="E26" s="22">
        <v>0</v>
      </c>
      <c r="F26" s="22">
        <v>0</v>
      </c>
      <c r="G26" s="23">
        <v>-0.9</v>
      </c>
      <c r="H26" s="23">
        <v>5</v>
      </c>
      <c r="I26" s="18" t="str">
        <f>IF(ISERROR(SUMPRODUCT(--NOT(ISNUMBER(D26:F26)))+SUMPRODUCT(--(D26:F26&lt;G26))+SUMPRODUCT(--(D26:F26&gt;H26))),"CHECK",IF(SUMPRODUCT(--NOT(ISNUMBER(D26:F26)))+SUMPRODUCT(--(D26:F26&lt;G26))+SUMPRODUCT(--(D26:F26&gt;H26))=0,"OK","CHECK"))</f>
        <v>OK</v>
      </c>
      <c r="J26" s="9" t="s">
        <v>134</v>
      </c>
    </row>
    <row r="27" spans="2:10" x14ac:dyDescent="0.35">
      <c r="B27" s="3" t="s">
        <v>135</v>
      </c>
      <c r="C27" s="18" t="s">
        <v>117</v>
      </c>
      <c r="D27" s="22">
        <v>2.2428340000000002</v>
      </c>
      <c r="E27" s="22">
        <v>2.2524060000000001</v>
      </c>
      <c r="F27" s="22">
        <v>2.2230240000000001</v>
      </c>
      <c r="G27" s="23">
        <v>-0.9</v>
      </c>
      <c r="H27" s="23">
        <v>5</v>
      </c>
      <c r="I27" s="18" t="str">
        <f>IF(ISERROR(SUMPRODUCT(--NOT(ISNUMBER(D27:F27)))+SUMPRODUCT(--(D27:F27&lt;G27))+SUMPRODUCT(--(D27:F27&gt;H27))),"CHECK",IF(SUMPRODUCT(--NOT(ISNUMBER(D27:F27)))+SUMPRODUCT(--(D27:F27&lt;G27))+SUMPRODUCT(--(D27:F27&gt;H27))=0,"OK","CHECK"))</f>
        <v>OK</v>
      </c>
      <c r="J27" s="9" t="s">
        <v>118</v>
      </c>
    </row>
    <row r="28" spans="2:10" x14ac:dyDescent="0.35">
      <c r="B28" s="3" t="s">
        <v>136</v>
      </c>
      <c r="C28" s="18" t="s">
        <v>117</v>
      </c>
      <c r="D28" s="22">
        <v>0.57348600000000005</v>
      </c>
      <c r="E28" s="22">
        <v>0.57417700000000005</v>
      </c>
      <c r="F28" s="22">
        <v>0.57202200000000003</v>
      </c>
      <c r="G28" s="23">
        <v>-0.9</v>
      </c>
      <c r="H28" s="23">
        <v>5</v>
      </c>
      <c r="I28" s="18" t="str">
        <f>IF(ISERROR(SUMPRODUCT(--NOT(ISNUMBER(D28:F28)))+SUMPRODUCT(--(D28:F28&lt;G28))+SUMPRODUCT(--(D28:F28&gt;H28))),"CHECK",IF(SUMPRODUCT(--NOT(ISNUMBER(D28:F28)))+SUMPRODUCT(--(D28:F28&lt;G28))+SUMPRODUCT(--(D28:F28&gt;H28))=0,"OK","CHECK"))</f>
        <v>OK</v>
      </c>
      <c r="J28" s="9" t="s">
        <v>118</v>
      </c>
    </row>
    <row r="29" spans="2:10" x14ac:dyDescent="0.35">
      <c r="B29" s="3" t="s">
        <v>137</v>
      </c>
      <c r="C29" s="18" t="s">
        <v>111</v>
      </c>
      <c r="D29" s="19">
        <v>188500</v>
      </c>
      <c r="E29" s="19">
        <v>264875</v>
      </c>
      <c r="F29" s="19">
        <v>76700</v>
      </c>
      <c r="G29" s="20">
        <v>0</v>
      </c>
      <c r="H29" s="21" t="s">
        <v>112</v>
      </c>
      <c r="I29" s="18" t="str">
        <f>IF(ISERROR(SUMPRODUCT(--NOT(ISNUMBER(D29:F29)))+SUMPRODUCT(--(D29:F29&lt;G29))),"CHECK",IF(SUMPRODUCT(--NOT(ISNUMBER(D29:F29)))+SUMPRODUCT(--(D29:F29&lt;G29))=0,"OK","CHECK"))</f>
        <v>OK</v>
      </c>
      <c r="J29" s="9" t="s">
        <v>122</v>
      </c>
    </row>
    <row r="30" spans="2:10" x14ac:dyDescent="0.35">
      <c r="B30" s="16" t="s">
        <v>138</v>
      </c>
      <c r="C30" s="17"/>
      <c r="D30" s="17"/>
      <c r="E30" s="17"/>
      <c r="F30" s="17"/>
      <c r="G30" s="17"/>
      <c r="H30" s="17"/>
      <c r="I30" s="17"/>
      <c r="J30" s="17"/>
    </row>
    <row r="31" spans="2:10" x14ac:dyDescent="0.35">
      <c r="B31" s="14" t="s">
        <v>139</v>
      </c>
      <c r="C31" s="15" t="s">
        <v>140</v>
      </c>
      <c r="D31" s="15" t="s">
        <v>141</v>
      </c>
      <c r="E31" s="15" t="s">
        <v>142</v>
      </c>
      <c r="F31" s="15" t="s">
        <v>143</v>
      </c>
      <c r="G31" s="15" t="s">
        <v>144</v>
      </c>
      <c r="H31" s="15" t="s">
        <v>145</v>
      </c>
      <c r="I31" s="15" t="s">
        <v>107</v>
      </c>
      <c r="J31" s="15" t="s">
        <v>146</v>
      </c>
    </row>
    <row r="32" spans="2:10" x14ac:dyDescent="0.35">
      <c r="B32" s="3" t="s">
        <v>147</v>
      </c>
      <c r="C32" s="18" t="s">
        <v>98</v>
      </c>
      <c r="D32" s="22">
        <v>-2.3287610000000001</v>
      </c>
      <c r="E32" s="22">
        <v>0.72138500000000005</v>
      </c>
      <c r="F32" s="22">
        <v>0.81872400000000001</v>
      </c>
      <c r="G32" s="22">
        <v>0.84405799999999997</v>
      </c>
      <c r="H32" s="22">
        <v>0.85491600000000001</v>
      </c>
      <c r="I32" s="18" t="str">
        <f t="shared" ref="I32:I40" si="0">IF(ISERROR(SUMPRODUCT(--NOT(ISNUMBER(D32:H32)))+SUMPRODUCT(--(D32:H32&lt;-50))+SUMPRODUCT(--(D32:H32&gt;1))),"CHECK",IF(SUMPRODUCT(--NOT(ISNUMBER(D32:H32)))+SUMPRODUCT(--(D32:H32&lt;-50))+SUMPRODUCT(--(D32:H32&gt;1))=0,"OK","CHECK"))</f>
        <v>OK</v>
      </c>
      <c r="J32" s="9" t="s">
        <v>148</v>
      </c>
    </row>
    <row r="33" spans="2:10" x14ac:dyDescent="0.35">
      <c r="B33" s="3" t="s">
        <v>147</v>
      </c>
      <c r="C33" s="18" t="s">
        <v>103</v>
      </c>
      <c r="D33" s="22">
        <v>-0.67633699999999997</v>
      </c>
      <c r="E33" s="22">
        <v>0.79735</v>
      </c>
      <c r="F33" s="22">
        <v>0.84552799999999995</v>
      </c>
      <c r="G33" s="22">
        <v>0.86006499999999997</v>
      </c>
      <c r="H33" s="22">
        <v>0.86691600000000002</v>
      </c>
      <c r="I33" s="18" t="str">
        <f t="shared" si="0"/>
        <v>OK</v>
      </c>
      <c r="J33" s="9" t="s">
        <v>148</v>
      </c>
    </row>
    <row r="34" spans="2:10" x14ac:dyDescent="0.35">
      <c r="B34" s="3" t="s">
        <v>147</v>
      </c>
      <c r="C34" s="18" t="s">
        <v>104</v>
      </c>
      <c r="D34" s="22">
        <v>-9.0777649999999994</v>
      </c>
      <c r="E34" s="22">
        <v>0.27274900000000002</v>
      </c>
      <c r="F34" s="22">
        <v>0.73196399999999995</v>
      </c>
      <c r="G34" s="22">
        <v>0.80051000000000005</v>
      </c>
      <c r="H34" s="22">
        <v>0.82491499999999995</v>
      </c>
      <c r="I34" s="18" t="str">
        <f t="shared" si="0"/>
        <v>OK</v>
      </c>
      <c r="J34" s="9" t="s">
        <v>148</v>
      </c>
    </row>
    <row r="35" spans="2:10" x14ac:dyDescent="0.35">
      <c r="B35" s="3" t="s">
        <v>149</v>
      </c>
      <c r="C35" s="18" t="s">
        <v>98</v>
      </c>
      <c r="D35" s="22">
        <v>0.27930199999999999</v>
      </c>
      <c r="E35" s="22">
        <v>0.27930199999999999</v>
      </c>
      <c r="F35" s="22">
        <v>0.374388</v>
      </c>
      <c r="G35" s="22">
        <v>0.39795900000000001</v>
      </c>
      <c r="H35" s="22">
        <v>0.40787200000000001</v>
      </c>
      <c r="I35" s="18" t="str">
        <f t="shared" si="0"/>
        <v>OK</v>
      </c>
      <c r="J35" s="9" t="s">
        <v>148</v>
      </c>
    </row>
    <row r="36" spans="2:10" x14ac:dyDescent="0.35">
      <c r="B36" s="3" t="s">
        <v>149</v>
      </c>
      <c r="C36" s="18" t="s">
        <v>103</v>
      </c>
      <c r="D36" s="22">
        <v>0.36000599999999999</v>
      </c>
      <c r="E36" s="22">
        <v>0.36000599999999999</v>
      </c>
      <c r="F36" s="22">
        <v>0.40468500000000002</v>
      </c>
      <c r="G36" s="22">
        <v>0.41711599999999999</v>
      </c>
      <c r="H36" s="22">
        <v>0.42283399999999999</v>
      </c>
      <c r="I36" s="18" t="str">
        <f t="shared" si="0"/>
        <v>OK</v>
      </c>
      <c r="J36" s="9" t="s">
        <v>148</v>
      </c>
    </row>
    <row r="37" spans="2:10" x14ac:dyDescent="0.35">
      <c r="B37" s="3" t="s">
        <v>149</v>
      </c>
      <c r="C37" s="18" t="s">
        <v>104</v>
      </c>
      <c r="D37" s="22">
        <v>-0.18482899999999999</v>
      </c>
      <c r="E37" s="22">
        <v>-0.18482899999999999</v>
      </c>
      <c r="F37" s="22">
        <v>0.27904600000000002</v>
      </c>
      <c r="G37" s="22">
        <v>0.34715099999999999</v>
      </c>
      <c r="H37" s="22">
        <v>0.37113699999999999</v>
      </c>
      <c r="I37" s="18" t="str">
        <f t="shared" si="0"/>
        <v>OK</v>
      </c>
      <c r="J37" s="9" t="s">
        <v>148</v>
      </c>
    </row>
    <row r="38" spans="2:10" x14ac:dyDescent="0.35">
      <c r="B38" s="3" t="s">
        <v>150</v>
      </c>
      <c r="C38" s="18" t="s">
        <v>98</v>
      </c>
      <c r="D38" s="22">
        <v>0.93032999999999999</v>
      </c>
      <c r="E38" s="22">
        <v>0.93032999999999999</v>
      </c>
      <c r="F38" s="22">
        <v>0.93032999999999999</v>
      </c>
      <c r="G38" s="22">
        <v>0.95301499999999995</v>
      </c>
      <c r="H38" s="22">
        <v>0.96250100000000005</v>
      </c>
      <c r="I38" s="18" t="str">
        <f t="shared" si="0"/>
        <v>OK</v>
      </c>
      <c r="J38" s="9" t="s">
        <v>148</v>
      </c>
    </row>
    <row r="39" spans="2:10" x14ac:dyDescent="0.35">
      <c r="B39" s="3" t="s">
        <v>150</v>
      </c>
      <c r="C39" s="18" t="s">
        <v>103</v>
      </c>
      <c r="D39" s="22">
        <v>0.95499500000000004</v>
      </c>
      <c r="E39" s="22">
        <v>0.95499500000000004</v>
      </c>
      <c r="F39" s="22">
        <v>0.95499500000000004</v>
      </c>
      <c r="G39" s="22">
        <v>0.96684599999999998</v>
      </c>
      <c r="H39" s="22">
        <v>0.97229500000000002</v>
      </c>
      <c r="I39" s="18" t="str">
        <f t="shared" si="0"/>
        <v>OK</v>
      </c>
      <c r="J39" s="9" t="s">
        <v>148</v>
      </c>
    </row>
    <row r="40" spans="2:10" x14ac:dyDescent="0.35">
      <c r="B40" s="3" t="s">
        <v>150</v>
      </c>
      <c r="C40" s="18" t="s">
        <v>104</v>
      </c>
      <c r="D40" s="22">
        <v>0.84662700000000002</v>
      </c>
      <c r="E40" s="22">
        <v>0.84662700000000002</v>
      </c>
      <c r="F40" s="22">
        <v>0.84662700000000002</v>
      </c>
      <c r="G40" s="22">
        <v>0.91273499999999996</v>
      </c>
      <c r="H40" s="22">
        <v>0.93591199999999997</v>
      </c>
      <c r="I40" s="18" t="str">
        <f t="shared" si="0"/>
        <v>OK</v>
      </c>
      <c r="J40" s="9" t="s">
        <v>148</v>
      </c>
    </row>
    <row r="41" spans="2:10" x14ac:dyDescent="0.35">
      <c r="B41" s="16" t="s">
        <v>151</v>
      </c>
      <c r="C41" s="17"/>
      <c r="D41" s="17"/>
      <c r="E41" s="17"/>
      <c r="F41" s="17"/>
      <c r="G41" s="17"/>
      <c r="H41" s="17"/>
      <c r="I41" s="17"/>
      <c r="J41" s="17"/>
    </row>
    <row r="42" spans="2:10" x14ac:dyDescent="0.35">
      <c r="B42" s="3" t="s">
        <v>152</v>
      </c>
      <c r="C42" s="18" t="s">
        <v>111</v>
      </c>
      <c r="D42" s="19">
        <v>190291.59</v>
      </c>
      <c r="E42" s="19">
        <v>190680.23</v>
      </c>
      <c r="F42" s="19">
        <v>190077.6</v>
      </c>
      <c r="G42" s="20">
        <v>0</v>
      </c>
      <c r="H42" s="21" t="s">
        <v>112</v>
      </c>
      <c r="I42" s="18" t="str">
        <f>IF(ISERROR(SUMPRODUCT(--NOT(ISNUMBER(D42:F42)))+SUMPRODUCT(--(D42:F42&lt;G42))),"CHECK",IF(SUMPRODUCT(--NOT(ISNUMBER(D42:F42)))+SUMPRODUCT(--(D42:F42&lt;G42))=0,"OK","CHECK"))</f>
        <v>OK</v>
      </c>
      <c r="J42" s="9" t="s">
        <v>153</v>
      </c>
    </row>
    <row r="43" spans="2:10" x14ac:dyDescent="0.35">
      <c r="B43" s="3" t="s">
        <v>154</v>
      </c>
      <c r="C43" s="18" t="s">
        <v>111</v>
      </c>
      <c r="D43" s="19">
        <v>1148627.3999999999</v>
      </c>
      <c r="E43" s="19">
        <v>1161728.6399999999</v>
      </c>
      <c r="F43" s="19">
        <v>1142163.25</v>
      </c>
      <c r="G43" s="20">
        <v>0</v>
      </c>
      <c r="H43" s="21" t="s">
        <v>112</v>
      </c>
      <c r="I43" s="18" t="str">
        <f>IF(ISERROR(SUMPRODUCT(--NOT(ISNUMBER(D43:F43)))+SUMPRODUCT(--(D43:F43&lt;G43))),"CHECK",IF(SUMPRODUCT(--NOT(ISNUMBER(D43:F43)))+SUMPRODUCT(--(D43:F43&lt;G43))=0,"OK","CHECK"))</f>
        <v>OK</v>
      </c>
      <c r="J43" s="9" t="s">
        <v>153</v>
      </c>
    </row>
    <row r="44" spans="2:10" x14ac:dyDescent="0.35">
      <c r="B44" s="3" t="s">
        <v>155</v>
      </c>
      <c r="C44" s="18" t="s">
        <v>111</v>
      </c>
      <c r="D44" s="19">
        <v>1765532.76</v>
      </c>
      <c r="E44" s="19">
        <v>1806897.9</v>
      </c>
      <c r="F44" s="19">
        <v>1746310.33</v>
      </c>
      <c r="G44" s="20">
        <v>0</v>
      </c>
      <c r="H44" s="21" t="s">
        <v>112</v>
      </c>
      <c r="I44" s="18" t="str">
        <f>IF(ISERROR(SUMPRODUCT(--NOT(ISNUMBER(D44:F44)))+SUMPRODUCT(--(D44:F44&lt;G44))),"CHECK",IF(SUMPRODUCT(--NOT(ISNUMBER(D44:F44)))+SUMPRODUCT(--(D44:F44&lt;G44))=0,"OK","CHECK"))</f>
        <v>OK</v>
      </c>
      <c r="J44" s="9" t="s">
        <v>156</v>
      </c>
    </row>
    <row r="45" spans="2:10" x14ac:dyDescent="0.35">
      <c r="B45" s="3" t="s">
        <v>157</v>
      </c>
      <c r="C45" s="18" t="s">
        <v>111</v>
      </c>
      <c r="D45" s="19">
        <v>2209900.19</v>
      </c>
      <c r="E45" s="19">
        <v>2295594.56</v>
      </c>
      <c r="F45" s="19">
        <v>2172042.5099999998</v>
      </c>
      <c r="G45" s="20">
        <v>0</v>
      </c>
      <c r="H45" s="21" t="s">
        <v>112</v>
      </c>
      <c r="I45" s="18" t="str">
        <f>IF(ISERROR(SUMPRODUCT(--NOT(ISNUMBER(D45:F45)))+SUMPRODUCT(--(D45:F45&lt;G45))),"CHECK",IF(SUMPRODUCT(--NOT(ISNUMBER(D45:F45)))+SUMPRODUCT(--(D45:F45&lt;G45))=0,"OK","CHECK"))</f>
        <v>OK</v>
      </c>
      <c r="J45" s="9" t="s">
        <v>156</v>
      </c>
    </row>
    <row r="46" spans="2:10" x14ac:dyDescent="0.35">
      <c r="B46" s="3" t="s">
        <v>158</v>
      </c>
      <c r="C46" s="18" t="s">
        <v>111</v>
      </c>
      <c r="D46" s="19">
        <v>2237065.0499999998</v>
      </c>
      <c r="E46" s="19">
        <v>2377941.96</v>
      </c>
      <c r="F46" s="19">
        <v>2178023.7400000002</v>
      </c>
      <c r="G46" s="20">
        <v>0</v>
      </c>
      <c r="H46" s="21" t="s">
        <v>112</v>
      </c>
      <c r="I46" s="18" t="str">
        <f>IF(ISERROR(SUMPRODUCT(--NOT(ISNUMBER(D46:F46)))+SUMPRODUCT(--(D46:F46&lt;G46))),"CHECK",IF(SUMPRODUCT(--NOT(ISNUMBER(D46:F46)))+SUMPRODUCT(--(D46:F46&lt;G46))=0,"OK","CHECK"))</f>
        <v>OK</v>
      </c>
      <c r="J46" s="9" t="s">
        <v>156</v>
      </c>
    </row>
    <row r="47" spans="2:10" x14ac:dyDescent="0.35">
      <c r="B47" s="3" t="s">
        <v>159</v>
      </c>
      <c r="C47" s="18" t="s">
        <v>160</v>
      </c>
      <c r="D47" s="24">
        <v>8.6666670000000003</v>
      </c>
      <c r="E47" s="24">
        <v>8.6666670000000003</v>
      </c>
      <c r="F47" s="24">
        <v>8.6666670000000003</v>
      </c>
      <c r="G47" s="25">
        <v>0</v>
      </c>
      <c r="H47" s="25">
        <v>200</v>
      </c>
      <c r="I47" s="18" t="str">
        <f>IF(ISERROR(SUMPRODUCT(--NOT(ISNUMBER(D47:F47)))+SUMPRODUCT(--(D47:F47&lt;G47))+SUMPRODUCT(--(D47:F47&gt;H47))),"CHECK",IF(SUMPRODUCT(--NOT(ISNUMBER(D47:F47)))+SUMPRODUCT(--(D47:F47&lt;G47))+SUMPRODUCT(--(D47:F47&gt;H47))=0,"OK","CHECK"))</f>
        <v>OK</v>
      </c>
      <c r="J47" s="9" t="s">
        <v>161</v>
      </c>
    </row>
    <row r="48" spans="2:10" x14ac:dyDescent="0.35">
      <c r="B48" s="3" t="s">
        <v>162</v>
      </c>
      <c r="C48" s="18" t="s">
        <v>160</v>
      </c>
      <c r="D48" s="24">
        <v>14.583333</v>
      </c>
      <c r="E48" s="24">
        <v>14.583333</v>
      </c>
      <c r="F48" s="24">
        <v>14.583333</v>
      </c>
      <c r="G48" s="25">
        <v>0</v>
      </c>
      <c r="H48" s="25">
        <v>200</v>
      </c>
      <c r="I48" s="18" t="str">
        <f>IF(ISERROR(SUMPRODUCT(--NOT(ISNUMBER(D48:F48)))+SUMPRODUCT(--(D48:F48&lt;G48))+SUMPRODUCT(--(D48:F48&gt;H48))),"CHECK",IF(SUMPRODUCT(--NOT(ISNUMBER(D48:F48)))+SUMPRODUCT(--(D48:F48&lt;G48))+SUMPRODUCT(--(D48:F48&gt;H48))=0,"OK","CHECK"))</f>
        <v>OK</v>
      </c>
      <c r="J48" s="9" t="s">
        <v>161</v>
      </c>
    </row>
    <row r="49" spans="2:10" x14ac:dyDescent="0.35">
      <c r="B49" s="3" t="s">
        <v>163</v>
      </c>
      <c r="C49" s="18" t="s">
        <v>160</v>
      </c>
      <c r="D49" s="24">
        <v>16</v>
      </c>
      <c r="E49" s="24">
        <v>16</v>
      </c>
      <c r="F49" s="24">
        <v>16</v>
      </c>
      <c r="G49" s="25">
        <v>0</v>
      </c>
      <c r="H49" s="25">
        <v>200</v>
      </c>
      <c r="I49" s="18" t="str">
        <f>IF(ISERROR(SUMPRODUCT(--NOT(ISNUMBER(D49:F49)))+SUMPRODUCT(--(D49:F49&lt;G49))+SUMPRODUCT(--(D49:F49&gt;H49))),"CHECK",IF(SUMPRODUCT(--NOT(ISNUMBER(D49:F49)))+SUMPRODUCT(--(D49:F49&lt;G49))+SUMPRODUCT(--(D49:F49&gt;H49))=0,"OK","CHECK"))</f>
        <v>OK</v>
      </c>
      <c r="J49" s="9" t="s">
        <v>164</v>
      </c>
    </row>
    <row r="50" spans="2:10" x14ac:dyDescent="0.35">
      <c r="B50" s="3" t="s">
        <v>165</v>
      </c>
      <c r="C50" s="18" t="s">
        <v>160</v>
      </c>
      <c r="D50" s="24">
        <v>16</v>
      </c>
      <c r="E50" s="24">
        <v>16</v>
      </c>
      <c r="F50" s="24">
        <v>16</v>
      </c>
      <c r="G50" s="25">
        <v>0</v>
      </c>
      <c r="H50" s="25">
        <v>200</v>
      </c>
      <c r="I50" s="18" t="str">
        <f>IF(ISERROR(SUMPRODUCT(--NOT(ISNUMBER(D50:F50)))+SUMPRODUCT(--(D50:F50&lt;G50))+SUMPRODUCT(--(D50:F50&gt;H50))),"CHECK",IF(SUMPRODUCT(--NOT(ISNUMBER(D50:F50)))+SUMPRODUCT(--(D50:F50&lt;G50))+SUMPRODUCT(--(D50:F50&gt;H50))=0,"OK","CHECK"))</f>
        <v>OK</v>
      </c>
      <c r="J50" s="9" t="s">
        <v>164</v>
      </c>
    </row>
    <row r="51" spans="2:10" x14ac:dyDescent="0.35">
      <c r="B51" s="3" t="s">
        <v>166</v>
      </c>
      <c r="C51" s="18" t="s">
        <v>160</v>
      </c>
      <c r="D51" s="24">
        <v>16</v>
      </c>
      <c r="E51" s="24">
        <v>16</v>
      </c>
      <c r="F51" s="24">
        <v>16</v>
      </c>
      <c r="G51" s="25">
        <v>0</v>
      </c>
      <c r="H51" s="25">
        <v>200</v>
      </c>
      <c r="I51" s="18" t="str">
        <f>IF(ISERROR(SUMPRODUCT(--NOT(ISNUMBER(D51:F51)))+SUMPRODUCT(--(D51:F51&lt;G51))+SUMPRODUCT(--(D51:F51&gt;H51))),"CHECK",IF(SUMPRODUCT(--NOT(ISNUMBER(D51:F51)))+SUMPRODUCT(--(D51:F51&lt;G51))+SUMPRODUCT(--(D51:F51&gt;H51))=0,"OK","CHECK"))</f>
        <v>OK</v>
      </c>
      <c r="J51" s="9" t="s">
        <v>164</v>
      </c>
    </row>
    <row r="52" spans="2:10" x14ac:dyDescent="0.35">
      <c r="B52" s="3" t="s">
        <v>167</v>
      </c>
      <c r="C52" s="18" t="s">
        <v>168</v>
      </c>
      <c r="D52" s="19">
        <v>94651.79</v>
      </c>
      <c r="E52" s="19">
        <v>94651.79</v>
      </c>
      <c r="F52" s="19">
        <v>94651.79</v>
      </c>
      <c r="G52" s="20">
        <v>0</v>
      </c>
      <c r="H52" s="21" t="s">
        <v>112</v>
      </c>
      <c r="I52" s="18" t="str">
        <f>IF(ISERROR(SUMPRODUCT(--NOT(ISNUMBER(D52:F52)))+SUMPRODUCT(--(D52:F52&lt;G52))),"CHECK",IF(SUMPRODUCT(--NOT(ISNUMBER(D52:F52)))+SUMPRODUCT(--(D52:F52&lt;G52))=0,"OK","CHECK"))</f>
        <v>OK</v>
      </c>
      <c r="J52" s="9" t="s">
        <v>169</v>
      </c>
    </row>
    <row r="53" spans="2:10" x14ac:dyDescent="0.35">
      <c r="B53" s="3" t="s">
        <v>170</v>
      </c>
      <c r="C53" s="18" t="s">
        <v>117</v>
      </c>
      <c r="D53" s="22">
        <v>5.5102329999999998E-2</v>
      </c>
      <c r="E53" s="22">
        <v>5.5102329999999998E-2</v>
      </c>
      <c r="F53" s="22">
        <v>5.5102329999999998E-2</v>
      </c>
      <c r="G53" s="23">
        <v>-0.2</v>
      </c>
      <c r="H53" s="23">
        <v>0.5</v>
      </c>
      <c r="I53" s="18" t="str">
        <f>IF(ISERROR(SUMPRODUCT(--NOT(ISNUMBER(D53:F53)))+SUMPRODUCT(--(D53:F53&lt;G53))+SUMPRODUCT(--(D53:F53&gt;H53))),"CHECK",IF(SUMPRODUCT(--NOT(ISNUMBER(D53:F53)))+SUMPRODUCT(--(D53:F53&lt;G53))+SUMPRODUCT(--(D53:F53&gt;H53))=0,"OK","CHECK"))</f>
        <v>OK</v>
      </c>
      <c r="J53" s="9" t="s">
        <v>171</v>
      </c>
    </row>
    <row r="54" spans="2:10" x14ac:dyDescent="0.35">
      <c r="B54" s="3" t="s">
        <v>172</v>
      </c>
      <c r="C54" s="18" t="s">
        <v>111</v>
      </c>
      <c r="D54" s="19">
        <v>516672.07</v>
      </c>
      <c r="E54" s="19">
        <v>516672.07</v>
      </c>
      <c r="F54" s="19">
        <v>516672.07</v>
      </c>
      <c r="G54" s="20">
        <v>0</v>
      </c>
      <c r="H54" s="21" t="s">
        <v>112</v>
      </c>
      <c r="I54" s="18" t="str">
        <f>IF(ISERROR(SUMPRODUCT(--NOT(ISNUMBER(D54:F54)))+SUMPRODUCT(--(D54:F54&lt;G54))),"CHECK",IF(SUMPRODUCT(--NOT(ISNUMBER(D54:F54)))+SUMPRODUCT(--(D54:F54&lt;G54))=0,"OK","CHECK"))</f>
        <v>OK</v>
      </c>
      <c r="J54" s="9" t="s">
        <v>173</v>
      </c>
    </row>
    <row r="55" spans="2:10" x14ac:dyDescent="0.35">
      <c r="B55" s="3" t="s">
        <v>174</v>
      </c>
      <c r="C55" s="18" t="s">
        <v>111</v>
      </c>
      <c r="D55" s="19">
        <v>741165.69</v>
      </c>
      <c r="E55" s="19">
        <v>684165.69</v>
      </c>
      <c r="F55" s="19">
        <v>795328.19</v>
      </c>
      <c r="G55" s="20">
        <v>0</v>
      </c>
      <c r="H55" s="21" t="s">
        <v>112</v>
      </c>
      <c r="I55" s="18" t="str">
        <f>IF(ISERROR(SUMPRODUCT(--NOT(ISNUMBER(D55:F55)))+SUMPRODUCT(--(D55:F55&lt;G55))),"CHECK",IF(SUMPRODUCT(--NOT(ISNUMBER(D55:F55)))+SUMPRODUCT(--(D55:F55&lt;G55))=0,"OK","CHECK"))</f>
        <v>OK</v>
      </c>
      <c r="J55" s="9" t="s">
        <v>173</v>
      </c>
    </row>
    <row r="56" spans="2:10" x14ac:dyDescent="0.35">
      <c r="B56" s="3" t="s">
        <v>175</v>
      </c>
      <c r="C56" s="18" t="s">
        <v>111</v>
      </c>
      <c r="D56" s="19">
        <v>594528.9</v>
      </c>
      <c r="E56" s="19">
        <v>552528.9</v>
      </c>
      <c r="F56" s="19">
        <v>724728.9</v>
      </c>
      <c r="G56" s="20">
        <v>0</v>
      </c>
      <c r="H56" s="21" t="s">
        <v>112</v>
      </c>
      <c r="I56" s="18" t="str">
        <f>IF(ISERROR(SUMPRODUCT(--NOT(ISNUMBER(D56:F56)))+SUMPRODUCT(--(D56:F56&lt;G56))),"CHECK",IF(SUMPRODUCT(--NOT(ISNUMBER(D56:F56)))+SUMPRODUCT(--(D56:F56&lt;G56))=0,"OK","CHECK"))</f>
        <v>OK</v>
      </c>
      <c r="J56" s="9" t="s">
        <v>176</v>
      </c>
    </row>
    <row r="57" spans="2:10" x14ac:dyDescent="0.35">
      <c r="B57" s="3" t="s">
        <v>177</v>
      </c>
      <c r="C57" s="18" t="s">
        <v>111</v>
      </c>
      <c r="D57" s="19">
        <v>594528.9</v>
      </c>
      <c r="E57" s="19">
        <v>552528.9</v>
      </c>
      <c r="F57" s="19">
        <v>724728.9</v>
      </c>
      <c r="G57" s="20">
        <v>0</v>
      </c>
      <c r="H57" s="21" t="s">
        <v>112</v>
      </c>
      <c r="I57" s="18" t="str">
        <f>IF(ISERROR(SUMPRODUCT(--NOT(ISNUMBER(D57:F57)))+SUMPRODUCT(--(D57:F57&lt;G57))),"CHECK",IF(SUMPRODUCT(--NOT(ISNUMBER(D57:F57)))+SUMPRODUCT(--(D57:F57&lt;G57))=0,"OK","CHECK"))</f>
        <v>OK</v>
      </c>
      <c r="J57" s="9" t="s">
        <v>176</v>
      </c>
    </row>
    <row r="58" spans="2:10" x14ac:dyDescent="0.35">
      <c r="B58" s="3" t="s">
        <v>178</v>
      </c>
      <c r="C58" s="18" t="s">
        <v>111</v>
      </c>
      <c r="D58" s="19">
        <v>594528.9</v>
      </c>
      <c r="E58" s="19">
        <v>552528.9</v>
      </c>
      <c r="F58" s="19">
        <v>724728.9</v>
      </c>
      <c r="G58" s="20">
        <v>0</v>
      </c>
      <c r="H58" s="21" t="s">
        <v>112</v>
      </c>
      <c r="I58" s="18" t="str">
        <f>IF(ISERROR(SUMPRODUCT(--NOT(ISNUMBER(D58:F58)))+SUMPRODUCT(--(D58:F58&lt;G58))),"CHECK",IF(SUMPRODUCT(--NOT(ISNUMBER(D58:F58)))+SUMPRODUCT(--(D58:F58&lt;G58))=0,"OK","CHECK"))</f>
        <v>OK</v>
      </c>
      <c r="J58" s="9" t="s">
        <v>176</v>
      </c>
    </row>
    <row r="59" spans="2:10" x14ac:dyDescent="0.35">
      <c r="B59" s="3" t="s">
        <v>179</v>
      </c>
      <c r="C59" s="18" t="s">
        <v>117</v>
      </c>
      <c r="D59" s="22">
        <v>0</v>
      </c>
      <c r="E59" s="22">
        <v>0</v>
      </c>
      <c r="F59" s="22">
        <v>0</v>
      </c>
      <c r="G59" s="23">
        <v>0</v>
      </c>
      <c r="H59" s="23">
        <v>1</v>
      </c>
      <c r="I59" s="18" t="str">
        <f>IF(ISERROR(SUMPRODUCT(--NOT(ISNUMBER(D59:F59)))+SUMPRODUCT(--(D59:F59&lt;G59))+SUMPRODUCT(--(D59:F59&gt;H59))),"CHECK",IF(SUMPRODUCT(--NOT(ISNUMBER(D59:F59)))+SUMPRODUCT(--(D59:F59&lt;G59))+SUMPRODUCT(--(D59:F59&gt;H59))=0,"OK","CHECK"))</f>
        <v>OK</v>
      </c>
      <c r="J59" s="9" t="s">
        <v>180</v>
      </c>
    </row>
    <row r="60" spans="2:10" x14ac:dyDescent="0.35">
      <c r="B60" s="16" t="s">
        <v>181</v>
      </c>
      <c r="C60" s="17"/>
      <c r="D60" s="17"/>
      <c r="E60" s="17"/>
      <c r="F60" s="17"/>
      <c r="G60" s="17"/>
      <c r="H60" s="17"/>
      <c r="I60" s="17"/>
      <c r="J60" s="17"/>
    </row>
    <row r="61" spans="2:10" x14ac:dyDescent="0.35">
      <c r="B61" s="3" t="s">
        <v>182</v>
      </c>
      <c r="C61" s="18" t="s">
        <v>111</v>
      </c>
      <c r="D61" s="19">
        <v>32500</v>
      </c>
      <c r="E61" s="19">
        <v>32500</v>
      </c>
      <c r="F61" s="19">
        <v>32500</v>
      </c>
      <c r="G61" s="20">
        <v>0</v>
      </c>
      <c r="H61" s="21" t="s">
        <v>112</v>
      </c>
      <c r="I61" s="18" t="str">
        <f>IF(ISERROR(SUMPRODUCT(--NOT(ISNUMBER(D61:F61)))+SUMPRODUCT(--(D61:F61&lt;G61))),"CHECK",IF(SUMPRODUCT(--NOT(ISNUMBER(D61:F61)))+SUMPRODUCT(--(D61:F61&lt;G61))=0,"OK","CHECK"))</f>
        <v>OK</v>
      </c>
      <c r="J61" s="9" t="s">
        <v>183</v>
      </c>
    </row>
    <row r="62" spans="2:10" x14ac:dyDescent="0.35">
      <c r="B62" s="3" t="s">
        <v>184</v>
      </c>
      <c r="C62" s="18" t="s">
        <v>111</v>
      </c>
      <c r="D62" s="19">
        <v>7500</v>
      </c>
      <c r="E62" s="19">
        <v>7500</v>
      </c>
      <c r="F62" s="19">
        <v>7500</v>
      </c>
      <c r="G62" s="20">
        <v>0</v>
      </c>
      <c r="H62" s="21" t="s">
        <v>112</v>
      </c>
      <c r="I62" s="18" t="str">
        <f>IF(ISERROR(SUMPRODUCT(--NOT(ISNUMBER(D62:F62)))+SUMPRODUCT(--(D62:F62&lt;G62))),"CHECK",IF(SUMPRODUCT(--NOT(ISNUMBER(D62:F62)))+SUMPRODUCT(--(D62:F62&lt;G62))=0,"OK","CHECK"))</f>
        <v>OK</v>
      </c>
      <c r="J62" s="9" t="s">
        <v>183</v>
      </c>
    </row>
    <row r="63" spans="2:10" x14ac:dyDescent="0.35">
      <c r="B63" s="3" t="s">
        <v>185</v>
      </c>
      <c r="C63" s="18" t="s">
        <v>111</v>
      </c>
      <c r="D63" s="19">
        <v>0</v>
      </c>
      <c r="E63" s="19">
        <v>0</v>
      </c>
      <c r="F63" s="19">
        <v>0</v>
      </c>
      <c r="G63" s="20">
        <v>0</v>
      </c>
      <c r="H63" s="21" t="s">
        <v>112</v>
      </c>
      <c r="I63" s="18" t="str">
        <f>IF(ISERROR(SUMPRODUCT(--NOT(ISNUMBER(D63:F63)))+SUMPRODUCT(--(D63:F63&lt;G63))),"CHECK",IF(SUMPRODUCT(--NOT(ISNUMBER(D63:F63)))+SUMPRODUCT(--(D63:F63&lt;G63))=0,"OK","CHECK"))</f>
        <v>OK</v>
      </c>
      <c r="J63" s="9" t="s">
        <v>183</v>
      </c>
    </row>
    <row r="64" spans="2:10" x14ac:dyDescent="0.35">
      <c r="B64" s="3" t="s">
        <v>186</v>
      </c>
      <c r="C64" s="18" t="s">
        <v>111</v>
      </c>
      <c r="D64" s="19">
        <v>0</v>
      </c>
      <c r="E64" s="19">
        <v>0</v>
      </c>
      <c r="F64" s="19">
        <v>0</v>
      </c>
      <c r="G64" s="20">
        <v>0</v>
      </c>
      <c r="H64" s="21" t="s">
        <v>112</v>
      </c>
      <c r="I64" s="18" t="str">
        <f>IF(ISERROR(SUMPRODUCT(--NOT(ISNUMBER(D64:F64)))+SUMPRODUCT(--(D64:F64&lt;G64))),"CHECK",IF(SUMPRODUCT(--NOT(ISNUMBER(D64:F64)))+SUMPRODUCT(--(D64:F64&lt;G64))=0,"OK","CHECK"))</f>
        <v>OK</v>
      </c>
      <c r="J64" s="9" t="s">
        <v>183</v>
      </c>
    </row>
    <row r="65" spans="2:10" x14ac:dyDescent="0.35">
      <c r="B65" s="3" t="s">
        <v>187</v>
      </c>
      <c r="C65" s="18" t="s">
        <v>111</v>
      </c>
      <c r="D65" s="19">
        <v>32500</v>
      </c>
      <c r="E65" s="19">
        <v>32500</v>
      </c>
      <c r="F65" s="19">
        <v>32500</v>
      </c>
      <c r="G65" s="20">
        <v>0</v>
      </c>
      <c r="H65" s="21" t="s">
        <v>112</v>
      </c>
      <c r="I65" s="18" t="str">
        <f>IF(ISERROR(SUMPRODUCT(--NOT(ISNUMBER(D65:F65)))+SUMPRODUCT(--(D65:F65&lt;G65))),"CHECK",IF(SUMPRODUCT(--NOT(ISNUMBER(D65:F65)))+SUMPRODUCT(--(D65:F65&lt;G65))=0,"OK","CHECK"))</f>
        <v>OK</v>
      </c>
      <c r="J65" s="9" t="s">
        <v>183</v>
      </c>
    </row>
    <row r="66" spans="2:10" x14ac:dyDescent="0.35">
      <c r="B66" s="3" t="s">
        <v>188</v>
      </c>
      <c r="C66" s="18" t="s">
        <v>189</v>
      </c>
      <c r="D66" s="26">
        <v>3</v>
      </c>
      <c r="E66" s="26">
        <v>3</v>
      </c>
      <c r="F66" s="26">
        <v>3</v>
      </c>
      <c r="G66" s="27">
        <v>1</v>
      </c>
      <c r="H66" s="27">
        <v>10</v>
      </c>
      <c r="I66" s="18" t="str">
        <f>IF(ISERROR(SUMPRODUCT(--NOT(ISNUMBER(D66:F66)))+SUMPRODUCT(--(D66:F66&lt;G66))+SUMPRODUCT(--(D66:F66&gt;H66))),"CHECK",IF(SUMPRODUCT(--NOT(ISNUMBER(D66:F66)))+SUMPRODUCT(--(D66:F66&lt;G66))+SUMPRODUCT(--(D66:F66&gt;H66))=0,"OK","CHECK"))</f>
        <v>OK</v>
      </c>
      <c r="J66" s="9" t="s">
        <v>190</v>
      </c>
    </row>
    <row r="67" spans="2:10" x14ac:dyDescent="0.35">
      <c r="B67" s="16" t="s">
        <v>191</v>
      </c>
      <c r="C67" s="17"/>
      <c r="D67" s="17"/>
      <c r="E67" s="17"/>
      <c r="F67" s="17"/>
      <c r="G67" s="17"/>
      <c r="H67" s="17"/>
      <c r="I67" s="17"/>
      <c r="J67" s="17"/>
    </row>
    <row r="68" spans="2:10" x14ac:dyDescent="0.35">
      <c r="B68" s="3" t="s">
        <v>192</v>
      </c>
      <c r="C68" s="18" t="s">
        <v>111</v>
      </c>
      <c r="D68" s="19">
        <v>25000</v>
      </c>
      <c r="E68" s="19">
        <v>25000</v>
      </c>
      <c r="F68" s="19">
        <v>25000</v>
      </c>
      <c r="G68" s="20">
        <v>0</v>
      </c>
      <c r="H68" s="21" t="s">
        <v>112</v>
      </c>
      <c r="I68" s="18" t="str">
        <f>IF(ISERROR(SUMPRODUCT(--NOT(ISNUMBER(D68:F68)))+SUMPRODUCT(--(D68:F68&lt;G68))),"CHECK",IF(SUMPRODUCT(--NOT(ISNUMBER(D68:F68)))+SUMPRODUCT(--(D68:F68&lt;G68))=0,"OK","CHECK"))</f>
        <v>OK</v>
      </c>
      <c r="J68" s="9" t="s">
        <v>193</v>
      </c>
    </row>
    <row r="69" spans="2:10" x14ac:dyDescent="0.35">
      <c r="B69" s="3" t="s">
        <v>194</v>
      </c>
      <c r="C69" s="18" t="s">
        <v>195</v>
      </c>
      <c r="D69" s="28">
        <v>25000</v>
      </c>
      <c r="E69" s="28">
        <v>25000</v>
      </c>
      <c r="F69" s="28">
        <v>25000</v>
      </c>
      <c r="G69" s="29">
        <v>1</v>
      </c>
      <c r="H69" s="29">
        <v>1000000000</v>
      </c>
      <c r="I69" s="18" t="str">
        <f>IF(ISERROR(SUMPRODUCT(--NOT(ISNUMBER(D69:F69)))+SUMPRODUCT(--(D69:F69&lt;G69))+SUMPRODUCT(--(D69:F69&gt;H69))+SUMPRODUCT((D69:F69&lt;&gt;"")*ISNUMBER(D69:F69)*(ABS(D69:F69-ROUND(D69:F69,0))&gt;0))),"CHECK",IF(SUMPRODUCT(--NOT(ISNUMBER(D69:F69)))+SUMPRODUCT(--(D69:F69&lt;G69))+SUMPRODUCT(--(D69:F69&gt;H69))+SUMPRODUCT((D69:F69&lt;&gt;"")*ISNUMBER(D69:F69)*(ABS(D69:F69-ROUND(D69:F69,0))&gt;0))=0,"OK","CHECK"))</f>
        <v>OK</v>
      </c>
      <c r="J69" s="9" t="s">
        <v>196</v>
      </c>
    </row>
    <row r="70" spans="2:10" x14ac:dyDescent="0.35">
      <c r="B70" s="3" t="s">
        <v>197</v>
      </c>
      <c r="C70" s="18" t="s">
        <v>117</v>
      </c>
      <c r="D70" s="22">
        <v>1.4999999999999999E-2</v>
      </c>
      <c r="E70" s="22">
        <v>1.4999999999999999E-2</v>
      </c>
      <c r="F70" s="22">
        <v>1.4999999999999999E-2</v>
      </c>
      <c r="G70" s="23">
        <v>0</v>
      </c>
      <c r="H70" s="23">
        <v>0.2</v>
      </c>
      <c r="I70" s="18" t="str">
        <f>IF(ISERROR(SUMPRODUCT(--NOT(ISNUMBER(D70:F70)))+SUMPRODUCT(--(D70:F70&lt;G70))+SUMPRODUCT(--(D70:F70&gt;H70))),"CHECK",IF(SUMPRODUCT(--NOT(ISNUMBER(D70:F70)))+SUMPRODUCT(--(D70:F70&lt;G70))+SUMPRODUCT(--(D70:F70&gt;H70))=0,"OK","CHECK"))</f>
        <v>OK</v>
      </c>
      <c r="J70" s="9" t="s">
        <v>198</v>
      </c>
    </row>
    <row r="71" spans="2:10" x14ac:dyDescent="0.35">
      <c r="B71" s="3" t="s">
        <v>199</v>
      </c>
      <c r="C71" s="18" t="s">
        <v>117</v>
      </c>
      <c r="D71" s="22">
        <v>0.25955</v>
      </c>
      <c r="E71" s="22">
        <v>0.25955</v>
      </c>
      <c r="F71" s="22">
        <v>0.25955</v>
      </c>
      <c r="G71" s="23">
        <v>0</v>
      </c>
      <c r="H71" s="23">
        <v>0.6</v>
      </c>
      <c r="I71" s="18" t="str">
        <f>IF(ISERROR(SUMPRODUCT(--NOT(ISNUMBER(D71:F71)))+SUMPRODUCT(--(D71:F71&lt;G71))+SUMPRODUCT(--(D71:F71&gt;H71))),"CHECK",IF(SUMPRODUCT(--NOT(ISNUMBER(D71:F71)))+SUMPRODUCT(--(D71:F71&lt;G71))+SUMPRODUCT(--(D71:F71&gt;H71))=0,"OK","CHECK"))</f>
        <v>OK</v>
      </c>
      <c r="J71" s="9" t="s">
        <v>200</v>
      </c>
    </row>
    <row r="72" spans="2:10" x14ac:dyDescent="0.35">
      <c r="B72" s="16" t="s">
        <v>201</v>
      </c>
      <c r="C72" s="17"/>
      <c r="D72" s="17"/>
      <c r="E72" s="17"/>
      <c r="F72" s="17"/>
      <c r="G72" s="17"/>
      <c r="H72" s="17"/>
      <c r="I72" s="17"/>
      <c r="J72" s="17"/>
    </row>
    <row r="73" spans="2:10" x14ac:dyDescent="0.35">
      <c r="B73" s="3" t="s">
        <v>202</v>
      </c>
      <c r="C73" s="18" t="s">
        <v>203</v>
      </c>
      <c r="D73" s="30">
        <v>1</v>
      </c>
      <c r="E73" s="30">
        <v>1</v>
      </c>
      <c r="F73" s="30">
        <v>1</v>
      </c>
      <c r="G73" s="13">
        <v>1</v>
      </c>
      <c r="H73" s="13">
        <v>60</v>
      </c>
      <c r="I73" s="18" t="str">
        <f>IF(ISERROR(SUMPRODUCT((D73:F73&lt;&gt;"")*((D73:F73&lt;G73)+NOT(ISNUMBER(D73:F73))))+SUMPRODUCT((D73:F73&lt;&gt;"")*(D73:F73&gt;H73))+SUMPRODUCT((D73:F73&lt;&gt;"")*ISNUMBER(D73:F73)*(ABS(D73:F73-ROUND(D73:F73,0))&gt;0))),"CHECK",IF(SUMPRODUCT((D73:F73&lt;&gt;"")*((D73:F73&lt;G73)+NOT(ISNUMBER(D73:F73))))+SUMPRODUCT((D73:F73&lt;&gt;"")*(D73:F73&gt;H73))+SUMPRODUCT((D73:F73&lt;&gt;"")*ISNUMBER(D73:F73)*(ABS(D73:F73-ROUND(D73:F73,0))&gt;0))=0,"OK","CHECK"))</f>
        <v>OK</v>
      </c>
      <c r="J73" s="9" t="s">
        <v>204</v>
      </c>
    </row>
    <row r="74" spans="2:10" x14ac:dyDescent="0.35">
      <c r="B74" s="3" t="s">
        <v>205</v>
      </c>
      <c r="C74" s="18" t="s">
        <v>111</v>
      </c>
      <c r="D74" s="19">
        <v>1000000</v>
      </c>
      <c r="E74" s="19">
        <v>1000000</v>
      </c>
      <c r="F74" s="19">
        <v>1000000</v>
      </c>
      <c r="G74" s="20">
        <v>0</v>
      </c>
      <c r="H74" s="21" t="s">
        <v>112</v>
      </c>
      <c r="I74" s="18" t="str">
        <f>IF(ISERROR(SUMPRODUCT((D74:F74&lt;&gt;"")*((D74:F74&lt;G74)+NOT(ISNUMBER(D74:F74))))),"CHECK",IF(SUMPRODUCT((D74:F74&lt;&gt;"")*((D74:F74&lt;G74)+NOT(ISNUMBER(D74:F74))))=0,"OK","CHECK"))</f>
        <v>OK</v>
      </c>
      <c r="J74" s="9" t="s">
        <v>204</v>
      </c>
    </row>
    <row r="75" spans="2:10" x14ac:dyDescent="0.35">
      <c r="B75" s="3" t="s">
        <v>206</v>
      </c>
      <c r="C75" s="18" t="s">
        <v>111</v>
      </c>
      <c r="D75" s="19">
        <v>4859086.49</v>
      </c>
      <c r="E75" s="19">
        <v>4859086.49</v>
      </c>
      <c r="F75" s="19">
        <v>4859086.49</v>
      </c>
      <c r="G75" s="20">
        <v>0</v>
      </c>
      <c r="H75" s="21" t="s">
        <v>112</v>
      </c>
      <c r="I75" s="18" t="str">
        <f>IF(ISERROR(SUMPRODUCT((D75:F75&lt;&gt;"")*((D75:F75&lt;G75)+NOT(ISNUMBER(D75:F75))))),"CHECK",IF(SUMPRODUCT((D75:F75&lt;&gt;"")*((D75:F75&lt;G75)+NOT(ISNUMBER(D75:F75))))=0,"OK","CHECK"))</f>
        <v>OK</v>
      </c>
      <c r="J75" s="9" t="s">
        <v>204</v>
      </c>
    </row>
    <row r="76" spans="2:10" x14ac:dyDescent="0.35">
      <c r="B76" s="3" t="s">
        <v>207</v>
      </c>
      <c r="C76" s="18" t="s">
        <v>203</v>
      </c>
      <c r="D76" s="30">
        <v>8</v>
      </c>
      <c r="E76" s="30">
        <v>8</v>
      </c>
      <c r="F76" s="30">
        <v>8</v>
      </c>
      <c r="G76" s="13">
        <v>1</v>
      </c>
      <c r="H76" s="13">
        <v>60</v>
      </c>
      <c r="I76" s="18" t="str">
        <f>IF(ISERROR(SUMPRODUCT((D76:F76&lt;&gt;"")*((D76:F76&lt;G76)+NOT(ISNUMBER(D76:F76))))+SUMPRODUCT((D76:F76&lt;&gt;"")*(D76:F76&gt;H76))+SUMPRODUCT((D76:F76&lt;&gt;"")*ISNUMBER(D76:F76)*(ABS(D76:F76-ROUND(D76:F76,0))&gt;0))),"CHECK",IF(SUMPRODUCT((D76:F76&lt;&gt;"")*((D76:F76&lt;G76)+NOT(ISNUMBER(D76:F76))))+SUMPRODUCT((D76:F76&lt;&gt;"")*(D76:F76&gt;H76))+SUMPRODUCT((D76:F76&lt;&gt;"")*ISNUMBER(D76:F76)*(ABS(D76:F76-ROUND(D76:F76,0))&gt;0))=0,"OK","CHECK"))</f>
        <v>OK</v>
      </c>
      <c r="J76" s="9" t="s">
        <v>208</v>
      </c>
    </row>
    <row r="77" spans="2:10" x14ac:dyDescent="0.35">
      <c r="B77" s="3" t="s">
        <v>209</v>
      </c>
      <c r="C77" s="18" t="s">
        <v>111</v>
      </c>
      <c r="D77" s="19">
        <v>4000000</v>
      </c>
      <c r="E77" s="19">
        <v>4000000</v>
      </c>
      <c r="F77" s="19">
        <v>4000000</v>
      </c>
      <c r="G77" s="20">
        <v>0</v>
      </c>
      <c r="H77" s="21" t="s">
        <v>112</v>
      </c>
      <c r="I77" s="18" t="str">
        <f>IF(ISERROR(SUMPRODUCT((D77:F77&lt;&gt;"")*((D77:F77&lt;G77)+NOT(ISNUMBER(D77:F77))))),"CHECK",IF(SUMPRODUCT((D77:F77&lt;&gt;"")*((D77:F77&lt;G77)+NOT(ISNUMBER(D77:F77))))=0,"OK","CHECK"))</f>
        <v>OK</v>
      </c>
      <c r="J77" s="9" t="s">
        <v>208</v>
      </c>
    </row>
    <row r="78" spans="2:10" x14ac:dyDescent="0.35">
      <c r="B78" s="3" t="s">
        <v>210</v>
      </c>
      <c r="C78" s="18" t="s">
        <v>111</v>
      </c>
      <c r="D78" s="19">
        <v>8000000</v>
      </c>
      <c r="E78" s="19">
        <v>8000000</v>
      </c>
      <c r="F78" s="19">
        <v>8000000</v>
      </c>
      <c r="G78" s="20">
        <v>0</v>
      </c>
      <c r="H78" s="21" t="s">
        <v>112</v>
      </c>
      <c r="I78" s="18" t="str">
        <f>IF(ISERROR(SUMPRODUCT((D78:F78&lt;&gt;"")*((D78:F78&lt;G78)+NOT(ISNUMBER(D78:F78))))),"CHECK",IF(SUMPRODUCT((D78:F78&lt;&gt;"")*((D78:F78&lt;G78)+NOT(ISNUMBER(D78:F78))))=0,"OK","CHECK"))</f>
        <v>OK</v>
      </c>
      <c r="J78" s="9" t="s">
        <v>208</v>
      </c>
    </row>
    <row r="79" spans="2:10" x14ac:dyDescent="0.35">
      <c r="B79" s="3" t="s">
        <v>211</v>
      </c>
      <c r="C79" s="18" t="s">
        <v>203</v>
      </c>
      <c r="D79" s="30">
        <v>19</v>
      </c>
      <c r="E79" s="30">
        <v>19</v>
      </c>
      <c r="F79" s="30">
        <v>19</v>
      </c>
      <c r="G79" s="13">
        <v>1</v>
      </c>
      <c r="H79" s="13">
        <v>60</v>
      </c>
      <c r="I79" s="18" t="str">
        <f>IF(ISERROR(SUMPRODUCT((D79:F79&lt;&gt;"")*((D79:F79&lt;G79)+NOT(ISNUMBER(D79:F79))))+SUMPRODUCT((D79:F79&lt;&gt;"")*(D79:F79&gt;H79))+SUMPRODUCT((D79:F79&lt;&gt;"")*ISNUMBER(D79:F79)*(ABS(D79:F79-ROUND(D79:F79,0))&gt;0))),"CHECK",IF(SUMPRODUCT((D79:F79&lt;&gt;"")*((D79:F79&lt;G79)+NOT(ISNUMBER(D79:F79))))+SUMPRODUCT((D79:F79&lt;&gt;"")*(D79:F79&gt;H79))+SUMPRODUCT((D79:F79&lt;&gt;"")*ISNUMBER(D79:F79)*(ABS(D79:F79-ROUND(D79:F79,0))&gt;0))=0,"OK","CHECK"))</f>
        <v>OK</v>
      </c>
      <c r="J79" s="9" t="s">
        <v>208</v>
      </c>
    </row>
    <row r="80" spans="2:10" x14ac:dyDescent="0.35">
      <c r="B80" s="3" t="s">
        <v>212</v>
      </c>
      <c r="C80" s="18" t="s">
        <v>111</v>
      </c>
      <c r="D80" s="19">
        <v>12000000</v>
      </c>
      <c r="E80" s="19">
        <v>12000000</v>
      </c>
      <c r="F80" s="19">
        <v>12000000</v>
      </c>
      <c r="G80" s="20">
        <v>0</v>
      </c>
      <c r="H80" s="21" t="s">
        <v>112</v>
      </c>
      <c r="I80" s="18" t="str">
        <f>IF(ISERROR(SUMPRODUCT((D80:F80&lt;&gt;"")*((D80:F80&lt;G80)+NOT(ISNUMBER(D80:F80))))),"CHECK",IF(SUMPRODUCT((D80:F80&lt;&gt;"")*((D80:F80&lt;G80)+NOT(ISNUMBER(D80:F80))))=0,"OK","CHECK"))</f>
        <v>OK</v>
      </c>
      <c r="J80" s="9" t="s">
        <v>208</v>
      </c>
    </row>
    <row r="81" spans="2:10" x14ac:dyDescent="0.35">
      <c r="B81" s="3" t="s">
        <v>213</v>
      </c>
      <c r="C81" s="18" t="s">
        <v>111</v>
      </c>
      <c r="D81" s="19">
        <v>20000000</v>
      </c>
      <c r="E81" s="19">
        <v>20000000</v>
      </c>
      <c r="F81" s="19">
        <v>20000000</v>
      </c>
      <c r="G81" s="20">
        <v>0</v>
      </c>
      <c r="H81" s="21" t="s">
        <v>112</v>
      </c>
      <c r="I81" s="18" t="str">
        <f>IF(ISERROR(SUMPRODUCT((D81:F81&lt;&gt;"")*((D81:F81&lt;G81)+NOT(ISNUMBER(D81:F81))))),"CHECK",IF(SUMPRODUCT((D81:F81&lt;&gt;"")*((D81:F81&lt;G81)+NOT(ISNUMBER(D81:F81))))=0,"OK","CHECK"))</f>
        <v>OK</v>
      </c>
      <c r="J81" s="9" t="s">
        <v>208</v>
      </c>
    </row>
    <row r="82" spans="2:10" x14ac:dyDescent="0.35">
      <c r="B82" s="3" t="s">
        <v>214</v>
      </c>
      <c r="C82" s="18" t="s">
        <v>203</v>
      </c>
      <c r="D82" s="30"/>
      <c r="E82" s="30"/>
      <c r="F82" s="30"/>
      <c r="G82" s="13">
        <v>1</v>
      </c>
      <c r="H82" s="13">
        <v>60</v>
      </c>
      <c r="I82" s="18" t="str">
        <f>IF(ISERROR(SUMPRODUCT((D82:F82&lt;&gt;"")*((D82:F82&lt;G82)+NOT(ISNUMBER(D82:F82))))+SUMPRODUCT((D82:F82&lt;&gt;"")*(D82:F82&gt;H82))+SUMPRODUCT((D82:F82&lt;&gt;"")*ISNUMBER(D82:F82)*(ABS(D82:F82-ROUND(D82:F82,0))&gt;0))),"CHECK",IF(SUMPRODUCT((D82:F82&lt;&gt;"")*((D82:F82&lt;G82)+NOT(ISNUMBER(D82:F82))))+SUMPRODUCT((D82:F82&lt;&gt;"")*(D82:F82&gt;H82))+SUMPRODUCT((D82:F82&lt;&gt;"")*ISNUMBER(D82:F82)*(ABS(D82:F82-ROUND(D82:F82,0))&gt;0))=0,"OK","CHECK"))</f>
        <v>OK</v>
      </c>
      <c r="J82" s="9" t="s">
        <v>215</v>
      </c>
    </row>
    <row r="83" spans="2:10" x14ac:dyDescent="0.35">
      <c r="B83" s="3" t="s">
        <v>216</v>
      </c>
      <c r="C83" s="18" t="s">
        <v>111</v>
      </c>
      <c r="D83" s="19"/>
      <c r="E83" s="19"/>
      <c r="F83" s="19"/>
      <c r="G83" s="20">
        <v>0</v>
      </c>
      <c r="H83" s="21" t="s">
        <v>112</v>
      </c>
      <c r="I83" s="18" t="str">
        <f>IF(ISERROR(SUMPRODUCT((D83:F83&lt;&gt;"")*((D83:F83&lt;G83)+NOT(ISNUMBER(D83:F83))))),"CHECK",IF(SUMPRODUCT((D83:F83&lt;&gt;"")*((D83:F83&lt;G83)+NOT(ISNUMBER(D83:F83))))=0,"OK","CHECK"))</f>
        <v>OK</v>
      </c>
      <c r="J83" s="9" t="s">
        <v>215</v>
      </c>
    </row>
    <row r="84" spans="2:10" x14ac:dyDescent="0.35">
      <c r="B84" s="3" t="s">
        <v>217</v>
      </c>
      <c r="C84" s="18" t="s">
        <v>111</v>
      </c>
      <c r="D84" s="19"/>
      <c r="E84" s="19"/>
      <c r="F84" s="19"/>
      <c r="G84" s="20">
        <v>0</v>
      </c>
      <c r="H84" s="21" t="s">
        <v>112</v>
      </c>
      <c r="I84" s="18" t="str">
        <f>IF(ISERROR(SUMPRODUCT((D84:F84&lt;&gt;"")*((D84:F84&lt;G84)+NOT(ISNUMBER(D84:F84))))),"CHECK",IF(SUMPRODUCT((D84:F84&lt;&gt;"")*((D84:F84&lt;G84)+NOT(ISNUMBER(D84:F84))))=0,"OK","CHECK"))</f>
        <v>OK</v>
      </c>
      <c r="J84" s="9" t="s">
        <v>215</v>
      </c>
    </row>
    <row r="85" spans="2:10" x14ac:dyDescent="0.35">
      <c r="B85" s="16" t="s">
        <v>218</v>
      </c>
      <c r="C85" s="17"/>
      <c r="D85" s="17"/>
      <c r="E85" s="17"/>
      <c r="F85" s="17"/>
      <c r="G85" s="17"/>
      <c r="H85" s="17"/>
      <c r="I85" s="17"/>
      <c r="J85" s="17"/>
    </row>
    <row r="86" spans="2:10" x14ac:dyDescent="0.35">
      <c r="B86" s="3" t="s">
        <v>219</v>
      </c>
      <c r="C86" s="18" t="s">
        <v>203</v>
      </c>
      <c r="D86" s="30">
        <v>60</v>
      </c>
      <c r="E86" s="30">
        <v>60</v>
      </c>
      <c r="F86" s="30">
        <v>60</v>
      </c>
      <c r="G86" s="13">
        <v>13</v>
      </c>
      <c r="H86" s="13">
        <v>60</v>
      </c>
      <c r="I86" s="18" t="str">
        <f>IF(ISERROR(SUMPRODUCT(--NOT(ISNUMBER(D86:F86)))+SUMPRODUCT(--(D86:F86&lt;G86))+SUMPRODUCT(--(D86:F86&gt;H86))+SUMPRODUCT((D86:F86&lt;&gt;"")*ISNUMBER(D86:F86)*(ABS(D86:F86-ROUND(D86:F86,0))&gt;0))),"CHECK",IF(SUMPRODUCT(--NOT(ISNUMBER(D86:F86)))+SUMPRODUCT(--(D86:F86&lt;G86))+SUMPRODUCT(--(D86:F86&gt;H86))+SUMPRODUCT((D86:F86&lt;&gt;"")*ISNUMBER(D86:F86)*(ABS(D86:F86-ROUND(D86:F86,0))&gt;0))=0,"OK","CHECK"))</f>
        <v>OK</v>
      </c>
      <c r="J86" s="9" t="s">
        <v>220</v>
      </c>
    </row>
    <row r="87" spans="2:10" x14ac:dyDescent="0.35">
      <c r="B87" s="3" t="s">
        <v>221</v>
      </c>
      <c r="C87" s="18" t="s">
        <v>222</v>
      </c>
      <c r="D87" s="31">
        <v>4</v>
      </c>
      <c r="E87" s="31">
        <v>4</v>
      </c>
      <c r="F87" s="31">
        <v>4</v>
      </c>
      <c r="G87" s="32">
        <v>0</v>
      </c>
      <c r="H87" s="32">
        <v>20</v>
      </c>
      <c r="I87" s="18" t="str">
        <f>IF(ISERROR(SUMPRODUCT(--NOT(ISNUMBER(D87:F87)))+SUMPRODUCT(--(D87:F87&lt;G87))+SUMPRODUCT(--(D87:F87&gt;H87))),"CHECK",IF(SUMPRODUCT(--NOT(ISNUMBER(D87:F87)))+SUMPRODUCT(--(D87:F87&lt;G87))+SUMPRODUCT(--(D87:F87&gt;H87))=0,"OK","CHECK"))</f>
        <v>OK</v>
      </c>
      <c r="J87" s="9" t="s">
        <v>223</v>
      </c>
    </row>
  </sheetData>
  <conditionalFormatting sqref="I9:I87">
    <cfRule type="cellIs" dxfId="9" priority="1" operator="equal">
      <formula>"OK"</formula>
    </cfRule>
    <cfRule type="cellIs" dxfId="8" priority="2" operator="equal">
      <formula>"CHECK"</formula>
    </cfRule>
  </conditionalFormatting>
  <dataValidations count="15">
    <dataValidation type="list" showErrorMessage="1" errorTitle="Value outside the allowed range" error="Choose Base, Upside, Downside." sqref="D5" xr:uid="{00000000-0002-0000-0200-000000000000}">
      <formula1>"Base,Upside,Downside"</formula1>
    </dataValidation>
    <dataValidation type="decimal" operator="greaterThanOrEqual" showErrorMessage="1" errorTitle="Value outside the allowed range" error="Enter a number of at least 0." sqref="D68:F68 D61:F65 D54:F58 D52:F52 D42:F46 D29:F29 D24:F25 D22:F22 D17:F18 D15:F15 D10:F11" xr:uid="{00000000-0002-0000-0200-000001000000}">
      <formula1>0</formula1>
    </dataValidation>
    <dataValidation type="decimal" showErrorMessage="1" errorTitle="Value outside the allowed range" error="Enter a number from -0.9 to 5." sqref="D26:F28 D19:F21 D12:F14" xr:uid="{00000000-0002-0000-0200-000003000000}">
      <formula1>-0.9</formula1>
      <formula2>5</formula2>
    </dataValidation>
    <dataValidation type="decimal" showErrorMessage="1" errorTitle="Value outside the allowed range" error="Enter a number from -50 to 1." sqref="D32:H40" xr:uid="{00000000-0002-0000-0200-000013000000}">
      <formula1>-50</formula1>
      <formula2>1</formula2>
    </dataValidation>
    <dataValidation type="decimal" showErrorMessage="1" errorTitle="Value outside the allowed range" error="Enter a number from 0 to 200." sqref="D47:F51" xr:uid="{00000000-0002-0000-0200-000021000000}">
      <formula1>0</formula1>
      <formula2>200</formula2>
    </dataValidation>
    <dataValidation type="decimal" showErrorMessage="1" errorTitle="Value outside the allowed range" error="Enter a number from -0.2 to 0.5." sqref="D53:F53" xr:uid="{00000000-0002-0000-0200-000027000000}">
      <formula1>-0.2</formula1>
      <formula2>0.5</formula2>
    </dataValidation>
    <dataValidation type="decimal" showErrorMessage="1" errorTitle="Value outside the allowed range" error="Enter a number from 0 to 1." sqref="D59:F59" xr:uid="{00000000-0002-0000-0200-00002D000000}">
      <formula1>0</formula1>
      <formula2>1</formula2>
    </dataValidation>
    <dataValidation type="decimal" showErrorMessage="1" errorTitle="Value outside the allowed range" error="Enter a number from 1 to 10." sqref="D66:F66" xr:uid="{00000000-0002-0000-0200-000033000000}">
      <formula1>1</formula1>
      <formula2>10</formula2>
    </dataValidation>
    <dataValidation type="whole" showErrorMessage="1" errorTitle="Value outside the allowed range" error="Enter a whole number from 1 to 1e+09." sqref="D69:F69" xr:uid="{00000000-0002-0000-0200-000035000000}">
      <formula1>1</formula1>
      <formula2>1000000000</formula2>
    </dataValidation>
    <dataValidation type="decimal" showErrorMessage="1" errorTitle="Value outside the allowed range" error="Enter a number from 0 to 0.2." sqref="D70:F70" xr:uid="{00000000-0002-0000-0200-000036000000}">
      <formula1>0</formula1>
      <formula2>0.2</formula2>
    </dataValidation>
    <dataValidation type="decimal" showErrorMessage="1" errorTitle="Value outside the allowed range" error="Enter a number from 0 to 0.6." sqref="D71:F71" xr:uid="{00000000-0002-0000-0200-000037000000}">
      <formula1>0</formula1>
      <formula2>0.6</formula2>
    </dataValidation>
    <dataValidation type="whole" allowBlank="1" showErrorMessage="1" errorTitle="Value outside the allowed range" error="Enter a whole number from 1 to 60." sqref="D73:F73 D82:F82 D79:F79 D76:F76" xr:uid="{00000000-0002-0000-0200-000038000000}">
      <formula1>1</formula1>
      <formula2>60</formula2>
    </dataValidation>
    <dataValidation type="decimal" operator="greaterThanOrEqual" allowBlank="1" showErrorMessage="1" errorTitle="Value outside the allowed range" error="Enter a number of at least 0." sqref="D83:F84 D80:F81 D77:F78 D74:F75" xr:uid="{00000000-0002-0000-0200-000039000000}">
      <formula1>0</formula1>
    </dataValidation>
    <dataValidation type="whole" showErrorMessage="1" errorTitle="Value outside the allowed range" error="Enter a whole number from 13 to 60." sqref="D86:F86" xr:uid="{00000000-0002-0000-0200-000044000000}">
      <formula1>13</formula1>
      <formula2>60</formula2>
    </dataValidation>
    <dataValidation type="decimal" showErrorMessage="1" errorTitle="Value outside the allowed range" error="Enter a number from 0 to 20." sqref="D87:F87" xr:uid="{00000000-0002-0000-0200-000045000000}">
      <formula1>0</formula1>
      <formula2>20</formula2>
    </dataValidation>
  </dataValidations>
  <pageMargins left="0.4" right="0.4" top="0.5" bottom="0.5" header="0.5" footer="0.5"/>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B1:R53"/>
  <sheetViews>
    <sheetView showGridLines="0" workbookViewId="0">
      <pane xSplit="4" ySplit="5" topLeftCell="E6" activePane="bottomRight" state="frozen"/>
      <selection pane="topRight"/>
      <selection pane="bottomLeft"/>
      <selection pane="bottomRight"/>
    </sheetView>
  </sheetViews>
  <sheetFormatPr defaultRowHeight="14.5" x14ac:dyDescent="0.35"/>
  <cols>
    <col min="1" max="1" width="2" customWidth="1"/>
    <col min="2" max="2" width="30" customWidth="1"/>
    <col min="3" max="3" width="22" customWidth="1"/>
    <col min="4" max="4" width="11" customWidth="1"/>
    <col min="5" max="16" width="9.453125" customWidth="1"/>
    <col min="17" max="17" width="10" customWidth="1"/>
    <col min="18" max="18" width="9" customWidth="1"/>
  </cols>
  <sheetData>
    <row r="1" spans="2:18" ht="20" x14ac:dyDescent="0.4">
      <c r="B1" s="11" t="s">
        <v>26</v>
      </c>
    </row>
    <row r="2" spans="2:18" x14ac:dyDescent="0.35">
      <c r="B2" s="9" t="s">
        <v>95</v>
      </c>
    </row>
    <row r="3" spans="2:18" x14ac:dyDescent="0.35">
      <c r="B3" s="9" t="s">
        <v>224</v>
      </c>
    </row>
    <row r="4" spans="2:18" x14ac:dyDescent="0.35">
      <c r="B4" s="9" t="s">
        <v>225</v>
      </c>
    </row>
    <row r="5" spans="2:18" x14ac:dyDescent="0.35">
      <c r="B5" s="14" t="s">
        <v>139</v>
      </c>
      <c r="C5" s="15" t="s">
        <v>226</v>
      </c>
      <c r="D5" s="15" t="s">
        <v>140</v>
      </c>
      <c r="E5" s="15" t="s">
        <v>227</v>
      </c>
      <c r="F5" s="15" t="s">
        <v>228</v>
      </c>
      <c r="G5" s="15" t="s">
        <v>229</v>
      </c>
      <c r="H5" s="15" t="s">
        <v>230</v>
      </c>
      <c r="I5" s="15" t="s">
        <v>231</v>
      </c>
      <c r="J5" s="15" t="s">
        <v>232</v>
      </c>
      <c r="K5" s="15" t="s">
        <v>233</v>
      </c>
      <c r="L5" s="15" t="s">
        <v>234</v>
      </c>
      <c r="M5" s="15" t="s">
        <v>235</v>
      </c>
      <c r="N5" s="15" t="s">
        <v>236</v>
      </c>
      <c r="O5" s="15" t="s">
        <v>237</v>
      </c>
      <c r="P5" s="15" t="s">
        <v>238</v>
      </c>
      <c r="Q5" s="15" t="s">
        <v>239</v>
      </c>
      <c r="R5" s="15" t="s">
        <v>107</v>
      </c>
    </row>
    <row r="6" spans="2:18" x14ac:dyDescent="0.35">
      <c r="B6" s="3" t="s">
        <v>147</v>
      </c>
      <c r="C6" s="3" t="s">
        <v>141</v>
      </c>
      <c r="D6" s="3" t="s">
        <v>98</v>
      </c>
      <c r="E6" s="33">
        <v>0</v>
      </c>
      <c r="F6" s="33">
        <v>0</v>
      </c>
      <c r="G6" s="33">
        <v>0</v>
      </c>
      <c r="H6" s="33">
        <v>0</v>
      </c>
      <c r="I6" s="33">
        <v>0</v>
      </c>
      <c r="J6" s="33">
        <v>0</v>
      </c>
      <c r="K6" s="33">
        <v>0</v>
      </c>
      <c r="L6" s="33">
        <v>0</v>
      </c>
      <c r="M6" s="33">
        <v>0</v>
      </c>
      <c r="N6" s="33">
        <v>0.181954</v>
      </c>
      <c r="O6" s="33">
        <v>0.33381899999999998</v>
      </c>
      <c r="P6" s="33">
        <v>0.48422700000000002</v>
      </c>
      <c r="Q6" s="34">
        <f t="shared" ref="Q6:Q32" si="0">SUM(E6:P6)</f>
        <v>1</v>
      </c>
      <c r="R6" s="35" t="str">
        <f>IF(AND(COUNT(E6:P6)=12,MIN(E6:P6)&gt;=0,MAX(E6:P6)&lt;=1,OR(ABS(Q6-1)&lt;=0.000001,AND(Q6=0,Inputs!$D$10=0))),"OK","CHECK")</f>
        <v>OK</v>
      </c>
    </row>
    <row r="7" spans="2:18" x14ac:dyDescent="0.35">
      <c r="B7" s="3" t="s">
        <v>147</v>
      </c>
      <c r="C7" s="3" t="s">
        <v>141</v>
      </c>
      <c r="D7" s="3" t="s">
        <v>103</v>
      </c>
      <c r="E7" s="33">
        <v>0</v>
      </c>
      <c r="F7" s="33">
        <v>0</v>
      </c>
      <c r="G7" s="33">
        <v>0</v>
      </c>
      <c r="H7" s="33">
        <v>0</v>
      </c>
      <c r="I7" s="33">
        <v>0</v>
      </c>
      <c r="J7" s="33">
        <v>0</v>
      </c>
      <c r="K7" s="33">
        <v>0</v>
      </c>
      <c r="L7" s="33">
        <v>0</v>
      </c>
      <c r="M7" s="33">
        <v>0</v>
      </c>
      <c r="N7" s="33">
        <v>0.17927999999999999</v>
      </c>
      <c r="O7" s="33">
        <v>0.33286300000000002</v>
      </c>
      <c r="P7" s="33">
        <v>0.48785699999999999</v>
      </c>
      <c r="Q7" s="34">
        <f t="shared" si="0"/>
        <v>1</v>
      </c>
      <c r="R7" s="35" t="str">
        <f>IF(AND(COUNT(E7:P7)=12,MIN(E7:P7)&gt;=0,MAX(E7:P7)&lt;=1,OR(ABS(Q7-1)&lt;=0.000001,AND(Q7=0,Inputs!$E$10=0))),"OK","CHECK")</f>
        <v>OK</v>
      </c>
    </row>
    <row r="8" spans="2:18" x14ac:dyDescent="0.35">
      <c r="B8" s="3" t="s">
        <v>147</v>
      </c>
      <c r="C8" s="3" t="s">
        <v>141</v>
      </c>
      <c r="D8" s="3" t="s">
        <v>104</v>
      </c>
      <c r="E8" s="33">
        <v>0</v>
      </c>
      <c r="F8" s="33">
        <v>0</v>
      </c>
      <c r="G8" s="33">
        <v>0</v>
      </c>
      <c r="H8" s="33">
        <v>0</v>
      </c>
      <c r="I8" s="33">
        <v>0</v>
      </c>
      <c r="J8" s="33">
        <v>0</v>
      </c>
      <c r="K8" s="33">
        <v>0</v>
      </c>
      <c r="L8" s="33">
        <v>0</v>
      </c>
      <c r="M8" s="33">
        <v>0</v>
      </c>
      <c r="N8" s="33">
        <v>0.183946</v>
      </c>
      <c r="O8" s="33">
        <v>0.33449699999999999</v>
      </c>
      <c r="P8" s="33">
        <v>0.48155700000000001</v>
      </c>
      <c r="Q8" s="34">
        <f t="shared" si="0"/>
        <v>1</v>
      </c>
      <c r="R8" s="35" t="str">
        <f>IF(AND(COUNT(E8:P8)=12,MIN(E8:P8)&gt;=0,MAX(E8:P8)&lt;=1,OR(ABS(Q8-1)&lt;=0.000001,AND(Q8=0,Inputs!$F$10=0))),"OK","CHECK")</f>
        <v>OK</v>
      </c>
    </row>
    <row r="9" spans="2:18" x14ac:dyDescent="0.35">
      <c r="B9" s="3" t="s">
        <v>147</v>
      </c>
      <c r="C9" s="3" t="s">
        <v>142</v>
      </c>
      <c r="D9" s="3" t="s">
        <v>98</v>
      </c>
      <c r="E9" s="33">
        <v>2.8733000000000002E-2</v>
      </c>
      <c r="F9" s="33">
        <v>3.8606000000000001E-2</v>
      </c>
      <c r="G9" s="33">
        <v>4.8571999999999997E-2</v>
      </c>
      <c r="H9" s="33">
        <v>5.8592999999999999E-2</v>
      </c>
      <c r="I9" s="33">
        <v>6.8645999999999999E-2</v>
      </c>
      <c r="J9" s="33">
        <v>7.8717999999999996E-2</v>
      </c>
      <c r="K9" s="33">
        <v>8.8803999999999994E-2</v>
      </c>
      <c r="L9" s="33">
        <v>9.8905000000000007E-2</v>
      </c>
      <c r="M9" s="33">
        <v>0.10902000000000001</v>
      </c>
      <c r="N9" s="33">
        <v>0.11801</v>
      </c>
      <c r="O9" s="33">
        <v>0.12714</v>
      </c>
      <c r="P9" s="33">
        <v>0.13625300000000001</v>
      </c>
      <c r="Q9" s="34">
        <f t="shared" si="0"/>
        <v>1</v>
      </c>
      <c r="R9" s="35" t="str">
        <f>IF(AND(COUNT(E9:P9)=12,MIN(E9:P9)&gt;=0,MAX(E9:P9)&lt;=1,OR(ABS(Q9-1)&lt;=0.000001,AND(Q9=0,Inputs!$D$11=0))),"OK","CHECK")</f>
        <v>OK</v>
      </c>
    </row>
    <row r="10" spans="2:18" x14ac:dyDescent="0.35">
      <c r="B10" s="3" t="s">
        <v>147</v>
      </c>
      <c r="C10" s="3" t="s">
        <v>142</v>
      </c>
      <c r="D10" s="3" t="s">
        <v>103</v>
      </c>
      <c r="E10" s="33">
        <v>2.6852999999999998E-2</v>
      </c>
      <c r="F10" s="33">
        <v>3.6451999999999998E-2</v>
      </c>
      <c r="G10" s="33">
        <v>4.6342000000000001E-2</v>
      </c>
      <c r="H10" s="33">
        <v>5.6482999999999998E-2</v>
      </c>
      <c r="I10" s="33">
        <v>6.6837999999999995E-2</v>
      </c>
      <c r="J10" s="33">
        <v>7.7386999999999997E-2</v>
      </c>
      <c r="K10" s="33">
        <v>8.8110999999999995E-2</v>
      </c>
      <c r="L10" s="33">
        <v>9.9002999999999994E-2</v>
      </c>
      <c r="M10" s="33">
        <v>0.110053</v>
      </c>
      <c r="N10" s="33">
        <v>0.120298</v>
      </c>
      <c r="O10" s="33">
        <v>0.13078899999999999</v>
      </c>
      <c r="P10" s="33">
        <v>0.14139099999999999</v>
      </c>
      <c r="Q10" s="34">
        <f t="shared" si="0"/>
        <v>1</v>
      </c>
      <c r="R10" s="35" t="str">
        <f>IF(AND(COUNT(E10:P10)=12,MIN(E10:P10)&gt;=0,MAX(E10:P10)&lt;=1,OR(ABS(Q10-1)&lt;=0.000001,AND(Q10=0,Inputs!$E$11=0))),"OK","CHECK")</f>
        <v>OK</v>
      </c>
    </row>
    <row r="11" spans="2:18" x14ac:dyDescent="0.35">
      <c r="B11" s="3" t="s">
        <v>147</v>
      </c>
      <c r="C11" s="3" t="s">
        <v>142</v>
      </c>
      <c r="D11" s="3" t="s">
        <v>104</v>
      </c>
      <c r="E11" s="33">
        <v>3.1272000000000001E-2</v>
      </c>
      <c r="F11" s="33">
        <v>4.1327000000000003E-2</v>
      </c>
      <c r="G11" s="33">
        <v>5.1147999999999999E-2</v>
      </c>
      <c r="H11" s="33">
        <v>6.0741999999999997E-2</v>
      </c>
      <c r="I11" s="33">
        <v>7.0116999999999999E-2</v>
      </c>
      <c r="J11" s="33">
        <v>7.9283999999999993E-2</v>
      </c>
      <c r="K11" s="33">
        <v>8.8257000000000002E-2</v>
      </c>
      <c r="L11" s="33">
        <v>9.8019999999999996E-2</v>
      </c>
      <c r="M11" s="33">
        <v>0.107695</v>
      </c>
      <c r="N11" s="33">
        <v>0.115841</v>
      </c>
      <c r="O11" s="33">
        <v>0.124082</v>
      </c>
      <c r="P11" s="33">
        <v>0.132215</v>
      </c>
      <c r="Q11" s="34">
        <f t="shared" si="0"/>
        <v>1</v>
      </c>
      <c r="R11" s="35" t="str">
        <f>IF(AND(COUNT(E11:P11)=12,MIN(E11:P11)&gt;=0,MAX(E11:P11)&lt;=1,OR(ABS(Q11-1)&lt;=0.000001,AND(Q11=0,Inputs!$F$11=0))),"OK","CHECK")</f>
        <v>OK</v>
      </c>
    </row>
    <row r="12" spans="2:18" x14ac:dyDescent="0.35">
      <c r="B12" s="3" t="s">
        <v>147</v>
      </c>
      <c r="C12" s="3" t="s">
        <v>240</v>
      </c>
      <c r="D12" s="3" t="s">
        <v>98</v>
      </c>
      <c r="E12" s="33">
        <v>0</v>
      </c>
      <c r="F12" s="33">
        <v>0</v>
      </c>
      <c r="G12" s="33">
        <v>0</v>
      </c>
      <c r="H12" s="33">
        <v>0</v>
      </c>
      <c r="I12" s="33">
        <v>0</v>
      </c>
      <c r="J12" s="33">
        <v>0</v>
      </c>
      <c r="K12" s="33">
        <v>0</v>
      </c>
      <c r="L12" s="33">
        <v>0</v>
      </c>
      <c r="M12" s="33">
        <v>0</v>
      </c>
      <c r="N12" s="33">
        <v>0</v>
      </c>
      <c r="O12" s="33">
        <v>0</v>
      </c>
      <c r="P12" s="33">
        <v>0</v>
      </c>
      <c r="Q12" s="34">
        <f t="shared" si="0"/>
        <v>0</v>
      </c>
      <c r="R12" s="35" t="str">
        <f>IF(AND(COUNT(E12:P12)=12,MIN(E12:P12)&gt;=0,MAX(E12:P12)&lt;=1,OR(ABS(Q12-1)&lt;=0.000001,AND(Q12=0,Inputs!$D$15=0))),"OK","CHECK")</f>
        <v>OK</v>
      </c>
    </row>
    <row r="13" spans="2:18" x14ac:dyDescent="0.35">
      <c r="B13" s="3" t="s">
        <v>147</v>
      </c>
      <c r="C13" s="3" t="s">
        <v>240</v>
      </c>
      <c r="D13" s="3" t="s">
        <v>103</v>
      </c>
      <c r="E13" s="33">
        <v>0</v>
      </c>
      <c r="F13" s="33">
        <v>0</v>
      </c>
      <c r="G13" s="33">
        <v>0</v>
      </c>
      <c r="H13" s="33">
        <v>0</v>
      </c>
      <c r="I13" s="33">
        <v>0</v>
      </c>
      <c r="J13" s="33">
        <v>0</v>
      </c>
      <c r="K13" s="33">
        <v>0</v>
      </c>
      <c r="L13" s="33">
        <v>0</v>
      </c>
      <c r="M13" s="33">
        <v>0</v>
      </c>
      <c r="N13" s="33">
        <v>0</v>
      </c>
      <c r="O13" s="33">
        <v>0</v>
      </c>
      <c r="P13" s="33">
        <v>0</v>
      </c>
      <c r="Q13" s="34">
        <f t="shared" si="0"/>
        <v>0</v>
      </c>
      <c r="R13" s="35" t="str">
        <f>IF(AND(COUNT(E13:P13)=12,MIN(E13:P13)&gt;=0,MAX(E13:P13)&lt;=1,OR(ABS(Q13-1)&lt;=0.000001,AND(Q13=0,Inputs!$E$15=0))),"OK","CHECK")</f>
        <v>OK</v>
      </c>
    </row>
    <row r="14" spans="2:18" x14ac:dyDescent="0.35">
      <c r="B14" s="3" t="s">
        <v>147</v>
      </c>
      <c r="C14" s="3" t="s">
        <v>240</v>
      </c>
      <c r="D14" s="3" t="s">
        <v>104</v>
      </c>
      <c r="E14" s="33">
        <v>0</v>
      </c>
      <c r="F14" s="33">
        <v>0</v>
      </c>
      <c r="G14" s="33">
        <v>0</v>
      </c>
      <c r="H14" s="33">
        <v>0</v>
      </c>
      <c r="I14" s="33">
        <v>0</v>
      </c>
      <c r="J14" s="33">
        <v>0</v>
      </c>
      <c r="K14" s="33">
        <v>0</v>
      </c>
      <c r="L14" s="33">
        <v>0</v>
      </c>
      <c r="M14" s="33">
        <v>0</v>
      </c>
      <c r="N14" s="33">
        <v>0</v>
      </c>
      <c r="O14" s="33">
        <v>0</v>
      </c>
      <c r="P14" s="33">
        <v>0</v>
      </c>
      <c r="Q14" s="34">
        <f t="shared" si="0"/>
        <v>0</v>
      </c>
      <c r="R14" s="35" t="str">
        <f>IF(AND(COUNT(E14:P14)=12,MIN(E14:P14)&gt;=0,MAX(E14:P14)&lt;=1,OR(ABS(Q14-1)&lt;=0.000001,AND(Q14=0,Inputs!$F$15=0))),"OK","CHECK")</f>
        <v>OK</v>
      </c>
    </row>
    <row r="15" spans="2:18" x14ac:dyDescent="0.35">
      <c r="B15" s="3" t="s">
        <v>149</v>
      </c>
      <c r="C15" s="3" t="s">
        <v>141</v>
      </c>
      <c r="D15" s="3" t="s">
        <v>98</v>
      </c>
      <c r="E15" s="33">
        <v>0</v>
      </c>
      <c r="F15" s="33">
        <v>0</v>
      </c>
      <c r="G15" s="33">
        <v>0</v>
      </c>
      <c r="H15" s="33">
        <v>0</v>
      </c>
      <c r="I15" s="33">
        <v>0</v>
      </c>
      <c r="J15" s="33">
        <v>0</v>
      </c>
      <c r="K15" s="33">
        <v>0</v>
      </c>
      <c r="L15" s="33">
        <v>0</v>
      </c>
      <c r="M15" s="33">
        <v>0</v>
      </c>
      <c r="N15" s="33">
        <v>0</v>
      </c>
      <c r="O15" s="33">
        <v>0</v>
      </c>
      <c r="P15" s="33">
        <v>0</v>
      </c>
      <c r="Q15" s="34">
        <f t="shared" si="0"/>
        <v>0</v>
      </c>
      <c r="R15" s="35" t="str">
        <f>IF(AND(COUNT(E15:P15)=12,MIN(E15:P15)&gt;=0,MAX(E15:P15)&lt;=1,OR(ABS(Q15-1)&lt;=0.000001,AND(Q15=0,Inputs!$D$17=0))),"OK","CHECK")</f>
        <v>OK</v>
      </c>
    </row>
    <row r="16" spans="2:18" x14ac:dyDescent="0.35">
      <c r="B16" s="3" t="s">
        <v>149</v>
      </c>
      <c r="C16" s="3" t="s">
        <v>141</v>
      </c>
      <c r="D16" s="3" t="s">
        <v>103</v>
      </c>
      <c r="E16" s="33">
        <v>0</v>
      </c>
      <c r="F16" s="33">
        <v>0</v>
      </c>
      <c r="G16" s="33">
        <v>0</v>
      </c>
      <c r="H16" s="33">
        <v>0</v>
      </c>
      <c r="I16" s="33">
        <v>0</v>
      </c>
      <c r="J16" s="33">
        <v>0</v>
      </c>
      <c r="K16" s="33">
        <v>0</v>
      </c>
      <c r="L16" s="33">
        <v>0</v>
      </c>
      <c r="M16" s="33">
        <v>0</v>
      </c>
      <c r="N16" s="33">
        <v>0</v>
      </c>
      <c r="O16" s="33">
        <v>0</v>
      </c>
      <c r="P16" s="33">
        <v>0</v>
      </c>
      <c r="Q16" s="34">
        <f t="shared" si="0"/>
        <v>0</v>
      </c>
      <c r="R16" s="35" t="str">
        <f>IF(AND(COUNT(E16:P16)=12,MIN(E16:P16)&gt;=0,MAX(E16:P16)&lt;=1,OR(ABS(Q16-1)&lt;=0.000001,AND(Q16=0,Inputs!$E$17=0))),"OK","CHECK")</f>
        <v>OK</v>
      </c>
    </row>
    <row r="17" spans="2:18" x14ac:dyDescent="0.35">
      <c r="B17" s="3" t="s">
        <v>149</v>
      </c>
      <c r="C17" s="3" t="s">
        <v>141</v>
      </c>
      <c r="D17" s="3" t="s">
        <v>104</v>
      </c>
      <c r="E17" s="33">
        <v>0</v>
      </c>
      <c r="F17" s="33">
        <v>0</v>
      </c>
      <c r="G17" s="33">
        <v>0</v>
      </c>
      <c r="H17" s="33">
        <v>0</v>
      </c>
      <c r="I17" s="33">
        <v>0</v>
      </c>
      <c r="J17" s="33">
        <v>0</v>
      </c>
      <c r="K17" s="33">
        <v>0</v>
      </c>
      <c r="L17" s="33">
        <v>0</v>
      </c>
      <c r="M17" s="33">
        <v>0</v>
      </c>
      <c r="N17" s="33">
        <v>0</v>
      </c>
      <c r="O17" s="33">
        <v>0</v>
      </c>
      <c r="P17" s="33">
        <v>0</v>
      </c>
      <c r="Q17" s="34">
        <f t="shared" si="0"/>
        <v>0</v>
      </c>
      <c r="R17" s="35" t="str">
        <f>IF(AND(COUNT(E17:P17)=12,MIN(E17:P17)&gt;=0,MAX(E17:P17)&lt;=1,OR(ABS(Q17-1)&lt;=0.000001,AND(Q17=0,Inputs!$F$17=0))),"OK","CHECK")</f>
        <v>OK</v>
      </c>
    </row>
    <row r="18" spans="2:18" x14ac:dyDescent="0.35">
      <c r="B18" s="3" t="s">
        <v>149</v>
      </c>
      <c r="C18" s="3" t="s">
        <v>142</v>
      </c>
      <c r="D18" s="3" t="s">
        <v>98</v>
      </c>
      <c r="E18" s="33">
        <v>9.6290000000000004E-3</v>
      </c>
      <c r="F18" s="33">
        <v>2.0764000000000001E-2</v>
      </c>
      <c r="G18" s="33">
        <v>3.2552999999999999E-2</v>
      </c>
      <c r="H18" s="33">
        <v>4.5218000000000001E-2</v>
      </c>
      <c r="I18" s="33">
        <v>5.8567000000000001E-2</v>
      </c>
      <c r="J18" s="33">
        <v>7.2563000000000002E-2</v>
      </c>
      <c r="K18" s="33">
        <v>8.7134000000000003E-2</v>
      </c>
      <c r="L18" s="33">
        <v>0.102337</v>
      </c>
      <c r="M18" s="33">
        <v>0.11803900000000001</v>
      </c>
      <c r="N18" s="33">
        <v>0.13414200000000001</v>
      </c>
      <c r="O18" s="33">
        <v>0.15087800000000001</v>
      </c>
      <c r="P18" s="33">
        <v>0.16817599999999999</v>
      </c>
      <c r="Q18" s="34">
        <f t="shared" si="0"/>
        <v>1</v>
      </c>
      <c r="R18" s="35" t="str">
        <f>IF(AND(COUNT(E18:P18)=12,MIN(E18:P18)&gt;=0,MAX(E18:P18)&lt;=1,OR(ABS(Q18-1)&lt;=0.000001,AND(Q18=0,Inputs!$D$18=0))),"OK","CHECK")</f>
        <v>OK</v>
      </c>
    </row>
    <row r="19" spans="2:18" x14ac:dyDescent="0.35">
      <c r="B19" s="3" t="s">
        <v>149</v>
      </c>
      <c r="C19" s="3" t="s">
        <v>142</v>
      </c>
      <c r="D19" s="3" t="s">
        <v>103</v>
      </c>
      <c r="E19" s="33">
        <v>8.9599999999999992E-3</v>
      </c>
      <c r="F19" s="33">
        <v>1.9807999999999999E-2</v>
      </c>
      <c r="G19" s="33">
        <v>3.1455999999999998E-2</v>
      </c>
      <c r="H19" s="33">
        <v>4.4075999999999997E-2</v>
      </c>
      <c r="I19" s="33">
        <v>5.7493000000000002E-2</v>
      </c>
      <c r="J19" s="33">
        <v>7.1673000000000001E-2</v>
      </c>
      <c r="K19" s="33">
        <v>8.6552000000000004E-2</v>
      </c>
      <c r="L19" s="33">
        <v>0.10219300000000001</v>
      </c>
      <c r="M19" s="33">
        <v>0.118469</v>
      </c>
      <c r="N19" s="33">
        <v>0.13528499999999999</v>
      </c>
      <c r="O19" s="33">
        <v>0.15287100000000001</v>
      </c>
      <c r="P19" s="33">
        <v>0.17116400000000001</v>
      </c>
      <c r="Q19" s="34">
        <f t="shared" si="0"/>
        <v>1</v>
      </c>
      <c r="R19" s="35" t="str">
        <f>IF(AND(COUNT(E19:P19)=12,MIN(E19:P19)&gt;=0,MAX(E19:P19)&lt;=1,OR(ABS(Q19-1)&lt;=0.000001,AND(Q19=0,Inputs!$E$18=0))),"OK","CHECK")</f>
        <v>OK</v>
      </c>
    </row>
    <row r="20" spans="2:18" x14ac:dyDescent="0.35">
      <c r="B20" s="3" t="s">
        <v>149</v>
      </c>
      <c r="C20" s="3" t="s">
        <v>142</v>
      </c>
      <c r="D20" s="3" t="s">
        <v>104</v>
      </c>
      <c r="E20" s="33">
        <v>0</v>
      </c>
      <c r="F20" s="33">
        <v>0</v>
      </c>
      <c r="G20" s="33">
        <v>0</v>
      </c>
      <c r="H20" s="33">
        <v>0</v>
      </c>
      <c r="I20" s="33">
        <v>0</v>
      </c>
      <c r="J20" s="33">
        <v>0</v>
      </c>
      <c r="K20" s="33">
        <v>4.9807999999999998E-2</v>
      </c>
      <c r="L20" s="33">
        <v>0.100136</v>
      </c>
      <c r="M20" s="33">
        <v>0.14691599999999999</v>
      </c>
      <c r="N20" s="33">
        <v>0.191465</v>
      </c>
      <c r="O20" s="33">
        <v>0.23468900000000001</v>
      </c>
      <c r="P20" s="33">
        <v>0.27698600000000001</v>
      </c>
      <c r="Q20" s="34">
        <f t="shared" si="0"/>
        <v>1</v>
      </c>
      <c r="R20" s="35" t="str">
        <f>IF(AND(COUNT(E20:P20)=12,MIN(E20:P20)&gt;=0,MAX(E20:P20)&lt;=1,OR(ABS(Q20-1)&lt;=0.000001,AND(Q20=0,Inputs!$F$18=0))),"OK","CHECK")</f>
        <v>OK</v>
      </c>
    </row>
    <row r="21" spans="2:18" x14ac:dyDescent="0.35">
      <c r="B21" s="3" t="s">
        <v>149</v>
      </c>
      <c r="C21" s="3" t="s">
        <v>240</v>
      </c>
      <c r="D21" s="3" t="s">
        <v>98</v>
      </c>
      <c r="E21" s="33">
        <v>0</v>
      </c>
      <c r="F21" s="33">
        <v>0</v>
      </c>
      <c r="G21" s="33">
        <v>0</v>
      </c>
      <c r="H21" s="33">
        <v>0</v>
      </c>
      <c r="I21" s="33">
        <v>0</v>
      </c>
      <c r="J21" s="33">
        <v>0</v>
      </c>
      <c r="K21" s="33">
        <v>0</v>
      </c>
      <c r="L21" s="33">
        <v>0</v>
      </c>
      <c r="M21" s="33">
        <v>0</v>
      </c>
      <c r="N21" s="33">
        <v>0</v>
      </c>
      <c r="O21" s="33">
        <v>0</v>
      </c>
      <c r="P21" s="33">
        <v>0</v>
      </c>
      <c r="Q21" s="34">
        <f t="shared" si="0"/>
        <v>0</v>
      </c>
      <c r="R21" s="35" t="str">
        <f>IF(AND(COUNT(E21:P21)=12,MIN(E21:P21)&gt;=0,MAX(E21:P21)&lt;=1,OR(ABS(Q21-1)&lt;=0.000001,AND(Q21=0,Inputs!$D$22=0))),"OK","CHECK")</f>
        <v>OK</v>
      </c>
    </row>
    <row r="22" spans="2:18" x14ac:dyDescent="0.35">
      <c r="B22" s="3" t="s">
        <v>149</v>
      </c>
      <c r="C22" s="3" t="s">
        <v>240</v>
      </c>
      <c r="D22" s="3" t="s">
        <v>103</v>
      </c>
      <c r="E22" s="33">
        <v>0</v>
      </c>
      <c r="F22" s="33">
        <v>0</v>
      </c>
      <c r="G22" s="33">
        <v>0</v>
      </c>
      <c r="H22" s="33">
        <v>0</v>
      </c>
      <c r="I22" s="33">
        <v>0</v>
      </c>
      <c r="J22" s="33">
        <v>0</v>
      </c>
      <c r="K22" s="33">
        <v>0</v>
      </c>
      <c r="L22" s="33">
        <v>0</v>
      </c>
      <c r="M22" s="33">
        <v>0</v>
      </c>
      <c r="N22" s="33">
        <v>0</v>
      </c>
      <c r="O22" s="33">
        <v>0</v>
      </c>
      <c r="P22" s="33">
        <v>0</v>
      </c>
      <c r="Q22" s="34">
        <f t="shared" si="0"/>
        <v>0</v>
      </c>
      <c r="R22" s="35" t="str">
        <f>IF(AND(COUNT(E22:P22)=12,MIN(E22:P22)&gt;=0,MAX(E22:P22)&lt;=1,OR(ABS(Q22-1)&lt;=0.000001,AND(Q22=0,Inputs!$E$22=0))),"OK","CHECK")</f>
        <v>OK</v>
      </c>
    </row>
    <row r="23" spans="2:18" x14ac:dyDescent="0.35">
      <c r="B23" s="3" t="s">
        <v>149</v>
      </c>
      <c r="C23" s="3" t="s">
        <v>240</v>
      </c>
      <c r="D23" s="3" t="s">
        <v>104</v>
      </c>
      <c r="E23" s="33">
        <v>0</v>
      </c>
      <c r="F23" s="33">
        <v>0</v>
      </c>
      <c r="G23" s="33">
        <v>0</v>
      </c>
      <c r="H23" s="33">
        <v>0</v>
      </c>
      <c r="I23" s="33">
        <v>0</v>
      </c>
      <c r="J23" s="33">
        <v>0</v>
      </c>
      <c r="K23" s="33">
        <v>0</v>
      </c>
      <c r="L23" s="33">
        <v>0</v>
      </c>
      <c r="M23" s="33">
        <v>0</v>
      </c>
      <c r="N23" s="33">
        <v>0</v>
      </c>
      <c r="O23" s="33">
        <v>0</v>
      </c>
      <c r="P23" s="33">
        <v>0</v>
      </c>
      <c r="Q23" s="34">
        <f t="shared" si="0"/>
        <v>0</v>
      </c>
      <c r="R23" s="35" t="str">
        <f>IF(AND(COUNT(E23:P23)=12,MIN(E23:P23)&gt;=0,MAX(E23:P23)&lt;=1,OR(ABS(Q23-1)&lt;=0.000001,AND(Q23=0,Inputs!$F$22=0))),"OK","CHECK")</f>
        <v>OK</v>
      </c>
    </row>
    <row r="24" spans="2:18" x14ac:dyDescent="0.35">
      <c r="B24" s="3" t="s">
        <v>150</v>
      </c>
      <c r="C24" s="3" t="s">
        <v>141</v>
      </c>
      <c r="D24" s="3" t="s">
        <v>98</v>
      </c>
      <c r="E24" s="33">
        <v>0</v>
      </c>
      <c r="F24" s="33">
        <v>0</v>
      </c>
      <c r="G24" s="33">
        <v>0</v>
      </c>
      <c r="H24" s="33">
        <v>0</v>
      </c>
      <c r="I24" s="33">
        <v>0</v>
      </c>
      <c r="J24" s="33">
        <v>0</v>
      </c>
      <c r="K24" s="33">
        <v>0</v>
      </c>
      <c r="L24" s="33">
        <v>0</v>
      </c>
      <c r="M24" s="33">
        <v>0</v>
      </c>
      <c r="N24" s="33">
        <v>0</v>
      </c>
      <c r="O24" s="33">
        <v>0</v>
      </c>
      <c r="P24" s="33">
        <v>0</v>
      </c>
      <c r="Q24" s="34">
        <f t="shared" si="0"/>
        <v>0</v>
      </c>
      <c r="R24" s="35" t="str">
        <f>IF(AND(COUNT(E24:P24)=12,MIN(E24:P24)&gt;=0,MAX(E24:P24)&lt;=1,OR(ABS(Q24-1)&lt;=0.000001,AND(Q24=0,Inputs!$D$24=0))),"OK","CHECK")</f>
        <v>OK</v>
      </c>
    </row>
    <row r="25" spans="2:18" x14ac:dyDescent="0.35">
      <c r="B25" s="3" t="s">
        <v>150</v>
      </c>
      <c r="C25" s="3" t="s">
        <v>141</v>
      </c>
      <c r="D25" s="3" t="s">
        <v>103</v>
      </c>
      <c r="E25" s="33">
        <v>0</v>
      </c>
      <c r="F25" s="33">
        <v>0</v>
      </c>
      <c r="G25" s="33">
        <v>0</v>
      </c>
      <c r="H25" s="33">
        <v>0</v>
      </c>
      <c r="I25" s="33">
        <v>0</v>
      </c>
      <c r="J25" s="33">
        <v>0</v>
      </c>
      <c r="K25" s="33">
        <v>0</v>
      </c>
      <c r="L25" s="33">
        <v>0</v>
      </c>
      <c r="M25" s="33">
        <v>0</v>
      </c>
      <c r="N25" s="33">
        <v>0</v>
      </c>
      <c r="O25" s="33">
        <v>0</v>
      </c>
      <c r="P25" s="33">
        <v>0</v>
      </c>
      <c r="Q25" s="34">
        <f t="shared" si="0"/>
        <v>0</v>
      </c>
      <c r="R25" s="35" t="str">
        <f>IF(AND(COUNT(E25:P25)=12,MIN(E25:P25)&gt;=0,MAX(E25:P25)&lt;=1,OR(ABS(Q25-1)&lt;=0.000001,AND(Q25=0,Inputs!$E$24=0))),"OK","CHECK")</f>
        <v>OK</v>
      </c>
    </row>
    <row r="26" spans="2:18" x14ac:dyDescent="0.35">
      <c r="B26" s="3" t="s">
        <v>150</v>
      </c>
      <c r="C26" s="3" t="s">
        <v>141</v>
      </c>
      <c r="D26" s="3" t="s">
        <v>104</v>
      </c>
      <c r="E26" s="33">
        <v>0</v>
      </c>
      <c r="F26" s="33">
        <v>0</v>
      </c>
      <c r="G26" s="33">
        <v>0</v>
      </c>
      <c r="H26" s="33">
        <v>0</v>
      </c>
      <c r="I26" s="33">
        <v>0</v>
      </c>
      <c r="J26" s="33">
        <v>0</v>
      </c>
      <c r="K26" s="33">
        <v>0</v>
      </c>
      <c r="L26" s="33">
        <v>0</v>
      </c>
      <c r="M26" s="33">
        <v>0</v>
      </c>
      <c r="N26" s="33">
        <v>0</v>
      </c>
      <c r="O26" s="33">
        <v>0</v>
      </c>
      <c r="P26" s="33">
        <v>0</v>
      </c>
      <c r="Q26" s="34">
        <f t="shared" si="0"/>
        <v>0</v>
      </c>
      <c r="R26" s="35" t="str">
        <f>IF(AND(COUNT(E26:P26)=12,MIN(E26:P26)&gt;=0,MAX(E26:P26)&lt;=1,OR(ABS(Q26-1)&lt;=0.000001,AND(Q26=0,Inputs!$F$24=0))),"OK","CHECK")</f>
        <v>OK</v>
      </c>
    </row>
    <row r="27" spans="2:18" x14ac:dyDescent="0.35">
      <c r="B27" s="3" t="s">
        <v>150</v>
      </c>
      <c r="C27" s="3" t="s">
        <v>142</v>
      </c>
      <c r="D27" s="3" t="s">
        <v>98</v>
      </c>
      <c r="E27" s="33">
        <v>0</v>
      </c>
      <c r="F27" s="33">
        <v>0</v>
      </c>
      <c r="G27" s="33">
        <v>0</v>
      </c>
      <c r="H27" s="33">
        <v>0</v>
      </c>
      <c r="I27" s="33">
        <v>0</v>
      </c>
      <c r="J27" s="33">
        <v>0</v>
      </c>
      <c r="K27" s="33">
        <v>0</v>
      </c>
      <c r="L27" s="33">
        <v>0</v>
      </c>
      <c r="M27" s="33">
        <v>0</v>
      </c>
      <c r="N27" s="33">
        <v>0</v>
      </c>
      <c r="O27" s="33">
        <v>0</v>
      </c>
      <c r="P27" s="33">
        <v>0</v>
      </c>
      <c r="Q27" s="34">
        <f t="shared" si="0"/>
        <v>0</v>
      </c>
      <c r="R27" s="35" t="str">
        <f>IF(AND(COUNT(E27:P27)=12,MIN(E27:P27)&gt;=0,MAX(E27:P27)&lt;=1,OR(ABS(Q27-1)&lt;=0.000001,AND(Q27=0,Inputs!$D$25=0))),"OK","CHECK")</f>
        <v>OK</v>
      </c>
    </row>
    <row r="28" spans="2:18" x14ac:dyDescent="0.35">
      <c r="B28" s="3" t="s">
        <v>150</v>
      </c>
      <c r="C28" s="3" t="s">
        <v>142</v>
      </c>
      <c r="D28" s="3" t="s">
        <v>103</v>
      </c>
      <c r="E28" s="33">
        <v>0</v>
      </c>
      <c r="F28" s="33">
        <v>0</v>
      </c>
      <c r="G28" s="33">
        <v>0</v>
      </c>
      <c r="H28" s="33">
        <v>0</v>
      </c>
      <c r="I28" s="33">
        <v>0</v>
      </c>
      <c r="J28" s="33">
        <v>0</v>
      </c>
      <c r="K28" s="33">
        <v>0</v>
      </c>
      <c r="L28" s="33">
        <v>0</v>
      </c>
      <c r="M28" s="33">
        <v>0</v>
      </c>
      <c r="N28" s="33">
        <v>0</v>
      </c>
      <c r="O28" s="33">
        <v>0</v>
      </c>
      <c r="P28" s="33">
        <v>0</v>
      </c>
      <c r="Q28" s="34">
        <f t="shared" si="0"/>
        <v>0</v>
      </c>
      <c r="R28" s="35" t="str">
        <f>IF(AND(COUNT(E28:P28)=12,MIN(E28:P28)&gt;=0,MAX(E28:P28)&lt;=1,OR(ABS(Q28-1)&lt;=0.000001,AND(Q28=0,Inputs!$E$25=0))),"OK","CHECK")</f>
        <v>OK</v>
      </c>
    </row>
    <row r="29" spans="2:18" x14ac:dyDescent="0.35">
      <c r="B29" s="3" t="s">
        <v>150</v>
      </c>
      <c r="C29" s="3" t="s">
        <v>142</v>
      </c>
      <c r="D29" s="3" t="s">
        <v>104</v>
      </c>
      <c r="E29" s="33">
        <v>0</v>
      </c>
      <c r="F29" s="33">
        <v>0</v>
      </c>
      <c r="G29" s="33">
        <v>0</v>
      </c>
      <c r="H29" s="33">
        <v>0</v>
      </c>
      <c r="I29" s="33">
        <v>0</v>
      </c>
      <c r="J29" s="33">
        <v>0</v>
      </c>
      <c r="K29" s="33">
        <v>0</v>
      </c>
      <c r="L29" s="33">
        <v>0</v>
      </c>
      <c r="M29" s="33">
        <v>0</v>
      </c>
      <c r="N29" s="33">
        <v>0</v>
      </c>
      <c r="O29" s="33">
        <v>0</v>
      </c>
      <c r="P29" s="33">
        <v>0</v>
      </c>
      <c r="Q29" s="34">
        <f t="shared" si="0"/>
        <v>0</v>
      </c>
      <c r="R29" s="35" t="str">
        <f>IF(AND(COUNT(E29:P29)=12,MIN(E29:P29)&gt;=0,MAX(E29:P29)&lt;=1,OR(ABS(Q29-1)&lt;=0.000001,AND(Q29=0,Inputs!$F$25=0))),"OK","CHECK")</f>
        <v>OK</v>
      </c>
    </row>
    <row r="30" spans="2:18" x14ac:dyDescent="0.35">
      <c r="B30" s="3" t="s">
        <v>150</v>
      </c>
      <c r="C30" s="3" t="s">
        <v>240</v>
      </c>
      <c r="D30" s="3" t="s">
        <v>98</v>
      </c>
      <c r="E30" s="33">
        <v>1.2821000000000001E-2</v>
      </c>
      <c r="F30" s="33">
        <v>2.5641000000000001E-2</v>
      </c>
      <c r="G30" s="33">
        <v>3.8462000000000003E-2</v>
      </c>
      <c r="H30" s="33">
        <v>5.1282000000000001E-2</v>
      </c>
      <c r="I30" s="33">
        <v>6.4102999999999993E-2</v>
      </c>
      <c r="J30" s="33">
        <v>7.6923000000000005E-2</v>
      </c>
      <c r="K30" s="33">
        <v>8.9744000000000004E-2</v>
      </c>
      <c r="L30" s="33">
        <v>0.102564</v>
      </c>
      <c r="M30" s="33">
        <v>0.115385</v>
      </c>
      <c r="N30" s="33">
        <v>0.12820500000000001</v>
      </c>
      <c r="O30" s="33">
        <v>0.14102600000000001</v>
      </c>
      <c r="P30" s="33">
        <v>0.15384400000000001</v>
      </c>
      <c r="Q30" s="34">
        <f t="shared" si="0"/>
        <v>1</v>
      </c>
      <c r="R30" s="35" t="str">
        <f>IF(AND(COUNT(E30:P30)=12,MIN(E30:P30)&gt;=0,MAX(E30:P30)&lt;=1,OR(ABS(Q30-1)&lt;=0.000001,AND(Q30=0,Inputs!$D$29=0))),"OK","CHECK")</f>
        <v>OK</v>
      </c>
    </row>
    <row r="31" spans="2:18" x14ac:dyDescent="0.35">
      <c r="B31" s="3" t="s">
        <v>150</v>
      </c>
      <c r="C31" s="3" t="s">
        <v>240</v>
      </c>
      <c r="D31" s="3" t="s">
        <v>103</v>
      </c>
      <c r="E31" s="33">
        <v>1.2821000000000001E-2</v>
      </c>
      <c r="F31" s="33">
        <v>2.5641000000000001E-2</v>
      </c>
      <c r="G31" s="33">
        <v>3.8462000000000003E-2</v>
      </c>
      <c r="H31" s="33">
        <v>5.1282000000000001E-2</v>
      </c>
      <c r="I31" s="33">
        <v>6.4102999999999993E-2</v>
      </c>
      <c r="J31" s="33">
        <v>7.6923000000000005E-2</v>
      </c>
      <c r="K31" s="33">
        <v>8.9744000000000004E-2</v>
      </c>
      <c r="L31" s="33">
        <v>0.102564</v>
      </c>
      <c r="M31" s="33">
        <v>0.115385</v>
      </c>
      <c r="N31" s="33">
        <v>0.12820500000000001</v>
      </c>
      <c r="O31" s="33">
        <v>0.14102600000000001</v>
      </c>
      <c r="P31" s="33">
        <v>0.15384400000000001</v>
      </c>
      <c r="Q31" s="34">
        <f t="shared" si="0"/>
        <v>1</v>
      </c>
      <c r="R31" s="35" t="str">
        <f>IF(AND(COUNT(E31:P31)=12,MIN(E31:P31)&gt;=0,MAX(E31:P31)&lt;=1,OR(ABS(Q31-1)&lt;=0.000001,AND(Q31=0,Inputs!$E$29=0))),"OK","CHECK")</f>
        <v>OK</v>
      </c>
    </row>
    <row r="32" spans="2:18" x14ac:dyDescent="0.35">
      <c r="B32" s="3" t="s">
        <v>150</v>
      </c>
      <c r="C32" s="3" t="s">
        <v>240</v>
      </c>
      <c r="D32" s="3" t="s">
        <v>104</v>
      </c>
      <c r="E32" s="33">
        <v>1.2821000000000001E-2</v>
      </c>
      <c r="F32" s="33">
        <v>2.5641000000000001E-2</v>
      </c>
      <c r="G32" s="33">
        <v>3.8462000000000003E-2</v>
      </c>
      <c r="H32" s="33">
        <v>5.1282000000000001E-2</v>
      </c>
      <c r="I32" s="33">
        <v>6.4102999999999993E-2</v>
      </c>
      <c r="J32" s="33">
        <v>7.6923000000000005E-2</v>
      </c>
      <c r="K32" s="33">
        <v>8.9744000000000004E-2</v>
      </c>
      <c r="L32" s="33">
        <v>0.102564</v>
      </c>
      <c r="M32" s="33">
        <v>0.115385</v>
      </c>
      <c r="N32" s="33">
        <v>0.12820500000000001</v>
      </c>
      <c r="O32" s="33">
        <v>0.14102600000000001</v>
      </c>
      <c r="P32" s="33">
        <v>0.15384400000000001</v>
      </c>
      <c r="Q32" s="34">
        <f t="shared" si="0"/>
        <v>1</v>
      </c>
      <c r="R32" s="35" t="str">
        <f>IF(AND(COUNT(E32:P32)=12,MIN(E32:P32)&gt;=0,MAX(E32:P32)&lt;=1,OR(ABS(Q32-1)&lt;=0.000001,AND(Q32=0,Inputs!$F$29=0))),"OK","CHECK")</f>
        <v>OK</v>
      </c>
    </row>
    <row r="34" spans="2:18" x14ac:dyDescent="0.35">
      <c r="B34" s="16" t="s">
        <v>241</v>
      </c>
      <c r="C34" s="17"/>
      <c r="D34" s="17"/>
      <c r="E34" s="17"/>
      <c r="F34" s="17"/>
      <c r="G34" s="17"/>
      <c r="H34" s="17"/>
      <c r="I34" s="17"/>
      <c r="J34" s="17"/>
      <c r="K34" s="17"/>
      <c r="L34" s="17"/>
      <c r="M34" s="17"/>
      <c r="N34" s="17"/>
      <c r="O34" s="17"/>
      <c r="P34" s="17"/>
      <c r="Q34" s="17"/>
      <c r="R34" s="17"/>
    </row>
    <row r="35" spans="2:18" x14ac:dyDescent="0.35">
      <c r="B35" s="14" t="s">
        <v>242</v>
      </c>
      <c r="C35" s="15" t="s">
        <v>226</v>
      </c>
      <c r="D35" s="15" t="s">
        <v>140</v>
      </c>
      <c r="E35" s="15" t="s">
        <v>227</v>
      </c>
      <c r="F35" s="15" t="s">
        <v>228</v>
      </c>
      <c r="G35" s="15" t="s">
        <v>229</v>
      </c>
      <c r="H35" s="15" t="s">
        <v>230</v>
      </c>
      <c r="I35" s="15" t="s">
        <v>231</v>
      </c>
      <c r="J35" s="15" t="s">
        <v>232</v>
      </c>
      <c r="K35" s="15" t="s">
        <v>233</v>
      </c>
      <c r="L35" s="15" t="s">
        <v>234</v>
      </c>
      <c r="M35" s="15" t="s">
        <v>235</v>
      </c>
      <c r="N35" s="15" t="s">
        <v>236</v>
      </c>
      <c r="O35" s="15" t="s">
        <v>237</v>
      </c>
      <c r="P35" s="15" t="s">
        <v>238</v>
      </c>
      <c r="Q35" s="15" t="s">
        <v>239</v>
      </c>
      <c r="R35" s="15" t="s">
        <v>107</v>
      </c>
    </row>
    <row r="36" spans="2:18" x14ac:dyDescent="0.35">
      <c r="B36" s="3" t="s">
        <v>160</v>
      </c>
      <c r="C36" s="3" t="s">
        <v>141</v>
      </c>
      <c r="D36" s="3" t="s">
        <v>98</v>
      </c>
      <c r="E36" s="33">
        <v>2.8846E-2</v>
      </c>
      <c r="F36" s="33">
        <v>3.8462000000000003E-2</v>
      </c>
      <c r="G36" s="33">
        <v>4.8077000000000002E-2</v>
      </c>
      <c r="H36" s="33">
        <v>6.7308000000000007E-2</v>
      </c>
      <c r="I36" s="33">
        <v>7.6923000000000005E-2</v>
      </c>
      <c r="J36" s="33">
        <v>7.6923000000000005E-2</v>
      </c>
      <c r="K36" s="33">
        <v>7.6923000000000005E-2</v>
      </c>
      <c r="L36" s="33">
        <v>9.6154000000000003E-2</v>
      </c>
      <c r="M36" s="33">
        <v>0.115385</v>
      </c>
      <c r="N36" s="33">
        <v>0.125</v>
      </c>
      <c r="O36" s="33">
        <v>0.125</v>
      </c>
      <c r="P36" s="33">
        <v>0.124999</v>
      </c>
      <c r="Q36" s="34">
        <f t="shared" ref="Q36:Q53" si="1">SUM(E36:P36)</f>
        <v>1</v>
      </c>
      <c r="R36" s="35" t="str">
        <f>IF(AND(COUNT(E36:P36)=12,MIN(E36:P36)&gt;=0,MAX(E36:P36)&lt;=1,OR(ABS(Q36-1)&lt;=0.000001,AND(Q36=0,Inputs!$D$47=0))),"OK","CHECK")</f>
        <v>OK</v>
      </c>
    </row>
    <row r="37" spans="2:18" x14ac:dyDescent="0.35">
      <c r="B37" s="3" t="s">
        <v>160</v>
      </c>
      <c r="C37" s="3" t="s">
        <v>141</v>
      </c>
      <c r="D37" s="3" t="s">
        <v>103</v>
      </c>
      <c r="E37" s="33">
        <v>2.8846E-2</v>
      </c>
      <c r="F37" s="33">
        <v>3.8462000000000003E-2</v>
      </c>
      <c r="G37" s="33">
        <v>4.8077000000000002E-2</v>
      </c>
      <c r="H37" s="33">
        <v>6.7308000000000007E-2</v>
      </c>
      <c r="I37" s="33">
        <v>7.6923000000000005E-2</v>
      </c>
      <c r="J37" s="33">
        <v>7.6923000000000005E-2</v>
      </c>
      <c r="K37" s="33">
        <v>7.6923000000000005E-2</v>
      </c>
      <c r="L37" s="33">
        <v>9.6154000000000003E-2</v>
      </c>
      <c r="M37" s="33">
        <v>0.115385</v>
      </c>
      <c r="N37" s="33">
        <v>0.125</v>
      </c>
      <c r="O37" s="33">
        <v>0.125</v>
      </c>
      <c r="P37" s="33">
        <v>0.124999</v>
      </c>
      <c r="Q37" s="34">
        <f t="shared" si="1"/>
        <v>1</v>
      </c>
      <c r="R37" s="35" t="str">
        <f>IF(AND(COUNT(E37:P37)=12,MIN(E37:P37)&gt;=0,MAX(E37:P37)&lt;=1,OR(ABS(Q37-1)&lt;=0.000001,AND(Q37=0,Inputs!$E$47=0))),"OK","CHECK")</f>
        <v>OK</v>
      </c>
    </row>
    <row r="38" spans="2:18" x14ac:dyDescent="0.35">
      <c r="B38" s="3" t="s">
        <v>160</v>
      </c>
      <c r="C38" s="3" t="s">
        <v>141</v>
      </c>
      <c r="D38" s="3" t="s">
        <v>104</v>
      </c>
      <c r="E38" s="33">
        <v>2.8846E-2</v>
      </c>
      <c r="F38" s="33">
        <v>3.8462000000000003E-2</v>
      </c>
      <c r="G38" s="33">
        <v>4.8077000000000002E-2</v>
      </c>
      <c r="H38" s="33">
        <v>6.7308000000000007E-2</v>
      </c>
      <c r="I38" s="33">
        <v>7.6923000000000005E-2</v>
      </c>
      <c r="J38" s="33">
        <v>7.6923000000000005E-2</v>
      </c>
      <c r="K38" s="33">
        <v>7.6923000000000005E-2</v>
      </c>
      <c r="L38" s="33">
        <v>9.6154000000000003E-2</v>
      </c>
      <c r="M38" s="33">
        <v>0.115385</v>
      </c>
      <c r="N38" s="33">
        <v>0.125</v>
      </c>
      <c r="O38" s="33">
        <v>0.125</v>
      </c>
      <c r="P38" s="33">
        <v>0.124999</v>
      </c>
      <c r="Q38" s="34">
        <f t="shared" si="1"/>
        <v>1</v>
      </c>
      <c r="R38" s="35" t="str">
        <f>IF(AND(COUNT(E38:P38)=12,MIN(E38:P38)&gt;=0,MAX(E38:P38)&lt;=1,OR(ABS(Q38-1)&lt;=0.000001,AND(Q38=0,Inputs!$F$47=0))),"OK","CHECK")</f>
        <v>OK</v>
      </c>
    </row>
    <row r="39" spans="2:18" x14ac:dyDescent="0.35">
      <c r="B39" s="3" t="s">
        <v>160</v>
      </c>
      <c r="C39" s="3" t="s">
        <v>142</v>
      </c>
      <c r="D39" s="3" t="s">
        <v>98</v>
      </c>
      <c r="E39" s="33">
        <v>0.08</v>
      </c>
      <c r="F39" s="33">
        <v>0.08</v>
      </c>
      <c r="G39" s="33">
        <v>0.08</v>
      </c>
      <c r="H39" s="33">
        <v>0.08</v>
      </c>
      <c r="I39" s="33">
        <v>0.08</v>
      </c>
      <c r="J39" s="33">
        <v>0.08</v>
      </c>
      <c r="K39" s="33">
        <v>8.5713999999999999E-2</v>
      </c>
      <c r="L39" s="33">
        <v>8.5713999999999999E-2</v>
      </c>
      <c r="M39" s="33">
        <v>8.5713999999999999E-2</v>
      </c>
      <c r="N39" s="33">
        <v>8.5713999999999999E-2</v>
      </c>
      <c r="O39" s="33">
        <v>8.5713999999999999E-2</v>
      </c>
      <c r="P39" s="33">
        <v>9.1429999999999997E-2</v>
      </c>
      <c r="Q39" s="34">
        <f t="shared" si="1"/>
        <v>0.99999999999999989</v>
      </c>
      <c r="R39" s="35" t="str">
        <f>IF(AND(COUNT(E39:P39)=12,MIN(E39:P39)&gt;=0,MAX(E39:P39)&lt;=1,OR(ABS(Q39-1)&lt;=0.000001,AND(Q39=0,Inputs!$D$48=0))),"OK","CHECK")</f>
        <v>OK</v>
      </c>
    </row>
    <row r="40" spans="2:18" x14ac:dyDescent="0.35">
      <c r="B40" s="3" t="s">
        <v>160</v>
      </c>
      <c r="C40" s="3" t="s">
        <v>142</v>
      </c>
      <c r="D40" s="3" t="s">
        <v>103</v>
      </c>
      <c r="E40" s="33">
        <v>0.08</v>
      </c>
      <c r="F40" s="33">
        <v>0.08</v>
      </c>
      <c r="G40" s="33">
        <v>0.08</v>
      </c>
      <c r="H40" s="33">
        <v>0.08</v>
      </c>
      <c r="I40" s="33">
        <v>0.08</v>
      </c>
      <c r="J40" s="33">
        <v>0.08</v>
      </c>
      <c r="K40" s="33">
        <v>8.5713999999999999E-2</v>
      </c>
      <c r="L40" s="33">
        <v>8.5713999999999999E-2</v>
      </c>
      <c r="M40" s="33">
        <v>8.5713999999999999E-2</v>
      </c>
      <c r="N40" s="33">
        <v>8.5713999999999999E-2</v>
      </c>
      <c r="O40" s="33">
        <v>8.5713999999999999E-2</v>
      </c>
      <c r="P40" s="33">
        <v>9.1429999999999997E-2</v>
      </c>
      <c r="Q40" s="34">
        <f t="shared" si="1"/>
        <v>0.99999999999999989</v>
      </c>
      <c r="R40" s="35" t="str">
        <f>IF(AND(COUNT(E40:P40)=12,MIN(E40:P40)&gt;=0,MAX(E40:P40)&lt;=1,OR(ABS(Q40-1)&lt;=0.000001,AND(Q40=0,Inputs!$E$48=0))),"OK","CHECK")</f>
        <v>OK</v>
      </c>
    </row>
    <row r="41" spans="2:18" x14ac:dyDescent="0.35">
      <c r="B41" s="3" t="s">
        <v>160</v>
      </c>
      <c r="C41" s="3" t="s">
        <v>142</v>
      </c>
      <c r="D41" s="3" t="s">
        <v>104</v>
      </c>
      <c r="E41" s="33">
        <v>0.08</v>
      </c>
      <c r="F41" s="33">
        <v>0.08</v>
      </c>
      <c r="G41" s="33">
        <v>0.08</v>
      </c>
      <c r="H41" s="33">
        <v>0.08</v>
      </c>
      <c r="I41" s="33">
        <v>0.08</v>
      </c>
      <c r="J41" s="33">
        <v>0.08</v>
      </c>
      <c r="K41" s="33">
        <v>8.5713999999999999E-2</v>
      </c>
      <c r="L41" s="33">
        <v>8.5713999999999999E-2</v>
      </c>
      <c r="M41" s="33">
        <v>8.5713999999999999E-2</v>
      </c>
      <c r="N41" s="33">
        <v>8.5713999999999999E-2</v>
      </c>
      <c r="O41" s="33">
        <v>8.5713999999999999E-2</v>
      </c>
      <c r="P41" s="33">
        <v>9.1429999999999997E-2</v>
      </c>
      <c r="Q41" s="34">
        <f t="shared" si="1"/>
        <v>0.99999999999999989</v>
      </c>
      <c r="R41" s="35" t="str">
        <f>IF(AND(COUNT(E41:P41)=12,MIN(E41:P41)&gt;=0,MAX(E41:P41)&lt;=1,OR(ABS(Q41-1)&lt;=0.000001,AND(Q41=0,Inputs!$F$48=0))),"OK","CHECK")</f>
        <v>OK</v>
      </c>
    </row>
    <row r="42" spans="2:18" x14ac:dyDescent="0.35">
      <c r="B42" s="3" t="s">
        <v>243</v>
      </c>
      <c r="C42" s="3" t="s">
        <v>141</v>
      </c>
      <c r="D42" s="3" t="s">
        <v>98</v>
      </c>
      <c r="E42" s="33">
        <v>0</v>
      </c>
      <c r="F42" s="33">
        <v>0</v>
      </c>
      <c r="G42" s="33">
        <v>0</v>
      </c>
      <c r="H42" s="33">
        <v>0</v>
      </c>
      <c r="I42" s="33">
        <v>0</v>
      </c>
      <c r="J42" s="33">
        <v>0</v>
      </c>
      <c r="K42" s="33">
        <v>0</v>
      </c>
      <c r="L42" s="33">
        <v>2.6275E-2</v>
      </c>
      <c r="M42" s="33">
        <v>2.6275E-2</v>
      </c>
      <c r="N42" s="33">
        <v>0.31530599999999998</v>
      </c>
      <c r="O42" s="33">
        <v>0.315909</v>
      </c>
      <c r="P42" s="33">
        <v>0.31623499999999999</v>
      </c>
      <c r="Q42" s="34">
        <f t="shared" si="1"/>
        <v>1</v>
      </c>
      <c r="R42" s="35" t="str">
        <f>IF(AND(COUNT(E42:P42)=12,MIN(E42:P42)&gt;=0,MAX(E42:P42)&lt;=1,OR(ABS(Q42-1)&lt;=0.000001,AND(Q42=0,Inputs!$D$42=0))),"OK","CHECK")</f>
        <v>OK</v>
      </c>
    </row>
    <row r="43" spans="2:18" x14ac:dyDescent="0.35">
      <c r="B43" s="3" t="s">
        <v>243</v>
      </c>
      <c r="C43" s="3" t="s">
        <v>141</v>
      </c>
      <c r="D43" s="3" t="s">
        <v>103</v>
      </c>
      <c r="E43" s="33">
        <v>0</v>
      </c>
      <c r="F43" s="33">
        <v>0</v>
      </c>
      <c r="G43" s="33">
        <v>0</v>
      </c>
      <c r="H43" s="33">
        <v>0</v>
      </c>
      <c r="I43" s="33">
        <v>0</v>
      </c>
      <c r="J43" s="33">
        <v>0</v>
      </c>
      <c r="K43" s="33">
        <v>0</v>
      </c>
      <c r="L43" s="33">
        <v>2.6221999999999999E-2</v>
      </c>
      <c r="M43" s="33">
        <v>2.6221999999999999E-2</v>
      </c>
      <c r="N43" s="33">
        <v>0.31466300000000003</v>
      </c>
      <c r="O43" s="33">
        <v>0.31602999999999998</v>
      </c>
      <c r="P43" s="33">
        <v>0.31686300000000001</v>
      </c>
      <c r="Q43" s="34">
        <f t="shared" si="1"/>
        <v>1</v>
      </c>
      <c r="R43" s="35" t="str">
        <f>IF(AND(COUNT(E43:P43)=12,MIN(E43:P43)&gt;=0,MAX(E43:P43)&lt;=1,OR(ABS(Q43-1)&lt;=0.000001,AND(Q43=0,Inputs!$E$42=0))),"OK","CHECK")</f>
        <v>OK</v>
      </c>
    </row>
    <row r="44" spans="2:18" x14ac:dyDescent="0.35">
      <c r="B44" s="3" t="s">
        <v>243</v>
      </c>
      <c r="C44" s="3" t="s">
        <v>141</v>
      </c>
      <c r="D44" s="3" t="s">
        <v>104</v>
      </c>
      <c r="E44" s="33">
        <v>0</v>
      </c>
      <c r="F44" s="33">
        <v>0</v>
      </c>
      <c r="G44" s="33">
        <v>0</v>
      </c>
      <c r="H44" s="33">
        <v>0</v>
      </c>
      <c r="I44" s="33">
        <v>0</v>
      </c>
      <c r="J44" s="33">
        <v>0</v>
      </c>
      <c r="K44" s="33">
        <v>0</v>
      </c>
      <c r="L44" s="33">
        <v>2.6304999999999999E-2</v>
      </c>
      <c r="M44" s="33">
        <v>2.6304999999999999E-2</v>
      </c>
      <c r="N44" s="33">
        <v>0.31566100000000002</v>
      </c>
      <c r="O44" s="33">
        <v>0.31582199999999999</v>
      </c>
      <c r="P44" s="33">
        <v>0.31590699999999999</v>
      </c>
      <c r="Q44" s="34">
        <f t="shared" si="1"/>
        <v>1</v>
      </c>
      <c r="R44" s="35" t="str">
        <f>IF(AND(COUNT(E44:P44)=12,MIN(E44:P44)&gt;=0,MAX(E44:P44)&lt;=1,OR(ABS(Q44-1)&lt;=0.000001,AND(Q44=0,Inputs!$F$42=0))),"OK","CHECK")</f>
        <v>OK</v>
      </c>
    </row>
    <row r="45" spans="2:18" x14ac:dyDescent="0.35">
      <c r="B45" s="3" t="s">
        <v>243</v>
      </c>
      <c r="C45" s="3" t="s">
        <v>142</v>
      </c>
      <c r="D45" s="3" t="s">
        <v>98</v>
      </c>
      <c r="E45" s="33">
        <v>8.2909999999999998E-2</v>
      </c>
      <c r="F45" s="33">
        <v>8.3005999999999996E-2</v>
      </c>
      <c r="G45" s="33">
        <v>8.3088999999999996E-2</v>
      </c>
      <c r="H45" s="33">
        <v>8.3166000000000004E-2</v>
      </c>
      <c r="I45" s="33">
        <v>8.3239999999999995E-2</v>
      </c>
      <c r="J45" s="33">
        <v>8.3311999999999997E-2</v>
      </c>
      <c r="K45" s="33">
        <v>8.3380999999999997E-2</v>
      </c>
      <c r="L45" s="33">
        <v>8.3447999999999994E-2</v>
      </c>
      <c r="M45" s="33">
        <v>8.3515000000000006E-2</v>
      </c>
      <c r="N45" s="33">
        <v>8.3580000000000002E-2</v>
      </c>
      <c r="O45" s="33">
        <v>8.3643999999999996E-2</v>
      </c>
      <c r="P45" s="33">
        <v>8.3709000000000006E-2</v>
      </c>
      <c r="Q45" s="34">
        <f t="shared" si="1"/>
        <v>1</v>
      </c>
      <c r="R45" s="35" t="str">
        <f>IF(AND(COUNT(E45:P45)=12,MIN(E45:P45)&gt;=0,MAX(E45:P45)&lt;=1,OR(ABS(Q45-1)&lt;=0.000001,AND(Q45=0,Inputs!$D$43=0))),"OK","CHECK")</f>
        <v>OK</v>
      </c>
    </row>
    <row r="46" spans="2:18" x14ac:dyDescent="0.35">
      <c r="B46" s="3" t="s">
        <v>243</v>
      </c>
      <c r="C46" s="3" t="s">
        <v>142</v>
      </c>
      <c r="D46" s="3" t="s">
        <v>103</v>
      </c>
      <c r="E46" s="33">
        <v>8.2256999999999997E-2</v>
      </c>
      <c r="F46" s="33">
        <v>8.2483000000000001E-2</v>
      </c>
      <c r="G46" s="33">
        <v>8.2692000000000002E-2</v>
      </c>
      <c r="H46" s="33">
        <v>8.2889000000000004E-2</v>
      </c>
      <c r="I46" s="33">
        <v>8.3080000000000001E-2</v>
      </c>
      <c r="J46" s="33">
        <v>8.3265000000000006E-2</v>
      </c>
      <c r="K46" s="33">
        <v>8.3446000000000006E-2</v>
      </c>
      <c r="L46" s="33">
        <v>8.3625000000000005E-2</v>
      </c>
      <c r="M46" s="33">
        <v>8.3802000000000001E-2</v>
      </c>
      <c r="N46" s="33">
        <v>8.3977999999999997E-2</v>
      </c>
      <c r="O46" s="33">
        <v>8.4153000000000006E-2</v>
      </c>
      <c r="P46" s="33">
        <v>8.4330000000000002E-2</v>
      </c>
      <c r="Q46" s="34">
        <f t="shared" si="1"/>
        <v>1</v>
      </c>
      <c r="R46" s="35" t="str">
        <f>IF(AND(COUNT(E46:P46)=12,MIN(E46:P46)&gt;=0,MAX(E46:P46)&lt;=1,OR(ABS(Q46-1)&lt;=0.000001,AND(Q46=0,Inputs!$E$43=0))),"OK","CHECK")</f>
        <v>OK</v>
      </c>
    </row>
    <row r="47" spans="2:18" x14ac:dyDescent="0.35">
      <c r="B47" s="3" t="s">
        <v>243</v>
      </c>
      <c r="C47" s="3" t="s">
        <v>142</v>
      </c>
      <c r="D47" s="3" t="s">
        <v>104</v>
      </c>
      <c r="E47" s="33">
        <v>8.3229999999999998E-2</v>
      </c>
      <c r="F47" s="33">
        <v>8.3254999999999996E-2</v>
      </c>
      <c r="G47" s="33">
        <v>8.3276000000000003E-2</v>
      </c>
      <c r="H47" s="33">
        <v>8.3294000000000007E-2</v>
      </c>
      <c r="I47" s="33">
        <v>8.3311999999999997E-2</v>
      </c>
      <c r="J47" s="33">
        <v>8.3327999999999999E-2</v>
      </c>
      <c r="K47" s="33">
        <v>8.3344000000000001E-2</v>
      </c>
      <c r="L47" s="33">
        <v>8.3359000000000003E-2</v>
      </c>
      <c r="M47" s="33">
        <v>8.3376000000000006E-2</v>
      </c>
      <c r="N47" s="33">
        <v>8.3392999999999995E-2</v>
      </c>
      <c r="O47" s="33">
        <v>8.3408999999999997E-2</v>
      </c>
      <c r="P47" s="33">
        <v>8.3423999999999998E-2</v>
      </c>
      <c r="Q47" s="34">
        <f t="shared" si="1"/>
        <v>1</v>
      </c>
      <c r="R47" s="35" t="str">
        <f>IF(AND(COUNT(E47:P47)=12,MIN(E47:P47)&gt;=0,MAX(E47:P47)&lt;=1,OR(ABS(Q47-1)&lt;=0.000001,AND(Q47=0,Inputs!$F$43=0))),"OK","CHECK")</f>
        <v>OK</v>
      </c>
    </row>
    <row r="48" spans="2:18" x14ac:dyDescent="0.35">
      <c r="B48" s="3" t="s">
        <v>244</v>
      </c>
      <c r="C48" s="3" t="s">
        <v>141</v>
      </c>
      <c r="D48" s="3" t="s">
        <v>98</v>
      </c>
      <c r="E48" s="33">
        <v>5.7439999999999998E-2</v>
      </c>
      <c r="F48" s="33">
        <v>5.6890000000000003E-2</v>
      </c>
      <c r="G48" s="33">
        <v>5.636E-2</v>
      </c>
      <c r="H48" s="33">
        <v>9.8447999999999994E-2</v>
      </c>
      <c r="I48" s="33">
        <v>8.2584000000000005E-2</v>
      </c>
      <c r="J48" s="33">
        <v>6.5146999999999997E-2</v>
      </c>
      <c r="K48" s="33">
        <v>6.5146999999999997E-2</v>
      </c>
      <c r="L48" s="33">
        <v>0.17089099999999999</v>
      </c>
      <c r="M48" s="33">
        <v>0.108836</v>
      </c>
      <c r="N48" s="33">
        <v>8.3086999999999994E-2</v>
      </c>
      <c r="O48" s="33">
        <v>7.3011999999999994E-2</v>
      </c>
      <c r="P48" s="33">
        <v>8.2157999999999995E-2</v>
      </c>
      <c r="Q48" s="34">
        <f t="shared" si="1"/>
        <v>1</v>
      </c>
      <c r="R48" s="35" t="str">
        <f>IF(AND(COUNT(E48:P48)=12,MIN(E48:P48)&gt;=0,MAX(E48:P48)&lt;=1,OR(ABS(Q48-1)&lt;=0.000001,AND(Q48=0,Inputs!$D$54=0))),"OK","CHECK")</f>
        <v>OK</v>
      </c>
    </row>
    <row r="49" spans="2:18" x14ac:dyDescent="0.35">
      <c r="B49" s="3" t="s">
        <v>244</v>
      </c>
      <c r="C49" s="3" t="s">
        <v>141</v>
      </c>
      <c r="D49" s="3" t="s">
        <v>103</v>
      </c>
      <c r="E49" s="33">
        <v>5.7439999999999998E-2</v>
      </c>
      <c r="F49" s="33">
        <v>5.6890000000000003E-2</v>
      </c>
      <c r="G49" s="33">
        <v>5.636E-2</v>
      </c>
      <c r="H49" s="33">
        <v>9.8447999999999994E-2</v>
      </c>
      <c r="I49" s="33">
        <v>8.2584000000000005E-2</v>
      </c>
      <c r="J49" s="33">
        <v>6.5146999999999997E-2</v>
      </c>
      <c r="K49" s="33">
        <v>6.5146999999999997E-2</v>
      </c>
      <c r="L49" s="33">
        <v>0.17089099999999999</v>
      </c>
      <c r="M49" s="33">
        <v>0.108836</v>
      </c>
      <c r="N49" s="33">
        <v>8.3086999999999994E-2</v>
      </c>
      <c r="O49" s="33">
        <v>7.3011999999999994E-2</v>
      </c>
      <c r="P49" s="33">
        <v>8.2157999999999995E-2</v>
      </c>
      <c r="Q49" s="34">
        <f t="shared" si="1"/>
        <v>1</v>
      </c>
      <c r="R49" s="35" t="str">
        <f>IF(AND(COUNT(E49:P49)=12,MIN(E49:P49)&gt;=0,MAX(E49:P49)&lt;=1,OR(ABS(Q49-1)&lt;=0.000001,AND(Q49=0,Inputs!$E$54=0))),"OK","CHECK")</f>
        <v>OK</v>
      </c>
    </row>
    <row r="50" spans="2:18" x14ac:dyDescent="0.35">
      <c r="B50" s="3" t="s">
        <v>244</v>
      </c>
      <c r="C50" s="3" t="s">
        <v>141</v>
      </c>
      <c r="D50" s="3" t="s">
        <v>104</v>
      </c>
      <c r="E50" s="33">
        <v>5.7439999999999998E-2</v>
      </c>
      <c r="F50" s="33">
        <v>5.6890000000000003E-2</v>
      </c>
      <c r="G50" s="33">
        <v>5.636E-2</v>
      </c>
      <c r="H50" s="33">
        <v>9.8447999999999994E-2</v>
      </c>
      <c r="I50" s="33">
        <v>8.2584000000000005E-2</v>
      </c>
      <c r="J50" s="33">
        <v>6.5146999999999997E-2</v>
      </c>
      <c r="K50" s="33">
        <v>6.5146999999999997E-2</v>
      </c>
      <c r="L50" s="33">
        <v>0.17089099999999999</v>
      </c>
      <c r="M50" s="33">
        <v>0.108836</v>
      </c>
      <c r="N50" s="33">
        <v>8.3086999999999994E-2</v>
      </c>
      <c r="O50" s="33">
        <v>7.3011999999999994E-2</v>
      </c>
      <c r="P50" s="33">
        <v>8.2157999999999995E-2</v>
      </c>
      <c r="Q50" s="34">
        <f t="shared" si="1"/>
        <v>1</v>
      </c>
      <c r="R50" s="35" t="str">
        <f>IF(AND(COUNT(E50:P50)=12,MIN(E50:P50)&gt;=0,MAX(E50:P50)&lt;=1,OR(ABS(Q50-1)&lt;=0.000001,AND(Q50=0,Inputs!$F$54=0))),"OK","CHECK")</f>
        <v>OK</v>
      </c>
    </row>
    <row r="51" spans="2:18" x14ac:dyDescent="0.35">
      <c r="B51" s="3" t="s">
        <v>244</v>
      </c>
      <c r="C51" s="3" t="s">
        <v>142</v>
      </c>
      <c r="D51" s="3" t="s">
        <v>98</v>
      </c>
      <c r="E51" s="33">
        <v>0.10766100000000001</v>
      </c>
      <c r="F51" s="33">
        <v>6.2881999999999993E-2</v>
      </c>
      <c r="G51" s="33">
        <v>6.2881999999999993E-2</v>
      </c>
      <c r="H51" s="33">
        <v>6.2881999999999993E-2</v>
      </c>
      <c r="I51" s="33">
        <v>6.2881999999999993E-2</v>
      </c>
      <c r="J51" s="33">
        <v>6.2881999999999993E-2</v>
      </c>
      <c r="K51" s="33">
        <v>0.23389799999999999</v>
      </c>
      <c r="L51" s="33">
        <v>6.3978999999999994E-2</v>
      </c>
      <c r="M51" s="33">
        <v>6.3978999999999994E-2</v>
      </c>
      <c r="N51" s="33">
        <v>6.3978999999999994E-2</v>
      </c>
      <c r="O51" s="33">
        <v>6.3978999999999994E-2</v>
      </c>
      <c r="P51" s="33">
        <v>8.8114999999999999E-2</v>
      </c>
      <c r="Q51" s="34">
        <f t="shared" si="1"/>
        <v>1</v>
      </c>
      <c r="R51" s="35" t="str">
        <f>IF(AND(COUNT(E51:P51)=12,MIN(E51:P51)&gt;=0,MAX(E51:P51)&lt;=1,OR(ABS(Q51-1)&lt;=0.000001,AND(Q51=0,Inputs!$D$55=0))),"OK","CHECK")</f>
        <v>OK</v>
      </c>
    </row>
    <row r="52" spans="2:18" x14ac:dyDescent="0.35">
      <c r="B52" s="3" t="s">
        <v>244</v>
      </c>
      <c r="C52" s="3" t="s">
        <v>142</v>
      </c>
      <c r="D52" s="3" t="s">
        <v>103</v>
      </c>
      <c r="E52" s="33">
        <v>8.9590000000000003E-2</v>
      </c>
      <c r="F52" s="33">
        <v>6.3005000000000005E-2</v>
      </c>
      <c r="G52" s="33">
        <v>6.3005000000000005E-2</v>
      </c>
      <c r="H52" s="33">
        <v>6.3005000000000005E-2</v>
      </c>
      <c r="I52" s="33">
        <v>6.3005000000000005E-2</v>
      </c>
      <c r="J52" s="33">
        <v>6.3005000000000005E-2</v>
      </c>
      <c r="K52" s="33">
        <v>0.24826899999999999</v>
      </c>
      <c r="L52" s="33">
        <v>6.4193E-2</v>
      </c>
      <c r="M52" s="33">
        <v>6.4193E-2</v>
      </c>
      <c r="N52" s="33">
        <v>6.4193E-2</v>
      </c>
      <c r="O52" s="33">
        <v>6.4193E-2</v>
      </c>
      <c r="P52" s="33">
        <v>9.0343999999999994E-2</v>
      </c>
      <c r="Q52" s="34">
        <f t="shared" si="1"/>
        <v>0.99999999999999978</v>
      </c>
      <c r="R52" s="35" t="str">
        <f>IF(AND(COUNT(E52:P52)=12,MIN(E52:P52)&gt;=0,MAX(E52:P52)&lt;=1,OR(ABS(Q52-1)&lt;=0.000001,AND(Q52=0,Inputs!$E$55=0))),"OK","CHECK")</f>
        <v>OK</v>
      </c>
    </row>
    <row r="53" spans="2:18" x14ac:dyDescent="0.35">
      <c r="B53" s="3" t="s">
        <v>244</v>
      </c>
      <c r="C53" s="3" t="s">
        <v>142</v>
      </c>
      <c r="D53" s="3" t="s">
        <v>104</v>
      </c>
      <c r="E53" s="33">
        <v>3.6825999999999998E-2</v>
      </c>
      <c r="F53" s="33">
        <v>2.6530000000000001E-2</v>
      </c>
      <c r="G53" s="33">
        <v>2.6530000000000001E-2</v>
      </c>
      <c r="H53" s="33">
        <v>2.6530000000000001E-2</v>
      </c>
      <c r="I53" s="33">
        <v>2.6530000000000001E-2</v>
      </c>
      <c r="J53" s="33">
        <v>2.6530000000000001E-2</v>
      </c>
      <c r="K53" s="33">
        <v>0.32949499999999998</v>
      </c>
      <c r="L53" s="33">
        <v>9.5708000000000001E-2</v>
      </c>
      <c r="M53" s="33">
        <v>9.5708000000000001E-2</v>
      </c>
      <c r="N53" s="33">
        <v>9.5708000000000001E-2</v>
      </c>
      <c r="O53" s="33">
        <v>9.5708000000000001E-2</v>
      </c>
      <c r="P53" s="33">
        <v>0.118197</v>
      </c>
      <c r="Q53" s="34">
        <f t="shared" si="1"/>
        <v>1</v>
      </c>
      <c r="R53" s="35" t="str">
        <f>IF(AND(COUNT(E53:P53)=12,MIN(E53:P53)&gt;=0,MAX(E53:P53)&lt;=1,OR(ABS(Q53-1)&lt;=0.000001,AND(Q53=0,Inputs!$F$55=0))),"OK","CHECK")</f>
        <v>OK</v>
      </c>
    </row>
  </sheetData>
  <conditionalFormatting sqref="R6:R53">
    <cfRule type="cellIs" dxfId="7" priority="1" operator="equal">
      <formula>"OK"</formula>
    </cfRule>
    <cfRule type="cellIs" dxfId="6" priority="2" operator="equal">
      <formula>"CHECK"</formula>
    </cfRule>
  </conditionalFormatting>
  <dataValidations count="1">
    <dataValidation type="decimal" showErrorMessage="1" errorTitle="Value outside the allowed range" error="Enter a number from 0 to 1." sqref="E6:P32 E36:P53" xr:uid="{00000000-0002-0000-0300-000000000000}">
      <formula1>0</formula1>
      <formula2>1</formula2>
    </dataValidation>
  </dataValidations>
  <pageMargins left="0.4" right="0.4" top="0.5" bottom="0.5" header="0.5" footer="0.5"/>
  <pageSetup paperSize="9"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03864"/>
    <pageSetUpPr fitToPage="1"/>
  </sheetPr>
  <dimension ref="B1:I22"/>
  <sheetViews>
    <sheetView showGridLines="0" workbookViewId="0"/>
  </sheetViews>
  <sheetFormatPr defaultRowHeight="14.5" x14ac:dyDescent="0.35"/>
  <cols>
    <col min="1" max="1" width="2" customWidth="1"/>
    <col min="2" max="2" width="40" customWidth="1"/>
    <col min="3" max="3" width="22" customWidth="1"/>
    <col min="4" max="4" width="46" customWidth="1"/>
    <col min="5" max="5" width="2" customWidth="1"/>
    <col min="6" max="6" width="40" customWidth="1"/>
    <col min="7" max="9" width="18" customWidth="1"/>
  </cols>
  <sheetData>
    <row r="1" spans="2:9" ht="20" x14ac:dyDescent="0.4">
      <c r="B1" s="11" t="s">
        <v>28</v>
      </c>
    </row>
    <row r="2" spans="2:9" x14ac:dyDescent="0.35">
      <c r="B2" s="9" t="s">
        <v>95</v>
      </c>
    </row>
    <row r="3" spans="2:9" x14ac:dyDescent="0.35">
      <c r="B3" s="2" t="str">
        <f>"Scenario shown: "&amp;INDEX(Inputs!$D$8:$F$8,1,ScenarioNo)&amp;"  (change it on Inputs, cell D5)"</f>
        <v>Scenario shown: Base  (change it on Inputs, cell D5)</v>
      </c>
      <c r="F3" s="2" t="str">
        <f>IF(Checks!F4="OK","Checks: all OK","Checks: some need attention — see the Checks sheet")</f>
        <v>Checks: all OK</v>
      </c>
    </row>
    <row r="5" spans="2:9" x14ac:dyDescent="0.35">
      <c r="B5" s="14" t="s">
        <v>245</v>
      </c>
      <c r="C5" s="15" t="s">
        <v>246</v>
      </c>
      <c r="D5" s="15" t="s">
        <v>247</v>
      </c>
      <c r="F5" s="14" t="s">
        <v>248</v>
      </c>
      <c r="G5" s="15" t="s">
        <v>98</v>
      </c>
      <c r="H5" s="15" t="s">
        <v>103</v>
      </c>
      <c r="I5" s="15" t="s">
        <v>104</v>
      </c>
    </row>
    <row r="6" spans="2:9" x14ac:dyDescent="0.35">
      <c r="B6" s="3" t="s">
        <v>12</v>
      </c>
      <c r="C6" s="5">
        <f>CHOOSE(ScenarioNo,Annual!H37,Annual!H64,Annual!H91)</f>
        <v>5732596.2055294197</v>
      </c>
      <c r="D6" s="9" t="s">
        <v>249</v>
      </c>
      <c r="F6" s="3" t="s">
        <v>12</v>
      </c>
      <c r="G6" s="5">
        <f>Annual!H37</f>
        <v>5732596.2055294197</v>
      </c>
      <c r="H6" s="5">
        <f>Annual!H64</f>
        <v>15013176.962707737</v>
      </c>
      <c r="I6" s="5">
        <f>Annual!H91</f>
        <v>1545566.427595888</v>
      </c>
    </row>
    <row r="7" spans="2:9" x14ac:dyDescent="0.35">
      <c r="B7" s="3" t="s">
        <v>13</v>
      </c>
      <c r="C7" s="5">
        <f>CHOOSE(ScenarioNo,Annual!H45,Annual!H72,Annual!H99)</f>
        <v>-1002212.0437933416</v>
      </c>
      <c r="D7" s="9" t="s">
        <v>250</v>
      </c>
      <c r="F7" s="3" t="s">
        <v>13</v>
      </c>
      <c r="G7" s="5">
        <f>Annual!H45</f>
        <v>-1002212.0437933416</v>
      </c>
      <c r="H7" s="5">
        <f>Annual!H72</f>
        <v>4274025.0939258551</v>
      </c>
      <c r="I7" s="5">
        <f>Annual!H99</f>
        <v>-3735538.6977591142</v>
      </c>
    </row>
    <row r="8" spans="2:9" x14ac:dyDescent="0.35">
      <c r="B8" s="3" t="s">
        <v>251</v>
      </c>
      <c r="C8" s="36">
        <f>CHOOSE(ScenarioNo,Annual!H46,Annual!H73,Annual!H100)</f>
        <v>-0.17482690352874503</v>
      </c>
      <c r="D8" s="9" t="s">
        <v>252</v>
      </c>
      <c r="F8" s="3" t="s">
        <v>251</v>
      </c>
      <c r="G8" s="36">
        <f>Annual!H46</f>
        <v>-0.17482690352874503</v>
      </c>
      <c r="H8" s="36">
        <f>Annual!H73</f>
        <v>0.28468492075610646</v>
      </c>
      <c r="I8" s="36">
        <f>Annual!H100</f>
        <v>-2.416938302399402</v>
      </c>
    </row>
    <row r="9" spans="2:9" x14ac:dyDescent="0.35">
      <c r="B9" s="3" t="s">
        <v>253</v>
      </c>
      <c r="C9" s="5">
        <f>CHOOSE(ScenarioNo,Annual!H51,Annual!H78,Annual!H105)</f>
        <v>-914186.53989848157</v>
      </c>
      <c r="D9" s="9" t="s">
        <v>254</v>
      </c>
      <c r="F9" s="3" t="s">
        <v>253</v>
      </c>
      <c r="G9" s="5">
        <f>Annual!H51</f>
        <v>-914186.53989848157</v>
      </c>
      <c r="H9" s="5">
        <f>Annual!H78</f>
        <v>4464215.1491344431</v>
      </c>
      <c r="I9" s="5">
        <f>Annual!H105</f>
        <v>-3703179.0685883504</v>
      </c>
    </row>
    <row r="10" spans="2:9" x14ac:dyDescent="0.35">
      <c r="B10" s="3" t="s">
        <v>14</v>
      </c>
      <c r="C10" s="5">
        <f>CHOOSE(ScenarioNo,Annual!H57,Annual!H84,Annual!H111)</f>
        <v>5968422.0594740147</v>
      </c>
      <c r="D10" s="9" t="s">
        <v>255</v>
      </c>
      <c r="F10" s="3" t="s">
        <v>14</v>
      </c>
      <c r="G10" s="5">
        <f>Annual!H57</f>
        <v>5968422.0594740147</v>
      </c>
      <c r="H10" s="5">
        <f>Annual!H84</f>
        <v>15936204.511486808</v>
      </c>
      <c r="I10" s="5">
        <f>Annual!H111</f>
        <v>639830.82634200004</v>
      </c>
    </row>
    <row r="11" spans="2:9" x14ac:dyDescent="0.35">
      <c r="B11" s="3" t="s">
        <v>15</v>
      </c>
      <c r="C11" s="5">
        <f>CHOOSE(ScenarioNo,Calc_Base!D64,Calc_Upside!D64,Calc_Downside!D64)</f>
        <v>423589.53254519962</v>
      </c>
      <c r="D11" s="9" t="s">
        <v>256</v>
      </c>
      <c r="F11" s="3" t="s">
        <v>15</v>
      </c>
      <c r="G11" s="5">
        <f>Calc_Base!D64</f>
        <v>423589.53254519962</v>
      </c>
      <c r="H11" s="5">
        <f>Calc_Upside!D64</f>
        <v>423589.53254519962</v>
      </c>
      <c r="I11" s="5">
        <f>Calc_Downside!D64</f>
        <v>423589.53254519962</v>
      </c>
    </row>
    <row r="12" spans="2:9" x14ac:dyDescent="0.35">
      <c r="B12" s="3" t="s">
        <v>16</v>
      </c>
      <c r="C12" s="6" t="str">
        <f>CHOOSE(ScenarioNo,Calc_Base!D66,Calc_Upside!D66,Calc_Downside!D66)</f>
        <v>Jul 2027 (month 7)</v>
      </c>
      <c r="D12" s="9" t="s">
        <v>257</v>
      </c>
      <c r="F12" s="3" t="s">
        <v>16</v>
      </c>
      <c r="G12" s="6" t="str">
        <f>Calc_Base!D66</f>
        <v>Jul 2027 (month 7)</v>
      </c>
      <c r="H12" s="6" t="str">
        <f>Calc_Upside!D66</f>
        <v>Jul 2027 (month 7)</v>
      </c>
      <c r="I12" s="6" t="str">
        <f>Calc_Downside!D66</f>
        <v>Jul 2027 (month 7)</v>
      </c>
    </row>
    <row r="13" spans="2:9" x14ac:dyDescent="0.35">
      <c r="B13" s="3" t="s">
        <v>258</v>
      </c>
      <c r="C13" s="6" t="str">
        <f>CHOOSE(ScenarioNo,Calc_Base!D70,Calc_Upside!D70,Calc_Downside!D70)</f>
        <v>not within 60 months</v>
      </c>
      <c r="D13" s="9" t="s">
        <v>259</v>
      </c>
      <c r="F13" s="3" t="s">
        <v>258</v>
      </c>
      <c r="G13" s="6" t="str">
        <f>Calc_Base!D70</f>
        <v>not within 60 months</v>
      </c>
      <c r="H13" s="6" t="str">
        <f>Calc_Upside!D70</f>
        <v>not within 60 months</v>
      </c>
      <c r="I13" s="6" t="str">
        <f>Calc_Downside!D70</f>
        <v>not within 60 months</v>
      </c>
    </row>
    <row r="14" spans="2:9" x14ac:dyDescent="0.35">
      <c r="B14" s="3" t="s">
        <v>17</v>
      </c>
      <c r="C14" s="6" t="str">
        <f>CHOOSE(ScenarioNo,Calc_Base!D61,Calc_Upside!D61,Calc_Downside!D61)</f>
        <v>not reached</v>
      </c>
      <c r="D14" s="9" t="s">
        <v>260</v>
      </c>
      <c r="F14" s="3" t="s">
        <v>17</v>
      </c>
      <c r="G14" s="6" t="str">
        <f>Calc_Base!D61</f>
        <v>not reached</v>
      </c>
      <c r="H14" s="6" t="str">
        <f>Calc_Upside!D61</f>
        <v>Jun 2030 (month 42)</v>
      </c>
      <c r="I14" s="6" t="str">
        <f>Calc_Downside!D61</f>
        <v>not reached</v>
      </c>
    </row>
    <row r="15" spans="2:9" x14ac:dyDescent="0.35">
      <c r="B15" s="3" t="s">
        <v>261</v>
      </c>
      <c r="C15" s="6" t="str">
        <f>CHOOSE(ScenarioNo,Calc_Base!D63,Calc_Upside!D63,Calc_Downside!D63)</f>
        <v>not reached</v>
      </c>
      <c r="D15" s="9" t="s">
        <v>262</v>
      </c>
      <c r="F15" s="3" t="s">
        <v>261</v>
      </c>
      <c r="G15" s="6" t="str">
        <f>Calc_Base!D63</f>
        <v>not reached</v>
      </c>
      <c r="H15" s="6" t="str">
        <f>Calc_Upside!D63</f>
        <v>May 2030 (month 41)</v>
      </c>
      <c r="I15" s="6" t="str">
        <f>Calc_Downside!D63</f>
        <v>not reached</v>
      </c>
    </row>
    <row r="16" spans="2:9" x14ac:dyDescent="0.35">
      <c r="B16" s="3" t="s">
        <v>263</v>
      </c>
      <c r="C16" s="6" t="str">
        <f>CHOOSE(ScenarioNo,Calc_Base!D68,Calc_Upside!D68,Calc_Downside!D68)</f>
        <v>not reached</v>
      </c>
      <c r="D16" s="9" t="s">
        <v>264</v>
      </c>
      <c r="F16" s="3" t="s">
        <v>263</v>
      </c>
      <c r="G16" s="6" t="str">
        <f>Calc_Base!D68</f>
        <v>not reached</v>
      </c>
      <c r="H16" s="6" t="str">
        <f>Calc_Upside!D68</f>
        <v>not reached</v>
      </c>
      <c r="I16" s="6" t="str">
        <f>Calc_Downside!D68</f>
        <v>not reached</v>
      </c>
    </row>
    <row r="17" spans="2:9" x14ac:dyDescent="0.35">
      <c r="B17" s="3" t="s">
        <v>265</v>
      </c>
      <c r="C17" s="37">
        <f>CHOOSE(ScenarioNo,Calc_Base!BL52,Calc_Upside!BL52,Calc_Downside!BL52)</f>
        <v>262.98529900951809</v>
      </c>
      <c r="D17" s="9" t="s">
        <v>266</v>
      </c>
      <c r="F17" s="3" t="s">
        <v>265</v>
      </c>
      <c r="G17" s="37">
        <f>Calc_Base!BL52</f>
        <v>262.98529900951809</v>
      </c>
      <c r="H17" s="37" t="str">
        <f>Calc_Upside!BL52</f>
        <v>not burning</v>
      </c>
      <c r="I17" s="37">
        <f>Calc_Downside!BL52</f>
        <v>2.1539214624421752</v>
      </c>
    </row>
    <row r="18" spans="2:9" x14ac:dyDescent="0.35">
      <c r="B18" s="3" t="s">
        <v>267</v>
      </c>
      <c r="C18" s="5">
        <f>CHOOSE(ScenarioNo,Calc_Base!D45,Calc_Upside!D45,Calc_Downside!D45)</f>
        <v>17000000</v>
      </c>
      <c r="D18" s="9" t="s">
        <v>268</v>
      </c>
      <c r="F18" s="3" t="s">
        <v>267</v>
      </c>
      <c r="G18" s="5">
        <f>Calc_Base!D45</f>
        <v>17000000</v>
      </c>
      <c r="H18" s="5">
        <f>Calc_Upside!D45</f>
        <v>17000000</v>
      </c>
      <c r="I18" s="5">
        <f>Calc_Downside!D45</f>
        <v>17000000</v>
      </c>
    </row>
    <row r="19" spans="2:9" x14ac:dyDescent="0.35">
      <c r="B19" s="3" t="s">
        <v>269</v>
      </c>
      <c r="C19" s="5">
        <f>CHOOSE(ScenarioNo,Rounds_Exit!D42,Rounds_Exit!D65,Rounds_Exit!D88)</f>
        <v>28369442.247176304</v>
      </c>
      <c r="D19" s="9" t="s">
        <v>270</v>
      </c>
      <c r="F19" s="3" t="s">
        <v>269</v>
      </c>
      <c r="G19" s="5">
        <f>Rounds_Exit!D42</f>
        <v>28369442.247176304</v>
      </c>
      <c r="H19" s="5">
        <f>Rounds_Exit!D65</f>
        <v>75619489.856742188</v>
      </c>
      <c r="I19" s="5">
        <f>Rounds_Exit!D88</f>
        <v>7630964.2299661022</v>
      </c>
    </row>
    <row r="20" spans="2:9" x14ac:dyDescent="0.35">
      <c r="B20" s="3" t="s">
        <v>18</v>
      </c>
      <c r="C20" s="5">
        <f>CHOOSE(ScenarioNo,Rounds_Exit!D44,Rounds_Exit!D67,Rounds_Exit!D90)</f>
        <v>34337864.306650318</v>
      </c>
      <c r="D20" s="9" t="s">
        <v>271</v>
      </c>
      <c r="F20" s="3" t="s">
        <v>18</v>
      </c>
      <c r="G20" s="5">
        <f>Rounds_Exit!D44</f>
        <v>34337864.306650318</v>
      </c>
      <c r="H20" s="5">
        <f>Rounds_Exit!D67</f>
        <v>91555694.368229002</v>
      </c>
      <c r="I20" s="5">
        <f>Rounds_Exit!D90</f>
        <v>8270795.0563081019</v>
      </c>
    </row>
    <row r="21" spans="2:9" x14ac:dyDescent="0.35">
      <c r="B21" s="3" t="s">
        <v>272</v>
      </c>
      <c r="C21" s="36">
        <f>CHOOSE(ScenarioNo,Rounds_Exit!D46,Rounds_Exit!D69,Rounds_Exit!D92)</f>
        <v>0.34555205394029498</v>
      </c>
      <c r="D21" s="9" t="s">
        <v>273</v>
      </c>
      <c r="F21" s="3" t="s">
        <v>272</v>
      </c>
      <c r="G21" s="36">
        <f>Rounds_Exit!D46</f>
        <v>0.34555205394029498</v>
      </c>
      <c r="H21" s="36">
        <f>Rounds_Exit!D69</f>
        <v>0.34555205394029498</v>
      </c>
      <c r="I21" s="36">
        <f>Rounds_Exit!D92</f>
        <v>0.34555205394029498</v>
      </c>
    </row>
    <row r="22" spans="2:9" x14ac:dyDescent="0.35">
      <c r="B22" s="3" t="s">
        <v>274</v>
      </c>
      <c r="C22" s="5">
        <f>CHOOSE(ScenarioNo,Rounds_Exit!D47,Rounds_Exit!D70,Rounds_Exit!D93)</f>
        <v>11865519.539086161</v>
      </c>
      <c r="D22" s="9" t="s">
        <v>275</v>
      </c>
      <c r="F22" s="3" t="s">
        <v>274</v>
      </c>
      <c r="G22" s="5">
        <f>Rounds_Exit!D47</f>
        <v>11865519.539086161</v>
      </c>
      <c r="H22" s="5">
        <f>Rounds_Exit!D70</f>
        <v>31637258.238871429</v>
      </c>
      <c r="I22" s="5">
        <f>Rounds_Exit!D93</f>
        <v>2857990.2194265025</v>
      </c>
    </row>
  </sheetData>
  <conditionalFormatting sqref="F3">
    <cfRule type="cellIs" dxfId="5" priority="1" operator="equal">
      <formula>"OK"</formula>
    </cfRule>
    <cfRule type="cellIs" dxfId="4" priority="2" operator="equal">
      <formula>"CHECK"</formula>
    </cfRule>
  </conditionalFormatting>
  <pageMargins left="0.4" right="0.4" top="0.5" bottom="0.5" header="0.5" footer="0.5"/>
  <pageSetup paperSize="9" fitToHeight="0"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03864"/>
    <pageSetUpPr fitToPage="1"/>
  </sheetPr>
  <dimension ref="B1:BL36"/>
  <sheetViews>
    <sheetView showGridLines="0" workbookViewId="0">
      <pane xSplit="4" ySplit="8" topLeftCell="E9" activePane="bottomRight" state="frozen"/>
      <selection pane="topRight"/>
      <selection pane="bottomLeft"/>
      <selection pane="bottomRight"/>
    </sheetView>
  </sheetViews>
  <sheetFormatPr defaultRowHeight="14.5" x14ac:dyDescent="0.35"/>
  <cols>
    <col min="1" max="1" width="2" customWidth="1"/>
    <col min="2" max="2" width="58" customWidth="1"/>
    <col min="3" max="3" width="9" customWidth="1"/>
    <col min="4" max="4" width="16" customWidth="1"/>
    <col min="5" max="64" width="11.453125" customWidth="1"/>
  </cols>
  <sheetData>
    <row r="1" spans="2:64" ht="20" x14ac:dyDescent="0.4">
      <c r="B1" s="11" t="s">
        <v>276</v>
      </c>
    </row>
    <row r="2" spans="2:64" x14ac:dyDescent="0.35">
      <c r="B2" s="9" t="s">
        <v>95</v>
      </c>
    </row>
    <row r="3" spans="2:64" x14ac:dyDescent="0.35">
      <c r="B3" s="2" t="str">
        <f>"Scenario shown: "&amp;INDEX(Inputs!$D$8:$F$8,1,ScenarioNo)&amp;". Change it on Inputs, cell D5."</f>
        <v>Scenario shown: Base. Change it on Inputs, cell D5.</v>
      </c>
    </row>
    <row r="4" spans="2:64" x14ac:dyDescent="0.35">
      <c r="B4" s="3" t="s">
        <v>277</v>
      </c>
      <c r="E4" s="13">
        <v>1</v>
      </c>
      <c r="F4" s="13">
        <f t="shared" ref="F4:AK4" si="0">E4+1</f>
        <v>2</v>
      </c>
      <c r="G4" s="13">
        <f t="shared" si="0"/>
        <v>3</v>
      </c>
      <c r="H4" s="13">
        <f t="shared" si="0"/>
        <v>4</v>
      </c>
      <c r="I4" s="13">
        <f t="shared" si="0"/>
        <v>5</v>
      </c>
      <c r="J4" s="13">
        <f t="shared" si="0"/>
        <v>6</v>
      </c>
      <c r="K4" s="13">
        <f t="shared" si="0"/>
        <v>7</v>
      </c>
      <c r="L4" s="13">
        <f t="shared" si="0"/>
        <v>8</v>
      </c>
      <c r="M4" s="13">
        <f t="shared" si="0"/>
        <v>9</v>
      </c>
      <c r="N4" s="13">
        <f t="shared" si="0"/>
        <v>10</v>
      </c>
      <c r="O4" s="13">
        <f t="shared" si="0"/>
        <v>11</v>
      </c>
      <c r="P4" s="13">
        <f t="shared" si="0"/>
        <v>12</v>
      </c>
      <c r="Q4" s="13">
        <f t="shared" si="0"/>
        <v>13</v>
      </c>
      <c r="R4" s="13">
        <f t="shared" si="0"/>
        <v>14</v>
      </c>
      <c r="S4" s="13">
        <f t="shared" si="0"/>
        <v>15</v>
      </c>
      <c r="T4" s="13">
        <f t="shared" si="0"/>
        <v>16</v>
      </c>
      <c r="U4" s="13">
        <f t="shared" si="0"/>
        <v>17</v>
      </c>
      <c r="V4" s="13">
        <f t="shared" si="0"/>
        <v>18</v>
      </c>
      <c r="W4" s="13">
        <f t="shared" si="0"/>
        <v>19</v>
      </c>
      <c r="X4" s="13">
        <f t="shared" si="0"/>
        <v>20</v>
      </c>
      <c r="Y4" s="13">
        <f t="shared" si="0"/>
        <v>21</v>
      </c>
      <c r="Z4" s="13">
        <f t="shared" si="0"/>
        <v>22</v>
      </c>
      <c r="AA4" s="13">
        <f t="shared" si="0"/>
        <v>23</v>
      </c>
      <c r="AB4" s="13">
        <f t="shared" si="0"/>
        <v>24</v>
      </c>
      <c r="AC4" s="13">
        <f t="shared" si="0"/>
        <v>25</v>
      </c>
      <c r="AD4" s="13">
        <f t="shared" si="0"/>
        <v>26</v>
      </c>
      <c r="AE4" s="13">
        <f t="shared" si="0"/>
        <v>27</v>
      </c>
      <c r="AF4" s="13">
        <f t="shared" si="0"/>
        <v>28</v>
      </c>
      <c r="AG4" s="13">
        <f t="shared" si="0"/>
        <v>29</v>
      </c>
      <c r="AH4" s="13">
        <f t="shared" si="0"/>
        <v>30</v>
      </c>
      <c r="AI4" s="13">
        <f t="shared" si="0"/>
        <v>31</v>
      </c>
      <c r="AJ4" s="13">
        <f t="shared" si="0"/>
        <v>32</v>
      </c>
      <c r="AK4" s="13">
        <f t="shared" si="0"/>
        <v>33</v>
      </c>
      <c r="AL4" s="13">
        <f t="shared" ref="AL4:BL4" si="1">AK4+1</f>
        <v>34</v>
      </c>
      <c r="AM4" s="13">
        <f t="shared" si="1"/>
        <v>35</v>
      </c>
      <c r="AN4" s="13">
        <f t="shared" si="1"/>
        <v>36</v>
      </c>
      <c r="AO4" s="13">
        <f t="shared" si="1"/>
        <v>37</v>
      </c>
      <c r="AP4" s="13">
        <f t="shared" si="1"/>
        <v>38</v>
      </c>
      <c r="AQ4" s="13">
        <f t="shared" si="1"/>
        <v>39</v>
      </c>
      <c r="AR4" s="13">
        <f t="shared" si="1"/>
        <v>40</v>
      </c>
      <c r="AS4" s="13">
        <f t="shared" si="1"/>
        <v>41</v>
      </c>
      <c r="AT4" s="13">
        <f t="shared" si="1"/>
        <v>42</v>
      </c>
      <c r="AU4" s="13">
        <f t="shared" si="1"/>
        <v>43</v>
      </c>
      <c r="AV4" s="13">
        <f t="shared" si="1"/>
        <v>44</v>
      </c>
      <c r="AW4" s="13">
        <f t="shared" si="1"/>
        <v>45</v>
      </c>
      <c r="AX4" s="13">
        <f t="shared" si="1"/>
        <v>46</v>
      </c>
      <c r="AY4" s="13">
        <f t="shared" si="1"/>
        <v>47</v>
      </c>
      <c r="AZ4" s="13">
        <f t="shared" si="1"/>
        <v>48</v>
      </c>
      <c r="BA4" s="13">
        <f t="shared" si="1"/>
        <v>49</v>
      </c>
      <c r="BB4" s="13">
        <f t="shared" si="1"/>
        <v>50</v>
      </c>
      <c r="BC4" s="13">
        <f t="shared" si="1"/>
        <v>51</v>
      </c>
      <c r="BD4" s="13">
        <f t="shared" si="1"/>
        <v>52</v>
      </c>
      <c r="BE4" s="13">
        <f t="shared" si="1"/>
        <v>53</v>
      </c>
      <c r="BF4" s="13">
        <f t="shared" si="1"/>
        <v>54</v>
      </c>
      <c r="BG4" s="13">
        <f t="shared" si="1"/>
        <v>55</v>
      </c>
      <c r="BH4" s="13">
        <f t="shared" si="1"/>
        <v>56</v>
      </c>
      <c r="BI4" s="13">
        <f t="shared" si="1"/>
        <v>57</v>
      </c>
      <c r="BJ4" s="13">
        <f t="shared" si="1"/>
        <v>58</v>
      </c>
      <c r="BK4" s="13">
        <f t="shared" si="1"/>
        <v>59</v>
      </c>
      <c r="BL4" s="13">
        <f t="shared" si="1"/>
        <v>60</v>
      </c>
    </row>
    <row r="5" spans="2:64" x14ac:dyDescent="0.35">
      <c r="B5" s="3" t="s">
        <v>278</v>
      </c>
      <c r="E5" s="38">
        <f t="shared" ref="E5:AJ5" si="2">DATE(2027,E4,1)</f>
        <v>46388</v>
      </c>
      <c r="F5" s="38">
        <f t="shared" si="2"/>
        <v>46419</v>
      </c>
      <c r="G5" s="38">
        <f t="shared" si="2"/>
        <v>46447</v>
      </c>
      <c r="H5" s="38">
        <f t="shared" si="2"/>
        <v>46478</v>
      </c>
      <c r="I5" s="38">
        <f t="shared" si="2"/>
        <v>46508</v>
      </c>
      <c r="J5" s="38">
        <f t="shared" si="2"/>
        <v>46539</v>
      </c>
      <c r="K5" s="38">
        <f t="shared" si="2"/>
        <v>46569</v>
      </c>
      <c r="L5" s="38">
        <f t="shared" si="2"/>
        <v>46600</v>
      </c>
      <c r="M5" s="38">
        <f t="shared" si="2"/>
        <v>46631</v>
      </c>
      <c r="N5" s="38">
        <f t="shared" si="2"/>
        <v>46661</v>
      </c>
      <c r="O5" s="38">
        <f t="shared" si="2"/>
        <v>46692</v>
      </c>
      <c r="P5" s="38">
        <f t="shared" si="2"/>
        <v>46722</v>
      </c>
      <c r="Q5" s="38">
        <f t="shared" si="2"/>
        <v>46753</v>
      </c>
      <c r="R5" s="38">
        <f t="shared" si="2"/>
        <v>46784</v>
      </c>
      <c r="S5" s="38">
        <f t="shared" si="2"/>
        <v>46813</v>
      </c>
      <c r="T5" s="38">
        <f t="shared" si="2"/>
        <v>46844</v>
      </c>
      <c r="U5" s="38">
        <f t="shared" si="2"/>
        <v>46874</v>
      </c>
      <c r="V5" s="38">
        <f t="shared" si="2"/>
        <v>46905</v>
      </c>
      <c r="W5" s="38">
        <f t="shared" si="2"/>
        <v>46935</v>
      </c>
      <c r="X5" s="38">
        <f t="shared" si="2"/>
        <v>46966</v>
      </c>
      <c r="Y5" s="38">
        <f t="shared" si="2"/>
        <v>46997</v>
      </c>
      <c r="Z5" s="38">
        <f t="shared" si="2"/>
        <v>47027</v>
      </c>
      <c r="AA5" s="38">
        <f t="shared" si="2"/>
        <v>47058</v>
      </c>
      <c r="AB5" s="38">
        <f t="shared" si="2"/>
        <v>47088</v>
      </c>
      <c r="AC5" s="38">
        <f t="shared" si="2"/>
        <v>47119</v>
      </c>
      <c r="AD5" s="38">
        <f t="shared" si="2"/>
        <v>47150</v>
      </c>
      <c r="AE5" s="38">
        <f t="shared" si="2"/>
        <v>47178</v>
      </c>
      <c r="AF5" s="38">
        <f t="shared" si="2"/>
        <v>47209</v>
      </c>
      <c r="AG5" s="38">
        <f t="shared" si="2"/>
        <v>47239</v>
      </c>
      <c r="AH5" s="38">
        <f t="shared" si="2"/>
        <v>47270</v>
      </c>
      <c r="AI5" s="38">
        <f t="shared" si="2"/>
        <v>47300</v>
      </c>
      <c r="AJ5" s="38">
        <f t="shared" si="2"/>
        <v>47331</v>
      </c>
      <c r="AK5" s="38">
        <f t="shared" ref="AK5:BP5" si="3">DATE(2027,AK4,1)</f>
        <v>47362</v>
      </c>
      <c r="AL5" s="38">
        <f t="shared" si="3"/>
        <v>47392</v>
      </c>
      <c r="AM5" s="38">
        <f t="shared" si="3"/>
        <v>47423</v>
      </c>
      <c r="AN5" s="38">
        <f t="shared" si="3"/>
        <v>47453</v>
      </c>
      <c r="AO5" s="38">
        <f t="shared" si="3"/>
        <v>47484</v>
      </c>
      <c r="AP5" s="38">
        <f t="shared" si="3"/>
        <v>47515</v>
      </c>
      <c r="AQ5" s="38">
        <f t="shared" si="3"/>
        <v>47543</v>
      </c>
      <c r="AR5" s="38">
        <f t="shared" si="3"/>
        <v>47574</v>
      </c>
      <c r="AS5" s="38">
        <f t="shared" si="3"/>
        <v>47604</v>
      </c>
      <c r="AT5" s="38">
        <f t="shared" si="3"/>
        <v>47635</v>
      </c>
      <c r="AU5" s="38">
        <f t="shared" si="3"/>
        <v>47665</v>
      </c>
      <c r="AV5" s="38">
        <f t="shared" si="3"/>
        <v>47696</v>
      </c>
      <c r="AW5" s="38">
        <f t="shared" si="3"/>
        <v>47727</v>
      </c>
      <c r="AX5" s="38">
        <f t="shared" si="3"/>
        <v>47757</v>
      </c>
      <c r="AY5" s="38">
        <f t="shared" si="3"/>
        <v>47788</v>
      </c>
      <c r="AZ5" s="38">
        <f t="shared" si="3"/>
        <v>47818</v>
      </c>
      <c r="BA5" s="38">
        <f t="shared" si="3"/>
        <v>47849</v>
      </c>
      <c r="BB5" s="38">
        <f t="shared" si="3"/>
        <v>47880</v>
      </c>
      <c r="BC5" s="38">
        <f t="shared" si="3"/>
        <v>47908</v>
      </c>
      <c r="BD5" s="38">
        <f t="shared" si="3"/>
        <v>47939</v>
      </c>
      <c r="BE5" s="38">
        <f t="shared" si="3"/>
        <v>47969</v>
      </c>
      <c r="BF5" s="38">
        <f t="shared" si="3"/>
        <v>48000</v>
      </c>
      <c r="BG5" s="38">
        <f t="shared" si="3"/>
        <v>48030</v>
      </c>
      <c r="BH5" s="38">
        <f t="shared" si="3"/>
        <v>48061</v>
      </c>
      <c r="BI5" s="38">
        <f t="shared" si="3"/>
        <v>48092</v>
      </c>
      <c r="BJ5" s="38">
        <f t="shared" si="3"/>
        <v>48122</v>
      </c>
      <c r="BK5" s="38">
        <f t="shared" si="3"/>
        <v>48153</v>
      </c>
      <c r="BL5" s="38">
        <f t="shared" si="3"/>
        <v>48183</v>
      </c>
    </row>
    <row r="6" spans="2:64" x14ac:dyDescent="0.35">
      <c r="B6" s="3" t="s">
        <v>279</v>
      </c>
      <c r="E6" s="13">
        <f t="shared" ref="E6:AJ6" si="4">YEAR(E5)</f>
        <v>2027</v>
      </c>
      <c r="F6" s="13">
        <f t="shared" si="4"/>
        <v>2027</v>
      </c>
      <c r="G6" s="13">
        <f t="shared" si="4"/>
        <v>2027</v>
      </c>
      <c r="H6" s="13">
        <f t="shared" si="4"/>
        <v>2027</v>
      </c>
      <c r="I6" s="13">
        <f t="shared" si="4"/>
        <v>2027</v>
      </c>
      <c r="J6" s="13">
        <f t="shared" si="4"/>
        <v>2027</v>
      </c>
      <c r="K6" s="13">
        <f t="shared" si="4"/>
        <v>2027</v>
      </c>
      <c r="L6" s="13">
        <f t="shared" si="4"/>
        <v>2027</v>
      </c>
      <c r="M6" s="13">
        <f t="shared" si="4"/>
        <v>2027</v>
      </c>
      <c r="N6" s="13">
        <f t="shared" si="4"/>
        <v>2027</v>
      </c>
      <c r="O6" s="13">
        <f t="shared" si="4"/>
        <v>2027</v>
      </c>
      <c r="P6" s="13">
        <f t="shared" si="4"/>
        <v>2027</v>
      </c>
      <c r="Q6" s="13">
        <f t="shared" si="4"/>
        <v>2028</v>
      </c>
      <c r="R6" s="13">
        <f t="shared" si="4"/>
        <v>2028</v>
      </c>
      <c r="S6" s="13">
        <f t="shared" si="4"/>
        <v>2028</v>
      </c>
      <c r="T6" s="13">
        <f t="shared" si="4"/>
        <v>2028</v>
      </c>
      <c r="U6" s="13">
        <f t="shared" si="4"/>
        <v>2028</v>
      </c>
      <c r="V6" s="13">
        <f t="shared" si="4"/>
        <v>2028</v>
      </c>
      <c r="W6" s="13">
        <f t="shared" si="4"/>
        <v>2028</v>
      </c>
      <c r="X6" s="13">
        <f t="shared" si="4"/>
        <v>2028</v>
      </c>
      <c r="Y6" s="13">
        <f t="shared" si="4"/>
        <v>2028</v>
      </c>
      <c r="Z6" s="13">
        <f t="shared" si="4"/>
        <v>2028</v>
      </c>
      <c r="AA6" s="13">
        <f t="shared" si="4"/>
        <v>2028</v>
      </c>
      <c r="AB6" s="13">
        <f t="shared" si="4"/>
        <v>2028</v>
      </c>
      <c r="AC6" s="13">
        <f t="shared" si="4"/>
        <v>2029</v>
      </c>
      <c r="AD6" s="13">
        <f t="shared" si="4"/>
        <v>2029</v>
      </c>
      <c r="AE6" s="13">
        <f t="shared" si="4"/>
        <v>2029</v>
      </c>
      <c r="AF6" s="13">
        <f t="shared" si="4"/>
        <v>2029</v>
      </c>
      <c r="AG6" s="13">
        <f t="shared" si="4"/>
        <v>2029</v>
      </c>
      <c r="AH6" s="13">
        <f t="shared" si="4"/>
        <v>2029</v>
      </c>
      <c r="AI6" s="13">
        <f t="shared" si="4"/>
        <v>2029</v>
      </c>
      <c r="AJ6" s="13">
        <f t="shared" si="4"/>
        <v>2029</v>
      </c>
      <c r="AK6" s="13">
        <f t="shared" ref="AK6:BP6" si="5">YEAR(AK5)</f>
        <v>2029</v>
      </c>
      <c r="AL6" s="13">
        <f t="shared" si="5"/>
        <v>2029</v>
      </c>
      <c r="AM6" s="13">
        <f t="shared" si="5"/>
        <v>2029</v>
      </c>
      <c r="AN6" s="13">
        <f t="shared" si="5"/>
        <v>2029</v>
      </c>
      <c r="AO6" s="13">
        <f t="shared" si="5"/>
        <v>2030</v>
      </c>
      <c r="AP6" s="13">
        <f t="shared" si="5"/>
        <v>2030</v>
      </c>
      <c r="AQ6" s="13">
        <f t="shared" si="5"/>
        <v>2030</v>
      </c>
      <c r="AR6" s="13">
        <f t="shared" si="5"/>
        <v>2030</v>
      </c>
      <c r="AS6" s="13">
        <f t="shared" si="5"/>
        <v>2030</v>
      </c>
      <c r="AT6" s="13">
        <f t="shared" si="5"/>
        <v>2030</v>
      </c>
      <c r="AU6" s="13">
        <f t="shared" si="5"/>
        <v>2030</v>
      </c>
      <c r="AV6" s="13">
        <f t="shared" si="5"/>
        <v>2030</v>
      </c>
      <c r="AW6" s="13">
        <f t="shared" si="5"/>
        <v>2030</v>
      </c>
      <c r="AX6" s="13">
        <f t="shared" si="5"/>
        <v>2030</v>
      </c>
      <c r="AY6" s="13">
        <f t="shared" si="5"/>
        <v>2030</v>
      </c>
      <c r="AZ6" s="13">
        <f t="shared" si="5"/>
        <v>2030</v>
      </c>
      <c r="BA6" s="13">
        <f t="shared" si="5"/>
        <v>2031</v>
      </c>
      <c r="BB6" s="13">
        <f t="shared" si="5"/>
        <v>2031</v>
      </c>
      <c r="BC6" s="13">
        <f t="shared" si="5"/>
        <v>2031</v>
      </c>
      <c r="BD6" s="13">
        <f t="shared" si="5"/>
        <v>2031</v>
      </c>
      <c r="BE6" s="13">
        <f t="shared" si="5"/>
        <v>2031</v>
      </c>
      <c r="BF6" s="13">
        <f t="shared" si="5"/>
        <v>2031</v>
      </c>
      <c r="BG6" s="13">
        <f t="shared" si="5"/>
        <v>2031</v>
      </c>
      <c r="BH6" s="13">
        <f t="shared" si="5"/>
        <v>2031</v>
      </c>
      <c r="BI6" s="13">
        <f t="shared" si="5"/>
        <v>2031</v>
      </c>
      <c r="BJ6" s="13">
        <f t="shared" si="5"/>
        <v>2031</v>
      </c>
      <c r="BK6" s="13">
        <f t="shared" si="5"/>
        <v>2031</v>
      </c>
      <c r="BL6" s="13">
        <f t="shared" si="5"/>
        <v>2031</v>
      </c>
    </row>
    <row r="7" spans="2:64" x14ac:dyDescent="0.35">
      <c r="B7" s="3" t="s">
        <v>280</v>
      </c>
      <c r="E7" s="13">
        <f t="shared" ref="E7:AJ7" si="6">MONTH(E5)</f>
        <v>1</v>
      </c>
      <c r="F7" s="13">
        <f t="shared" si="6"/>
        <v>2</v>
      </c>
      <c r="G7" s="13">
        <f t="shared" si="6"/>
        <v>3</v>
      </c>
      <c r="H7" s="13">
        <f t="shared" si="6"/>
        <v>4</v>
      </c>
      <c r="I7" s="13">
        <f t="shared" si="6"/>
        <v>5</v>
      </c>
      <c r="J7" s="13">
        <f t="shared" si="6"/>
        <v>6</v>
      </c>
      <c r="K7" s="13">
        <f t="shared" si="6"/>
        <v>7</v>
      </c>
      <c r="L7" s="13">
        <f t="shared" si="6"/>
        <v>8</v>
      </c>
      <c r="M7" s="13">
        <f t="shared" si="6"/>
        <v>9</v>
      </c>
      <c r="N7" s="13">
        <f t="shared" si="6"/>
        <v>10</v>
      </c>
      <c r="O7" s="13">
        <f t="shared" si="6"/>
        <v>11</v>
      </c>
      <c r="P7" s="13">
        <f t="shared" si="6"/>
        <v>12</v>
      </c>
      <c r="Q7" s="13">
        <f t="shared" si="6"/>
        <v>1</v>
      </c>
      <c r="R7" s="13">
        <f t="shared" si="6"/>
        <v>2</v>
      </c>
      <c r="S7" s="13">
        <f t="shared" si="6"/>
        <v>3</v>
      </c>
      <c r="T7" s="13">
        <f t="shared" si="6"/>
        <v>4</v>
      </c>
      <c r="U7" s="13">
        <f t="shared" si="6"/>
        <v>5</v>
      </c>
      <c r="V7" s="13">
        <f t="shared" si="6"/>
        <v>6</v>
      </c>
      <c r="W7" s="13">
        <f t="shared" si="6"/>
        <v>7</v>
      </c>
      <c r="X7" s="13">
        <f t="shared" si="6"/>
        <v>8</v>
      </c>
      <c r="Y7" s="13">
        <f t="shared" si="6"/>
        <v>9</v>
      </c>
      <c r="Z7" s="13">
        <f t="shared" si="6"/>
        <v>10</v>
      </c>
      <c r="AA7" s="13">
        <f t="shared" si="6"/>
        <v>11</v>
      </c>
      <c r="AB7" s="13">
        <f t="shared" si="6"/>
        <v>12</v>
      </c>
      <c r="AC7" s="13">
        <f t="shared" si="6"/>
        <v>1</v>
      </c>
      <c r="AD7" s="13">
        <f t="shared" si="6"/>
        <v>2</v>
      </c>
      <c r="AE7" s="13">
        <f t="shared" si="6"/>
        <v>3</v>
      </c>
      <c r="AF7" s="13">
        <f t="shared" si="6"/>
        <v>4</v>
      </c>
      <c r="AG7" s="13">
        <f t="shared" si="6"/>
        <v>5</v>
      </c>
      <c r="AH7" s="13">
        <f t="shared" si="6"/>
        <v>6</v>
      </c>
      <c r="AI7" s="13">
        <f t="shared" si="6"/>
        <v>7</v>
      </c>
      <c r="AJ7" s="13">
        <f t="shared" si="6"/>
        <v>8</v>
      </c>
      <c r="AK7" s="13">
        <f t="shared" ref="AK7:BL7" si="7">MONTH(AK5)</f>
        <v>9</v>
      </c>
      <c r="AL7" s="13">
        <f t="shared" si="7"/>
        <v>10</v>
      </c>
      <c r="AM7" s="13">
        <f t="shared" si="7"/>
        <v>11</v>
      </c>
      <c r="AN7" s="13">
        <f t="shared" si="7"/>
        <v>12</v>
      </c>
      <c r="AO7" s="13">
        <f t="shared" si="7"/>
        <v>1</v>
      </c>
      <c r="AP7" s="13">
        <f t="shared" si="7"/>
        <v>2</v>
      </c>
      <c r="AQ7" s="13">
        <f t="shared" si="7"/>
        <v>3</v>
      </c>
      <c r="AR7" s="13">
        <f t="shared" si="7"/>
        <v>4</v>
      </c>
      <c r="AS7" s="13">
        <f t="shared" si="7"/>
        <v>5</v>
      </c>
      <c r="AT7" s="13">
        <f t="shared" si="7"/>
        <v>6</v>
      </c>
      <c r="AU7" s="13">
        <f t="shared" si="7"/>
        <v>7</v>
      </c>
      <c r="AV7" s="13">
        <f t="shared" si="7"/>
        <v>8</v>
      </c>
      <c r="AW7" s="13">
        <f t="shared" si="7"/>
        <v>9</v>
      </c>
      <c r="AX7" s="13">
        <f t="shared" si="7"/>
        <v>10</v>
      </c>
      <c r="AY7" s="13">
        <f t="shared" si="7"/>
        <v>11</v>
      </c>
      <c r="AZ7" s="13">
        <f t="shared" si="7"/>
        <v>12</v>
      </c>
      <c r="BA7" s="13">
        <f t="shared" si="7"/>
        <v>1</v>
      </c>
      <c r="BB7" s="13">
        <f t="shared" si="7"/>
        <v>2</v>
      </c>
      <c r="BC7" s="13">
        <f t="shared" si="7"/>
        <v>3</v>
      </c>
      <c r="BD7" s="13">
        <f t="shared" si="7"/>
        <v>4</v>
      </c>
      <c r="BE7" s="13">
        <f t="shared" si="7"/>
        <v>5</v>
      </c>
      <c r="BF7" s="13">
        <f t="shared" si="7"/>
        <v>6</v>
      </c>
      <c r="BG7" s="13">
        <f t="shared" si="7"/>
        <v>7</v>
      </c>
      <c r="BH7" s="13">
        <f t="shared" si="7"/>
        <v>8</v>
      </c>
      <c r="BI7" s="13">
        <f t="shared" si="7"/>
        <v>9</v>
      </c>
      <c r="BJ7" s="13">
        <f t="shared" si="7"/>
        <v>10</v>
      </c>
      <c r="BK7" s="13">
        <f t="shared" si="7"/>
        <v>11</v>
      </c>
      <c r="BL7" s="13">
        <f t="shared" si="7"/>
        <v>12</v>
      </c>
    </row>
    <row r="8" spans="2:64" x14ac:dyDescent="0.35">
      <c r="B8" s="14" t="s">
        <v>281</v>
      </c>
      <c r="C8" s="15" t="s">
        <v>102</v>
      </c>
      <c r="D8" s="15" t="s">
        <v>282</v>
      </c>
      <c r="E8" s="39" t="str">
        <f t="shared" ref="E8:AJ8" si="8">CHOOSE(E7,"Jan","Feb","Mar","Apr","May","Jun","Jul","Aug","Sep","Oct","Nov","Dec")&amp;" "&amp;(E6-2000)</f>
        <v>Jan 27</v>
      </c>
      <c r="F8" s="39" t="str">
        <f t="shared" si="8"/>
        <v>Feb 27</v>
      </c>
      <c r="G8" s="39" t="str">
        <f t="shared" si="8"/>
        <v>Mar 27</v>
      </c>
      <c r="H8" s="39" t="str">
        <f t="shared" si="8"/>
        <v>Apr 27</v>
      </c>
      <c r="I8" s="39" t="str">
        <f t="shared" si="8"/>
        <v>May 27</v>
      </c>
      <c r="J8" s="39" t="str">
        <f t="shared" si="8"/>
        <v>Jun 27</v>
      </c>
      <c r="K8" s="39" t="str">
        <f t="shared" si="8"/>
        <v>Jul 27</v>
      </c>
      <c r="L8" s="39" t="str">
        <f t="shared" si="8"/>
        <v>Aug 27</v>
      </c>
      <c r="M8" s="39" t="str">
        <f t="shared" si="8"/>
        <v>Sep 27</v>
      </c>
      <c r="N8" s="39" t="str">
        <f t="shared" si="8"/>
        <v>Oct 27</v>
      </c>
      <c r="O8" s="39" t="str">
        <f t="shared" si="8"/>
        <v>Nov 27</v>
      </c>
      <c r="P8" s="39" t="str">
        <f t="shared" si="8"/>
        <v>Dec 27</v>
      </c>
      <c r="Q8" s="39" t="str">
        <f t="shared" si="8"/>
        <v>Jan 28</v>
      </c>
      <c r="R8" s="39" t="str">
        <f t="shared" si="8"/>
        <v>Feb 28</v>
      </c>
      <c r="S8" s="39" t="str">
        <f t="shared" si="8"/>
        <v>Mar 28</v>
      </c>
      <c r="T8" s="39" t="str">
        <f t="shared" si="8"/>
        <v>Apr 28</v>
      </c>
      <c r="U8" s="39" t="str">
        <f t="shared" si="8"/>
        <v>May 28</v>
      </c>
      <c r="V8" s="39" t="str">
        <f t="shared" si="8"/>
        <v>Jun 28</v>
      </c>
      <c r="W8" s="39" t="str">
        <f t="shared" si="8"/>
        <v>Jul 28</v>
      </c>
      <c r="X8" s="39" t="str">
        <f t="shared" si="8"/>
        <v>Aug 28</v>
      </c>
      <c r="Y8" s="39" t="str">
        <f t="shared" si="8"/>
        <v>Sep 28</v>
      </c>
      <c r="Z8" s="39" t="str">
        <f t="shared" si="8"/>
        <v>Oct 28</v>
      </c>
      <c r="AA8" s="39" t="str">
        <f t="shared" si="8"/>
        <v>Nov 28</v>
      </c>
      <c r="AB8" s="39" t="str">
        <f t="shared" si="8"/>
        <v>Dec 28</v>
      </c>
      <c r="AC8" s="39" t="str">
        <f t="shared" si="8"/>
        <v>Jan 29</v>
      </c>
      <c r="AD8" s="39" t="str">
        <f t="shared" si="8"/>
        <v>Feb 29</v>
      </c>
      <c r="AE8" s="39" t="str">
        <f t="shared" si="8"/>
        <v>Mar 29</v>
      </c>
      <c r="AF8" s="39" t="str">
        <f t="shared" si="8"/>
        <v>Apr 29</v>
      </c>
      <c r="AG8" s="39" t="str">
        <f t="shared" si="8"/>
        <v>May 29</v>
      </c>
      <c r="AH8" s="39" t="str">
        <f t="shared" si="8"/>
        <v>Jun 29</v>
      </c>
      <c r="AI8" s="39" t="str">
        <f t="shared" si="8"/>
        <v>Jul 29</v>
      </c>
      <c r="AJ8" s="39" t="str">
        <f t="shared" si="8"/>
        <v>Aug 29</v>
      </c>
      <c r="AK8" s="39" t="str">
        <f t="shared" ref="AK8:BP8" si="9">CHOOSE(AK7,"Jan","Feb","Mar","Apr","May","Jun","Jul","Aug","Sep","Oct","Nov","Dec")&amp;" "&amp;(AK6-2000)</f>
        <v>Sep 29</v>
      </c>
      <c r="AL8" s="39" t="str">
        <f t="shared" si="9"/>
        <v>Oct 29</v>
      </c>
      <c r="AM8" s="39" t="str">
        <f t="shared" si="9"/>
        <v>Nov 29</v>
      </c>
      <c r="AN8" s="39" t="str">
        <f t="shared" si="9"/>
        <v>Dec 29</v>
      </c>
      <c r="AO8" s="39" t="str">
        <f t="shared" si="9"/>
        <v>Jan 30</v>
      </c>
      <c r="AP8" s="39" t="str">
        <f t="shared" si="9"/>
        <v>Feb 30</v>
      </c>
      <c r="AQ8" s="39" t="str">
        <f t="shared" si="9"/>
        <v>Mar 30</v>
      </c>
      <c r="AR8" s="39" t="str">
        <f t="shared" si="9"/>
        <v>Apr 30</v>
      </c>
      <c r="AS8" s="39" t="str">
        <f t="shared" si="9"/>
        <v>May 30</v>
      </c>
      <c r="AT8" s="39" t="str">
        <f t="shared" si="9"/>
        <v>Jun 30</v>
      </c>
      <c r="AU8" s="39" t="str">
        <f t="shared" si="9"/>
        <v>Jul 30</v>
      </c>
      <c r="AV8" s="39" t="str">
        <f t="shared" si="9"/>
        <v>Aug 30</v>
      </c>
      <c r="AW8" s="39" t="str">
        <f t="shared" si="9"/>
        <v>Sep 30</v>
      </c>
      <c r="AX8" s="39" t="str">
        <f t="shared" si="9"/>
        <v>Oct 30</v>
      </c>
      <c r="AY8" s="39" t="str">
        <f t="shared" si="9"/>
        <v>Nov 30</v>
      </c>
      <c r="AZ8" s="39" t="str">
        <f t="shared" si="9"/>
        <v>Dec 30</v>
      </c>
      <c r="BA8" s="39" t="str">
        <f t="shared" si="9"/>
        <v>Jan 31</v>
      </c>
      <c r="BB8" s="39" t="str">
        <f t="shared" si="9"/>
        <v>Feb 31</v>
      </c>
      <c r="BC8" s="39" t="str">
        <f t="shared" si="9"/>
        <v>Mar 31</v>
      </c>
      <c r="BD8" s="39" t="str">
        <f t="shared" si="9"/>
        <v>Apr 31</v>
      </c>
      <c r="BE8" s="39" t="str">
        <f t="shared" si="9"/>
        <v>May 31</v>
      </c>
      <c r="BF8" s="39" t="str">
        <f t="shared" si="9"/>
        <v>Jun 31</v>
      </c>
      <c r="BG8" s="39" t="str">
        <f t="shared" si="9"/>
        <v>Jul 31</v>
      </c>
      <c r="BH8" s="39" t="str">
        <f t="shared" si="9"/>
        <v>Aug 31</v>
      </c>
      <c r="BI8" s="39" t="str">
        <f t="shared" si="9"/>
        <v>Sep 31</v>
      </c>
      <c r="BJ8" s="39" t="str">
        <f t="shared" si="9"/>
        <v>Oct 31</v>
      </c>
      <c r="BK8" s="39" t="str">
        <f t="shared" si="9"/>
        <v>Nov 31</v>
      </c>
      <c r="BL8" s="39" t="str">
        <f t="shared" si="9"/>
        <v>Dec 31</v>
      </c>
    </row>
    <row r="9" spans="2:64" x14ac:dyDescent="0.35">
      <c r="B9" s="16" t="s">
        <v>283</v>
      </c>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row>
    <row r="10" spans="2:64" x14ac:dyDescent="0.35">
      <c r="B10" s="3" t="s">
        <v>147</v>
      </c>
      <c r="C10" s="18" t="s">
        <v>111</v>
      </c>
      <c r="D10" s="40">
        <f>CHOOSE(ScenarioNo,Calc_Base!D10,Calc_Upside!D10,Calc_Downside!D10)</f>
        <v>2686105.8801056184</v>
      </c>
      <c r="E10" s="40">
        <f>CHOOSE(ScenarioNo,Calc_Base!E10,Calc_Upside!E10,Calc_Downside!E10)</f>
        <v>0</v>
      </c>
      <c r="F10" s="40">
        <f>CHOOSE(ScenarioNo,Calc_Base!F10,Calc_Upside!F10,Calc_Downside!F10)</f>
        <v>0</v>
      </c>
      <c r="G10" s="40">
        <f>CHOOSE(ScenarioNo,Calc_Base!G10,Calc_Upside!G10,Calc_Downside!G10)</f>
        <v>0</v>
      </c>
      <c r="H10" s="40">
        <f>CHOOSE(ScenarioNo,Calc_Base!H10,Calc_Upside!H10,Calc_Downside!H10)</f>
        <v>0</v>
      </c>
      <c r="I10" s="40">
        <f>CHOOSE(ScenarioNo,Calc_Base!I10,Calc_Upside!I10,Calc_Downside!I10)</f>
        <v>0</v>
      </c>
      <c r="J10" s="40">
        <f>CHOOSE(ScenarioNo,Calc_Base!J10,Calc_Upside!J10,Calc_Downside!J10)</f>
        <v>0</v>
      </c>
      <c r="K10" s="40">
        <f>CHOOSE(ScenarioNo,Calc_Base!K10,Calc_Upside!K10,Calc_Downside!K10)</f>
        <v>0</v>
      </c>
      <c r="L10" s="40">
        <f>CHOOSE(ScenarioNo,Calc_Base!L10,Calc_Upside!L10,Calc_Downside!L10)</f>
        <v>0</v>
      </c>
      <c r="M10" s="40">
        <f>CHOOSE(ScenarioNo,Calc_Base!M10,Calc_Upside!M10,Calc_Downside!M10)</f>
        <v>0</v>
      </c>
      <c r="N10" s="40">
        <f>CHOOSE(ScenarioNo,Calc_Base!N10,Calc_Upside!N10,Calc_Downside!N10)</f>
        <v>1070.0514590600001</v>
      </c>
      <c r="O10" s="40">
        <f>CHOOSE(ScenarioNo,Calc_Base!O10,Calc_Upside!O10,Calc_Downside!O10)</f>
        <v>1963.15281891</v>
      </c>
      <c r="P10" s="40">
        <f>CHOOSE(ScenarioNo,Calc_Base!P10,Calc_Upside!P10,Calc_Downside!P10)</f>
        <v>2847.6857220300003</v>
      </c>
      <c r="Q10" s="40">
        <f>CHOOSE(ScenarioNo,Calc_Base!Q10,Calc_Upside!Q10,Calc_Downside!Q10)</f>
        <v>4257.0100221599996</v>
      </c>
      <c r="R10" s="40">
        <f>CHOOSE(ScenarioNo,Calc_Base!R10,Calc_Upside!R10,Calc_Downside!R10)</f>
        <v>5719.7692171199997</v>
      </c>
      <c r="S10" s="40">
        <f>CHOOSE(ScenarioNo,Calc_Base!S10,Calc_Upside!S10,Calc_Downside!S10)</f>
        <v>7196.3070614399994</v>
      </c>
      <c r="T10" s="40">
        <f>CHOOSE(ScenarioNo,Calc_Base!T10,Calc_Upside!T10,Calc_Downside!T10)</f>
        <v>8680.99356936</v>
      </c>
      <c r="U10" s="40">
        <f>CHOOSE(ScenarioNo,Calc_Base!U10,Calc_Upside!U10,Calc_Downside!U10)</f>
        <v>10170.421117919999</v>
      </c>
      <c r="V10" s="40">
        <f>CHOOSE(ScenarioNo,Calc_Base!V10,Calc_Upside!V10,Calc_Downside!V10)</f>
        <v>11662.663659359998</v>
      </c>
      <c r="W10" s="40">
        <f>CHOOSE(ScenarioNo,Calc_Base!W10,Calc_Upside!W10,Calc_Downside!W10)</f>
        <v>13156.980406079998</v>
      </c>
      <c r="X10" s="40">
        <f>CHOOSE(ScenarioNo,Calc_Base!X10,Calc_Upside!X10,Calc_Downside!X10)</f>
        <v>14653.519515599999</v>
      </c>
      <c r="Y10" s="40">
        <f>CHOOSE(ScenarioNo,Calc_Base!Y10,Calc_Upside!Y10,Calc_Downside!Y10)</f>
        <v>16152.1328304</v>
      </c>
      <c r="Z10" s="40">
        <f>CHOOSE(ScenarioNo,Calc_Base!Z10,Calc_Upside!Z10,Calc_Downside!Z10)</f>
        <v>17484.068935200001</v>
      </c>
      <c r="AA10" s="40">
        <f>CHOOSE(ScenarioNo,Calc_Base!AA10,Calc_Upside!AA10,Calc_Downside!AA10)</f>
        <v>18836.7470928</v>
      </c>
      <c r="AB10" s="40">
        <f>CHOOSE(ScenarioNo,Calc_Base!AB10,Calc_Upside!AB10,Calc_Downside!AB10)</f>
        <v>20186.906572560001</v>
      </c>
      <c r="AC10" s="40">
        <f>CHOOSE(ScenarioNo,Calc_Base!AC10,Calc_Upside!AC10,Calc_Downside!AC10)</f>
        <v>21977.251910284795</v>
      </c>
      <c r="AD10" s="40">
        <f>CHOOSE(ScenarioNo,Calc_Base!AD10,Calc_Upside!AD10,Calc_Downside!AD10)</f>
        <v>23926.380190645777</v>
      </c>
      <c r="AE10" s="40">
        <f>CHOOSE(ScenarioNo,Calc_Base!AE10,Calc_Upside!AE10,Calc_Downside!AE10)</f>
        <v>26048.373625795521</v>
      </c>
      <c r="AF10" s="40">
        <f>CHOOSE(ScenarioNo,Calc_Base!AF10,Calc_Upside!AF10,Calc_Downside!AF10)</f>
        <v>28358.563357373714</v>
      </c>
      <c r="AG10" s="40">
        <f>CHOOSE(ScenarioNo,Calc_Base!AG10,Calc_Upside!AG10,Calc_Downside!AG10)</f>
        <v>30873.640222120339</v>
      </c>
      <c r="AH10" s="40">
        <f>CHOOSE(ScenarioNo,Calc_Base!AH10,Calc_Upside!AH10,Calc_Downside!AH10)</f>
        <v>33611.775341118722</v>
      </c>
      <c r="AI10" s="40">
        <f>CHOOSE(ScenarioNo,Calc_Base!AI10,Calc_Upside!AI10,Calc_Downside!AI10)</f>
        <v>36592.751403910981</v>
      </c>
      <c r="AJ10" s="40">
        <f>CHOOSE(ScenarioNo,Calc_Base!AJ10,Calc_Upside!AJ10,Calc_Downside!AJ10)</f>
        <v>39838.105595997396</v>
      </c>
      <c r="AK10" s="40">
        <f>CHOOSE(ScenarioNo,Calc_Base!AK10,Calc_Upside!AK10,Calc_Downside!AK10)</f>
        <v>43371.285202353349</v>
      </c>
      <c r="AL10" s="40">
        <f>CHOOSE(ScenarioNo,Calc_Base!AL10,Calc_Upside!AL10,Calc_Downside!AL10)</f>
        <v>47217.817011180094</v>
      </c>
      <c r="AM10" s="40">
        <f>CHOOSE(ScenarioNo,Calc_Base!AM10,Calc_Upside!AM10,Calc_Downside!AM10)</f>
        <v>51405.49174181062</v>
      </c>
      <c r="AN10" s="40">
        <f>CHOOSE(ScenarioNo,Calc_Base!AN10,Calc_Upside!AN10,Calc_Downside!AN10)</f>
        <v>55964.564829239578</v>
      </c>
      <c r="AO10" s="40">
        <f>CHOOSE(ScenarioNo,Calc_Base!AO10,Calc_Upside!AO10,Calc_Downside!AO10)</f>
        <v>57841.922890501774</v>
      </c>
      <c r="AP10" s="40">
        <f>CHOOSE(ScenarioNo,Calc_Base!AP10,Calc_Upside!AP10,Calc_Downside!AP10)</f>
        <v>59782.257824736</v>
      </c>
      <c r="AQ10" s="40">
        <f>CHOOSE(ScenarioNo,Calc_Base!AQ10,Calc_Upside!AQ10,Calc_Downside!AQ10)</f>
        <v>61787.682221229923</v>
      </c>
      <c r="AR10" s="40">
        <f>CHOOSE(ScenarioNo,Calc_Base!AR10,Calc_Upside!AR10,Calc_Downside!AR10)</f>
        <v>63860.379537088047</v>
      </c>
      <c r="AS10" s="40">
        <f>CHOOSE(ScenarioNo,Calc_Base!AS10,Calc_Upside!AS10,Calc_Downside!AS10)</f>
        <v>66002.606474526459</v>
      </c>
      <c r="AT10" s="40">
        <f>CHOOSE(ScenarioNo,Calc_Base!AT10,Calc_Upside!AT10,Calc_Downside!AT10)</f>
        <v>68216.695437915114</v>
      </c>
      <c r="AU10" s="40">
        <f>CHOOSE(ScenarioNo,Calc_Base!AU10,Calc_Upside!AU10,Calc_Downside!AU10)</f>
        <v>70505.057073242744</v>
      </c>
      <c r="AV10" s="40">
        <f>CHOOSE(ScenarioNo,Calc_Base!AV10,Calc_Upside!AV10,Calc_Downside!AV10)</f>
        <v>72870.182892769313</v>
      </c>
      <c r="AW10" s="40">
        <f>CHOOSE(ScenarioNo,Calc_Base!AW10,Calc_Upside!AW10,Calc_Downside!AW10)</f>
        <v>75314.647987723743</v>
      </c>
      <c r="AX10" s="40">
        <f>CHOOSE(ScenarioNo,Calc_Base!AX10,Calc_Upside!AX10,Calc_Downside!AX10)</f>
        <v>77841.113832000352</v>
      </c>
      <c r="AY10" s="40">
        <f>CHOOSE(ScenarioNo,Calc_Base!AY10,Calc_Upside!AY10,Calc_Downside!AY10)</f>
        <v>80452.3311799066</v>
      </c>
      <c r="AZ10" s="40">
        <f>CHOOSE(ScenarioNo,Calc_Base!AZ10,Calc_Upside!AZ10,Calc_Downside!AZ10)</f>
        <v>83151.143061117211</v>
      </c>
      <c r="BA10" s="40">
        <f>CHOOSE(ScenarioNo,Calc_Base!BA10,Calc_Upside!BA10,Calc_Downside!BA10)</f>
        <v>86047.444730741321</v>
      </c>
      <c r="BB10" s="40">
        <f>CHOOSE(ScenarioNo,Calc_Base!BB10,Calc_Upside!BB10,Calc_Downside!BB10)</f>
        <v>89044.629720217112</v>
      </c>
      <c r="BC10" s="40">
        <f>CHOOSE(ScenarioNo,Calc_Base!BC10,Calc_Upside!BC10,Calc_Downside!BC10)</f>
        <v>92146.211974356003</v>
      </c>
      <c r="BD10" s="40">
        <f>CHOOSE(ScenarioNo,Calc_Base!BD10,Calc_Upside!BD10,Calc_Downside!BD10)</f>
        <v>95355.827834894459</v>
      </c>
      <c r="BE10" s="40">
        <f>CHOOSE(ScenarioNo,Calc_Base!BE10,Calc_Upside!BE10,Calc_Downside!BE10)</f>
        <v>98677.240303795799</v>
      </c>
      <c r="BF10" s="40">
        <f>CHOOSE(ScenarioNo,Calc_Base!BF10,Calc_Upside!BF10,Calc_Downside!BF10)</f>
        <v>102114.34345505034</v>
      </c>
      <c r="BG10" s="40">
        <f>CHOOSE(ScenarioNo,Calc_Base!BG10,Calc_Upside!BG10,Calc_Downside!BG10)</f>
        <v>105671.16700014639</v>
      </c>
      <c r="BH10" s="40">
        <f>CHOOSE(ScenarioNo,Calc_Base!BH10,Calc_Upside!BH10,Calc_Downside!BH10)</f>
        <v>109351.88101256469</v>
      </c>
      <c r="BI10" s="40">
        <f>CHOOSE(ScenarioNo,Calc_Base!BI10,Calc_Upside!BI10,Calc_Downside!BI10)</f>
        <v>113160.8008168353</v>
      </c>
      <c r="BJ10" s="40">
        <f>CHOOSE(ScenarioNo,Calc_Base!BJ10,Calc_Upside!BJ10,Calc_Downside!BJ10)</f>
        <v>117102.39204788912</v>
      </c>
      <c r="BK10" s="40">
        <f>CHOOSE(ScenarioNo,Calc_Base!BK10,Calc_Upside!BK10,Calc_Downside!BK10)</f>
        <v>121181.2758866355</v>
      </c>
      <c r="BL10" s="40">
        <f>CHOOSE(ScenarioNo,Calc_Base!BL10,Calc_Upside!BL10,Calc_Downside!BL10)</f>
        <v>125402.23447790428</v>
      </c>
    </row>
    <row r="11" spans="2:64" x14ac:dyDescent="0.35">
      <c r="B11" s="3" t="s">
        <v>149</v>
      </c>
      <c r="C11" s="18" t="s">
        <v>111</v>
      </c>
      <c r="D11" s="40">
        <f>CHOOSE(ScenarioNo,Calc_Base!D11,Calc_Upside!D11,Calc_Downside!D11)</f>
        <v>5656967.2277558241</v>
      </c>
      <c r="E11" s="40">
        <f>CHOOSE(ScenarioNo,Calc_Base!E11,Calc_Upside!E11,Calc_Downside!E11)</f>
        <v>0</v>
      </c>
      <c r="F11" s="40">
        <f>CHOOSE(ScenarioNo,Calc_Base!F11,Calc_Upside!F11,Calc_Downside!F11)</f>
        <v>0</v>
      </c>
      <c r="G11" s="40">
        <f>CHOOSE(ScenarioNo,Calc_Base!G11,Calc_Upside!G11,Calc_Downside!G11)</f>
        <v>0</v>
      </c>
      <c r="H11" s="40">
        <f>CHOOSE(ScenarioNo,Calc_Base!H11,Calc_Upside!H11,Calc_Downside!H11)</f>
        <v>0</v>
      </c>
      <c r="I11" s="40">
        <f>CHOOSE(ScenarioNo,Calc_Base!I11,Calc_Upside!I11,Calc_Downside!I11)</f>
        <v>0</v>
      </c>
      <c r="J11" s="40">
        <f>CHOOSE(ScenarioNo,Calc_Base!J11,Calc_Upside!J11,Calc_Downside!J11)</f>
        <v>0</v>
      </c>
      <c r="K11" s="40">
        <f>CHOOSE(ScenarioNo,Calc_Base!K11,Calc_Upside!K11,Calc_Downside!K11)</f>
        <v>0</v>
      </c>
      <c r="L11" s="40">
        <f>CHOOSE(ScenarioNo,Calc_Base!L11,Calc_Upside!L11,Calc_Downside!L11)</f>
        <v>0</v>
      </c>
      <c r="M11" s="40">
        <f>CHOOSE(ScenarioNo,Calc_Base!M11,Calc_Upside!M11,Calc_Downside!M11)</f>
        <v>0</v>
      </c>
      <c r="N11" s="40">
        <f>CHOOSE(ScenarioNo,Calc_Base!N11,Calc_Upside!N11,Calc_Downside!N11)</f>
        <v>0</v>
      </c>
      <c r="O11" s="40">
        <f>CHOOSE(ScenarioNo,Calc_Base!O11,Calc_Upside!O11,Calc_Downside!O11)</f>
        <v>0</v>
      </c>
      <c r="P11" s="40">
        <f>CHOOSE(ScenarioNo,Calc_Base!P11,Calc_Upside!P11,Calc_Downside!P11)</f>
        <v>0</v>
      </c>
      <c r="Q11" s="40">
        <f>CHOOSE(ScenarioNo,Calc_Base!Q11,Calc_Upside!Q11,Calc_Downside!Q11)</f>
        <v>1684.87606486</v>
      </c>
      <c r="R11" s="40">
        <f>CHOOSE(ScenarioNo,Calc_Base!R11,Calc_Upside!R11,Calc_Downside!R11)</f>
        <v>3633.27101576</v>
      </c>
      <c r="S11" s="40">
        <f>CHOOSE(ScenarioNo,Calc_Base!S11,Calc_Upside!S11,Calc_Downside!S11)</f>
        <v>5696.10245502</v>
      </c>
      <c r="T11" s="40">
        <f>CHOOSE(ScenarioNo,Calc_Base!T11,Calc_Upside!T11,Calc_Downside!T11)</f>
        <v>7912.21579612</v>
      </c>
      <c r="U11" s="40">
        <f>CHOOSE(ScenarioNo,Calc_Base!U11,Calc_Upside!U11,Calc_Downside!U11)</f>
        <v>10248.01500578</v>
      </c>
      <c r="V11" s="40">
        <f>CHOOSE(ScenarioNo,Calc_Base!V11,Calc_Upside!V11,Calc_Downside!V11)</f>
        <v>12697.02584842</v>
      </c>
      <c r="W11" s="40">
        <f>CHOOSE(ScenarioNo,Calc_Base!W11,Calc_Upside!W11,Calc_Downside!W11)</f>
        <v>15246.649811560001</v>
      </c>
      <c r="X11" s="40">
        <f>CHOOSE(ScenarioNo,Calc_Base!X11,Calc_Upside!X11,Calc_Downside!X11)</f>
        <v>17906.860717579999</v>
      </c>
      <c r="Y11" s="40">
        <f>CHOOSE(ScenarioNo,Calc_Base!Y11,Calc_Upside!Y11,Calc_Downside!Y11)</f>
        <v>20654.386314260002</v>
      </c>
      <c r="Z11" s="40">
        <f>CHOOSE(ScenarioNo,Calc_Base!Z11,Calc_Upside!Z11,Calc_Downside!Z11)</f>
        <v>23472.078626280003</v>
      </c>
      <c r="AA11" s="40">
        <f>CHOOSE(ScenarioNo,Calc_Base!AA11,Calc_Upside!AA11,Calc_Downside!AA11)</f>
        <v>26400.532860520001</v>
      </c>
      <c r="AB11" s="40">
        <f>CHOOSE(ScenarioNo,Calc_Base!AB11,Calc_Upside!AB11,Calc_Downside!AB11)</f>
        <v>29427.325483839999</v>
      </c>
      <c r="AC11" s="40">
        <f>CHOOSE(ScenarioNo,Calc_Base!AC11,Calc_Upside!AC11,Calc_Downside!AC11)</f>
        <v>32635.059274991381</v>
      </c>
      <c r="AD11" s="40">
        <f>CHOOSE(ScenarioNo,Calc_Base!AD11,Calc_Upside!AD11,Calc_Downside!AD11)</f>
        <v>36192.452979359987</v>
      </c>
      <c r="AE11" s="40">
        <f>CHOOSE(ScenarioNo,Calc_Base!AE11,Calc_Upside!AE11,Calc_Downside!AE11)</f>
        <v>40137.621372943853</v>
      </c>
      <c r="AF11" s="40">
        <f>CHOOSE(ScenarioNo,Calc_Base!AF11,Calc_Upside!AF11,Calc_Downside!AF11)</f>
        <v>44512.833943489401</v>
      </c>
      <c r="AG11" s="40">
        <f>CHOOSE(ScenarioNo,Calc_Base!AG11,Calc_Upside!AG11,Calc_Downside!AG11)</f>
        <v>49364.967775999998</v>
      </c>
      <c r="AH11" s="40">
        <f>CHOOSE(ScenarioNo,Calc_Base!AH11,Calc_Upside!AH11,Calc_Downside!AH11)</f>
        <v>54746.009805155249</v>
      </c>
      <c r="AI11" s="40">
        <f>CHOOSE(ScenarioNo,Calc_Base!AI11,Calc_Upside!AI11,Calc_Downside!AI11)</f>
        <v>60713.613815894787</v>
      </c>
      <c r="AJ11" s="40">
        <f>CHOOSE(ScenarioNo,Calc_Base!AJ11,Calc_Upside!AJ11,Calc_Downside!AJ11)</f>
        <v>67331.71816000549</v>
      </c>
      <c r="AK11" s="40">
        <f>CHOOSE(ScenarioNo,Calc_Base!AK11,Calc_Upside!AK11,Calc_Downside!AK11)</f>
        <v>74671.230807076921</v>
      </c>
      <c r="AL11" s="40">
        <f>CHOOSE(ScenarioNo,Calc_Base!AL11,Calc_Upside!AL11,Calc_Downside!AL11)</f>
        <v>82810.78906962648</v>
      </c>
      <c r="AM11" s="40">
        <f>CHOOSE(ScenarioNo,Calc_Base!AM11,Calc_Upside!AM11,Calc_Downside!AM11)</f>
        <v>91837.602142272983</v>
      </c>
      <c r="AN11" s="40">
        <f>CHOOSE(ScenarioNo,Calc_Base!AN11,Calc_Upside!AN11,Calc_Downside!AN11)</f>
        <v>101848.38548212696</v>
      </c>
      <c r="AO11" s="40">
        <f>CHOOSE(ScenarioNo,Calc_Base!AO11,Calc_Upside!AO11,Calc_Downside!AO11)</f>
        <v>107121.60909622953</v>
      </c>
      <c r="AP11" s="40">
        <f>CHOOSE(ScenarioNo,Calc_Base!AP11,Calc_Upside!AP11,Calc_Downside!AP11)</f>
        <v>112667.85507737991</v>
      </c>
      <c r="AQ11" s="40">
        <f>CHOOSE(ScenarioNo,Calc_Base!AQ11,Calc_Upside!AQ11,Calc_Downside!AQ11)</f>
        <v>118501.25922150927</v>
      </c>
      <c r="AR11" s="40">
        <f>CHOOSE(ScenarioNo,Calc_Base!AR11,Calc_Upside!AR11,Calc_Downside!AR11)</f>
        <v>124636.68920863862</v>
      </c>
      <c r="AS11" s="40">
        <f>CHOOSE(ScenarioNo,Calc_Base!AS11,Calc_Upside!AS11,Calc_Downside!AS11)</f>
        <v>131089.78249634607</v>
      </c>
      <c r="AT11" s="40">
        <f>CHOOSE(ScenarioNo,Calc_Base!AT11,Calc_Upside!AT11,Calc_Downside!AT11)</f>
        <v>137876.98617517718</v>
      </c>
      <c r="AU11" s="40">
        <f>CHOOSE(ScenarioNo,Calc_Base!AU11,Calc_Upside!AU11,Calc_Downside!AU11)</f>
        <v>145015.59888757826</v>
      </c>
      <c r="AV11" s="40">
        <f>CHOOSE(ScenarioNo,Calc_Base!AV11,Calc_Upside!AV11,Calc_Downside!AV11)</f>
        <v>152523.81491719218</v>
      </c>
      <c r="AW11" s="40">
        <f>CHOOSE(ScenarioNo,Calc_Base!AW11,Calc_Upside!AW11,Calc_Downside!AW11)</f>
        <v>160420.77056088758</v>
      </c>
      <c r="AX11" s="40">
        <f>CHOOSE(ScenarioNo,Calc_Base!AX11,Calc_Upside!AX11,Calc_Downside!AX11)</f>
        <v>168726.59290171057</v>
      </c>
      <c r="AY11" s="40">
        <f>CHOOSE(ScenarioNo,Calc_Base!AY11,Calc_Upside!AY11,Calc_Downside!AY11)</f>
        <v>177462.45110706726</v>
      </c>
      <c r="AZ11" s="40">
        <f>CHOOSE(ScenarioNo,Calc_Base!AZ11,Calc_Upside!AZ11,Calc_Downside!AZ11)</f>
        <v>186650.61038288148</v>
      </c>
      <c r="BA11" s="40">
        <f>CHOOSE(ScenarioNo,Calc_Base!BA11,Calc_Upside!BA11,Calc_Downside!BA11)</f>
        <v>195107.23073469754</v>
      </c>
      <c r="BB11" s="40">
        <f>CHOOSE(ScenarioNo,Calc_Base!BB11,Calc_Upside!BB11,Calc_Downside!BB11)</f>
        <v>203946.99704905853</v>
      </c>
      <c r="BC11" s="40">
        <f>CHOOSE(ScenarioNo,Calc_Base!BC11,Calc_Upside!BC11,Calc_Downside!BC11)</f>
        <v>213187.26860455415</v>
      </c>
      <c r="BD11" s="40">
        <f>CHOOSE(ScenarioNo,Calc_Base!BD11,Calc_Upside!BD11,Calc_Downside!BD11)</f>
        <v>222846.19118043603</v>
      </c>
      <c r="BE11" s="40">
        <f>CHOOSE(ScenarioNo,Calc_Base!BE11,Calc_Upside!BE11,Calc_Downside!BE11)</f>
        <v>232942.73269077658</v>
      </c>
      <c r="BF11" s="40">
        <f>CHOOSE(ScenarioNo,Calc_Base!BF11,Calc_Upside!BF11,Calc_Downside!BF11)</f>
        <v>243496.72043311261</v>
      </c>
      <c r="BG11" s="40">
        <f>CHOOSE(ScenarioNo,Calc_Base!BG11,Calc_Upside!BG11,Calc_Downside!BG11)</f>
        <v>254528.88002472132</v>
      </c>
      <c r="BH11" s="40">
        <f>CHOOSE(ScenarioNo,Calc_Base!BH11,Calc_Upside!BH11,Calc_Downside!BH11)</f>
        <v>266060.87610299088</v>
      </c>
      <c r="BI11" s="40">
        <f>CHOOSE(ScenarioNo,Calc_Base!BI11,Calc_Upside!BI11,Calc_Downside!BI11)</f>
        <v>278115.35486981156</v>
      </c>
      <c r="BJ11" s="40">
        <f>CHOOSE(ScenarioNo,Calc_Base!BJ11,Calc_Upside!BJ11,Calc_Downside!BJ11)</f>
        <v>290715.98856353504</v>
      </c>
      <c r="BK11" s="40">
        <f>CHOOSE(ScenarioNo,Calc_Base!BK11,Calc_Upside!BK11,Calc_Downside!BK11)</f>
        <v>303887.52194583463</v>
      </c>
      <c r="BL11" s="40">
        <f>CHOOSE(ScenarioNo,Calc_Base!BL11,Calc_Upside!BL11,Calc_Downside!BL11)</f>
        <v>317655.82089475566</v>
      </c>
    </row>
    <row r="12" spans="2:64" x14ac:dyDescent="0.35">
      <c r="B12" s="3" t="s">
        <v>150</v>
      </c>
      <c r="C12" s="18" t="s">
        <v>111</v>
      </c>
      <c r="D12" s="40">
        <f>CHOOSE(ScenarioNo,Calc_Base!D12,Calc_Upside!D12,Calc_Downside!D12)</f>
        <v>2339835.0491529293</v>
      </c>
      <c r="E12" s="40">
        <f>CHOOSE(ScenarioNo,Calc_Base!E12,Calc_Upside!E12,Calc_Downside!E12)</f>
        <v>0</v>
      </c>
      <c r="F12" s="40">
        <f>CHOOSE(ScenarioNo,Calc_Base!F12,Calc_Upside!F12,Calc_Downside!F12)</f>
        <v>0</v>
      </c>
      <c r="G12" s="40">
        <f>CHOOSE(ScenarioNo,Calc_Base!G12,Calc_Upside!G12,Calc_Downside!G12)</f>
        <v>0</v>
      </c>
      <c r="H12" s="40">
        <f>CHOOSE(ScenarioNo,Calc_Base!H12,Calc_Upside!H12,Calc_Downside!H12)</f>
        <v>0</v>
      </c>
      <c r="I12" s="40">
        <f>CHOOSE(ScenarioNo,Calc_Base!I12,Calc_Upside!I12,Calc_Downside!I12)</f>
        <v>0</v>
      </c>
      <c r="J12" s="40">
        <f>CHOOSE(ScenarioNo,Calc_Base!J12,Calc_Upside!J12,Calc_Downside!J12)</f>
        <v>0</v>
      </c>
      <c r="K12" s="40">
        <f>CHOOSE(ScenarioNo,Calc_Base!K12,Calc_Upside!K12,Calc_Downside!K12)</f>
        <v>0</v>
      </c>
      <c r="L12" s="40">
        <f>CHOOSE(ScenarioNo,Calc_Base!L12,Calc_Upside!L12,Calc_Downside!L12)</f>
        <v>0</v>
      </c>
      <c r="M12" s="40">
        <f>CHOOSE(ScenarioNo,Calc_Base!M12,Calc_Upside!M12,Calc_Downside!M12)</f>
        <v>0</v>
      </c>
      <c r="N12" s="40">
        <f>CHOOSE(ScenarioNo,Calc_Base!N12,Calc_Upside!N12,Calc_Downside!N12)</f>
        <v>0</v>
      </c>
      <c r="O12" s="40">
        <f>CHOOSE(ScenarioNo,Calc_Base!O12,Calc_Upside!O12,Calc_Downside!O12)</f>
        <v>0</v>
      </c>
      <c r="P12" s="40">
        <f>CHOOSE(ScenarioNo,Calc_Base!P12,Calc_Upside!P12,Calc_Downside!P12)</f>
        <v>0</v>
      </c>
      <c r="Q12" s="40">
        <f>CHOOSE(ScenarioNo,Calc_Base!Q12,Calc_Upside!Q12,Calc_Downside!Q12)</f>
        <v>0</v>
      </c>
      <c r="R12" s="40">
        <f>CHOOSE(ScenarioNo,Calc_Base!R12,Calc_Upside!R12,Calc_Downside!R12)</f>
        <v>0</v>
      </c>
      <c r="S12" s="40">
        <f>CHOOSE(ScenarioNo,Calc_Base!S12,Calc_Upside!S12,Calc_Downside!S12)</f>
        <v>0</v>
      </c>
      <c r="T12" s="40">
        <f>CHOOSE(ScenarioNo,Calc_Base!T12,Calc_Upside!T12,Calc_Downside!T12)</f>
        <v>0</v>
      </c>
      <c r="U12" s="40">
        <f>CHOOSE(ScenarioNo,Calc_Base!U12,Calc_Upside!U12,Calc_Downside!U12)</f>
        <v>0</v>
      </c>
      <c r="V12" s="40">
        <f>CHOOSE(ScenarioNo,Calc_Base!V12,Calc_Upside!V12,Calc_Downside!V12)</f>
        <v>0</v>
      </c>
      <c r="W12" s="40">
        <f>CHOOSE(ScenarioNo,Calc_Base!W12,Calc_Upside!W12,Calc_Downside!W12)</f>
        <v>0</v>
      </c>
      <c r="X12" s="40">
        <f>CHOOSE(ScenarioNo,Calc_Base!X12,Calc_Upside!X12,Calc_Downside!X12)</f>
        <v>0</v>
      </c>
      <c r="Y12" s="40">
        <f>CHOOSE(ScenarioNo,Calc_Base!Y12,Calc_Upside!Y12,Calc_Downside!Y12)</f>
        <v>0</v>
      </c>
      <c r="Z12" s="40">
        <f>CHOOSE(ScenarioNo,Calc_Base!Z12,Calc_Upside!Z12,Calc_Downside!Z12)</f>
        <v>0</v>
      </c>
      <c r="AA12" s="40">
        <f>CHOOSE(ScenarioNo,Calc_Base!AA12,Calc_Upside!AA12,Calc_Downside!AA12)</f>
        <v>0</v>
      </c>
      <c r="AB12" s="40">
        <f>CHOOSE(ScenarioNo,Calc_Base!AB12,Calc_Upside!AB12,Calc_Downside!AB12)</f>
        <v>0</v>
      </c>
      <c r="AC12" s="40">
        <f>CHOOSE(ScenarioNo,Calc_Base!AC12,Calc_Upside!AC12,Calc_Downside!AC12)</f>
        <v>2416.7585000000004</v>
      </c>
      <c r="AD12" s="40">
        <f>CHOOSE(ScenarioNo,Calc_Base!AD12,Calc_Upside!AD12,Calc_Downside!AD12)</f>
        <v>4833.3285000000005</v>
      </c>
      <c r="AE12" s="40">
        <f>CHOOSE(ScenarioNo,Calc_Base!AE12,Calc_Upside!AE12,Calc_Downside!AE12)</f>
        <v>7250.0870000000004</v>
      </c>
      <c r="AF12" s="40">
        <f>CHOOSE(ScenarioNo,Calc_Base!AF12,Calc_Upside!AF12,Calc_Downside!AF12)</f>
        <v>9666.6570000000011</v>
      </c>
      <c r="AG12" s="40">
        <f>CHOOSE(ScenarioNo,Calc_Base!AG12,Calc_Upside!AG12,Calc_Downside!AG12)</f>
        <v>12083.415499999999</v>
      </c>
      <c r="AH12" s="40">
        <f>CHOOSE(ScenarioNo,Calc_Base!AH12,Calc_Upside!AH12,Calc_Downside!AH12)</f>
        <v>14499.985500000001</v>
      </c>
      <c r="AI12" s="40">
        <f>CHOOSE(ScenarioNo,Calc_Base!AI12,Calc_Upside!AI12,Calc_Downside!AI12)</f>
        <v>16916.744000000002</v>
      </c>
      <c r="AJ12" s="40">
        <f>CHOOSE(ScenarioNo,Calc_Base!AJ12,Calc_Upside!AJ12,Calc_Downside!AJ12)</f>
        <v>19333.314000000002</v>
      </c>
      <c r="AK12" s="40">
        <f>CHOOSE(ScenarioNo,Calc_Base!AK12,Calc_Upside!AK12,Calc_Downside!AK12)</f>
        <v>21750.072500000002</v>
      </c>
      <c r="AL12" s="40">
        <f>CHOOSE(ScenarioNo,Calc_Base!AL12,Calc_Upside!AL12,Calc_Downside!AL12)</f>
        <v>24166.642500000002</v>
      </c>
      <c r="AM12" s="40">
        <f>CHOOSE(ScenarioNo,Calc_Base!AM12,Calc_Upside!AM12,Calc_Downside!AM12)</f>
        <v>26583.401000000002</v>
      </c>
      <c r="AN12" s="40">
        <f>CHOOSE(ScenarioNo,Calc_Base!AN12,Calc_Upside!AN12,Calc_Downside!AN12)</f>
        <v>28999.594000000001</v>
      </c>
      <c r="AO12" s="40">
        <f>CHOOSE(ScenarioNo,Calc_Base!AO12,Calc_Upside!AO12,Calc_Downside!AO12)</f>
        <v>31986.666149185767</v>
      </c>
      <c r="AP12" s="40">
        <f>CHOOSE(ScenarioNo,Calc_Base!AP12,Calc_Upside!AP12,Calc_Downside!AP12)</f>
        <v>35281.418468805685</v>
      </c>
      <c r="AQ12" s="40">
        <f>CHOOSE(ScenarioNo,Calc_Base!AQ12,Calc_Upside!AQ12,Calc_Downside!AQ12)</f>
        <v>38915.543225584617</v>
      </c>
      <c r="AR12" s="40">
        <f>CHOOSE(ScenarioNo,Calc_Base!AR12,Calc_Upside!AR12,Calc_Downside!AR12)</f>
        <v>42923.997114269354</v>
      </c>
      <c r="AS12" s="40">
        <f>CHOOSE(ScenarioNo,Calc_Base!AS12,Calc_Upside!AS12,Calc_Downside!AS12)</f>
        <v>47345.337506543954</v>
      </c>
      <c r="AT12" s="40">
        <f>CHOOSE(ScenarioNo,Calc_Base!AT12,Calc_Upside!AT12,Calc_Downside!AT12)</f>
        <v>52222.093334904777</v>
      </c>
      <c r="AU12" s="40">
        <f>CHOOSE(ScenarioNo,Calc_Base!AU12,Calc_Upside!AU12,Calc_Downside!AU12)</f>
        <v>57601.174179032234</v>
      </c>
      <c r="AV12" s="40">
        <f>CHOOSE(ScenarioNo,Calc_Base!AV12,Calc_Upside!AV12,Calc_Downside!AV12)</f>
        <v>63534.321489666494</v>
      </c>
      <c r="AW12" s="40">
        <f>CHOOSE(ScenarioNo,Calc_Base!AW12,Calc_Upside!AW12,Calc_Downside!AW12)</f>
        <v>70078.606290315685</v>
      </c>
      <c r="AX12" s="40">
        <f>CHOOSE(ScenarioNo,Calc_Base!AX12,Calc_Upside!AX12,Calc_Downside!AX12)</f>
        <v>77296.978144195993</v>
      </c>
      <c r="AY12" s="40">
        <f>CHOOSE(ScenarioNo,Calc_Base!AY12,Calc_Upside!AY12,Calc_Downside!AY12)</f>
        <v>85258.87066692402</v>
      </c>
      <c r="AZ12" s="40">
        <f>CHOOSE(ScenarioNo,Calc_Base!AZ12,Calc_Upside!AZ12,Calc_Downside!AZ12)</f>
        <v>94040.869409396066</v>
      </c>
      <c r="BA12" s="40">
        <f>CHOOSE(ScenarioNo,Calc_Base!BA12,Calc_Upside!BA12,Calc_Downside!BA12)</f>
        <v>97661.159404364371</v>
      </c>
      <c r="BB12" s="40">
        <f>CHOOSE(ScenarioNo,Calc_Base!BB12,Calc_Upside!BB12,Calc_Downside!BB12)</f>
        <v>101420.81965111768</v>
      </c>
      <c r="BC12" s="40">
        <f>CHOOSE(ScenarioNo,Calc_Base!BC12,Calc_Upside!BC12,Calc_Downside!BC12)</f>
        <v>105325.21548423129</v>
      </c>
      <c r="BD12" s="40">
        <f>CHOOSE(ScenarioNo,Calc_Base!BD12,Calc_Upside!BD12,Calc_Downside!BD12)</f>
        <v>109379.91878748835</v>
      </c>
      <c r="BE12" s="40">
        <f>CHOOSE(ScenarioNo,Calc_Base!BE12,Calc_Upside!BE12,Calc_Downside!BE12)</f>
        <v>113590.71594540175</v>
      </c>
      <c r="BF12" s="40">
        <f>CHOOSE(ScenarioNo,Calc_Base!BF12,Calc_Upside!BF12,Calc_Downside!BF12)</f>
        <v>117963.61610084563</v>
      </c>
      <c r="BG12" s="40">
        <f>CHOOSE(ScenarioNo,Calc_Base!BG12,Calc_Upside!BG12,Calc_Downside!BG12)</f>
        <v>122504.85973058076</v>
      </c>
      <c r="BH12" s="40">
        <f>CHOOSE(ScenarioNo,Calc_Base!BH12,Calc_Upside!BH12,Calc_Downside!BH12)</f>
        <v>127220.92755091193</v>
      </c>
      <c r="BI12" s="40">
        <f>CHOOSE(ScenarioNo,Calc_Base!BI12,Calc_Upside!BI12,Calc_Downside!BI12)</f>
        <v>132118.5497661861</v>
      </c>
      <c r="BJ12" s="40">
        <f>CHOOSE(ScenarioNo,Calc_Base!BJ12,Calc_Upside!BJ12,Calc_Downside!BJ12)</f>
        <v>137204.71567333004</v>
      </c>
      <c r="BK12" s="40">
        <f>CHOOSE(ScenarioNo,Calc_Base!BK12,Calc_Upside!BK12,Calc_Downside!BK12)</f>
        <v>142486.68363613365</v>
      </c>
      <c r="BL12" s="40">
        <f>CHOOSE(ScenarioNo,Calc_Base!BL12,Calc_Upside!BL12,Calc_Downside!BL12)</f>
        <v>147971.99144351308</v>
      </c>
    </row>
    <row r="13" spans="2:64" x14ac:dyDescent="0.35">
      <c r="B13" s="4" t="s">
        <v>284</v>
      </c>
      <c r="C13" s="18" t="s">
        <v>111</v>
      </c>
      <c r="D13" s="41">
        <f>CHOOSE(ScenarioNo,Calc_Base!D13,Calc_Upside!D13,Calc_Downside!D13)</f>
        <v>10682908.157014374</v>
      </c>
      <c r="E13" s="41">
        <f>CHOOSE(ScenarioNo,Calc_Base!E13,Calc_Upside!E13,Calc_Downside!E13)</f>
        <v>0</v>
      </c>
      <c r="F13" s="41">
        <f>CHOOSE(ScenarioNo,Calc_Base!F13,Calc_Upside!F13,Calc_Downside!F13)</f>
        <v>0</v>
      </c>
      <c r="G13" s="41">
        <f>CHOOSE(ScenarioNo,Calc_Base!G13,Calc_Upside!G13,Calc_Downside!G13)</f>
        <v>0</v>
      </c>
      <c r="H13" s="41">
        <f>CHOOSE(ScenarioNo,Calc_Base!H13,Calc_Upside!H13,Calc_Downside!H13)</f>
        <v>0</v>
      </c>
      <c r="I13" s="41">
        <f>CHOOSE(ScenarioNo,Calc_Base!I13,Calc_Upside!I13,Calc_Downside!I13)</f>
        <v>0</v>
      </c>
      <c r="J13" s="41">
        <f>CHOOSE(ScenarioNo,Calc_Base!J13,Calc_Upside!J13,Calc_Downside!J13)</f>
        <v>0</v>
      </c>
      <c r="K13" s="41">
        <f>CHOOSE(ScenarioNo,Calc_Base!K13,Calc_Upside!K13,Calc_Downside!K13)</f>
        <v>0</v>
      </c>
      <c r="L13" s="41">
        <f>CHOOSE(ScenarioNo,Calc_Base!L13,Calc_Upside!L13,Calc_Downside!L13)</f>
        <v>0</v>
      </c>
      <c r="M13" s="41">
        <f>CHOOSE(ScenarioNo,Calc_Base!M13,Calc_Upside!M13,Calc_Downside!M13)</f>
        <v>0</v>
      </c>
      <c r="N13" s="41">
        <f>CHOOSE(ScenarioNo,Calc_Base!N13,Calc_Upside!N13,Calc_Downside!N13)</f>
        <v>1070.0514590600001</v>
      </c>
      <c r="O13" s="41">
        <f>CHOOSE(ScenarioNo,Calc_Base!O13,Calc_Upside!O13,Calc_Downside!O13)</f>
        <v>1963.15281891</v>
      </c>
      <c r="P13" s="41">
        <f>CHOOSE(ScenarioNo,Calc_Base!P13,Calc_Upside!P13,Calc_Downside!P13)</f>
        <v>2847.6857220300003</v>
      </c>
      <c r="Q13" s="41">
        <f>CHOOSE(ScenarioNo,Calc_Base!Q13,Calc_Upside!Q13,Calc_Downside!Q13)</f>
        <v>5941.8860870199996</v>
      </c>
      <c r="R13" s="41">
        <f>CHOOSE(ScenarioNo,Calc_Base!R13,Calc_Upside!R13,Calc_Downside!R13)</f>
        <v>9353.0402328799992</v>
      </c>
      <c r="S13" s="41">
        <f>CHOOSE(ScenarioNo,Calc_Base!S13,Calc_Upside!S13,Calc_Downside!S13)</f>
        <v>12892.40951646</v>
      </c>
      <c r="T13" s="41">
        <f>CHOOSE(ScenarioNo,Calc_Base!T13,Calc_Upside!T13,Calc_Downside!T13)</f>
        <v>16593.209365480001</v>
      </c>
      <c r="U13" s="41">
        <f>CHOOSE(ScenarioNo,Calc_Base!U13,Calc_Upside!U13,Calc_Downside!U13)</f>
        <v>20418.436123699998</v>
      </c>
      <c r="V13" s="41">
        <f>CHOOSE(ScenarioNo,Calc_Base!V13,Calc_Upside!V13,Calc_Downside!V13)</f>
        <v>24359.68950778</v>
      </c>
      <c r="W13" s="41">
        <f>CHOOSE(ScenarioNo,Calc_Base!W13,Calc_Upside!W13,Calc_Downside!W13)</f>
        <v>28403.630217639999</v>
      </c>
      <c r="X13" s="41">
        <f>CHOOSE(ScenarioNo,Calc_Base!X13,Calc_Upside!X13,Calc_Downside!X13)</f>
        <v>32560.380233179996</v>
      </c>
      <c r="Y13" s="41">
        <f>CHOOSE(ScenarioNo,Calc_Base!Y13,Calc_Upside!Y13,Calc_Downside!Y13)</f>
        <v>36806.51914466</v>
      </c>
      <c r="Z13" s="41">
        <f>CHOOSE(ScenarioNo,Calc_Base!Z13,Calc_Upside!Z13,Calc_Downside!Z13)</f>
        <v>40956.14756148</v>
      </c>
      <c r="AA13" s="41">
        <f>CHOOSE(ScenarioNo,Calc_Base!AA13,Calc_Upside!AA13,Calc_Downside!AA13)</f>
        <v>45237.279953320001</v>
      </c>
      <c r="AB13" s="41">
        <f>CHOOSE(ScenarioNo,Calc_Base!AB13,Calc_Upside!AB13,Calc_Downside!AB13)</f>
        <v>49614.232056399997</v>
      </c>
      <c r="AC13" s="41">
        <f>CHOOSE(ScenarioNo,Calc_Base!AC13,Calc_Upside!AC13,Calc_Downside!AC13)</f>
        <v>57029.069685276183</v>
      </c>
      <c r="AD13" s="41">
        <f>CHOOSE(ScenarioNo,Calc_Base!AD13,Calc_Upside!AD13,Calc_Downside!AD13)</f>
        <v>64952.161670005764</v>
      </c>
      <c r="AE13" s="41">
        <f>CHOOSE(ScenarioNo,Calc_Base!AE13,Calc_Upside!AE13,Calc_Downside!AE13)</f>
        <v>73436.081998739377</v>
      </c>
      <c r="AF13" s="41">
        <f>CHOOSE(ScenarioNo,Calc_Base!AF13,Calc_Upside!AF13,Calc_Downside!AF13)</f>
        <v>82538.054300863121</v>
      </c>
      <c r="AG13" s="41">
        <f>CHOOSE(ScenarioNo,Calc_Base!AG13,Calc_Upside!AG13,Calc_Downside!AG13)</f>
        <v>92322.023498120339</v>
      </c>
      <c r="AH13" s="41">
        <f>CHOOSE(ScenarioNo,Calc_Base!AH13,Calc_Upside!AH13,Calc_Downside!AH13)</f>
        <v>102857.77064627396</v>
      </c>
      <c r="AI13" s="41">
        <f>CHOOSE(ScenarioNo,Calc_Base!AI13,Calc_Upside!AI13,Calc_Downside!AI13)</f>
        <v>114223.10921980577</v>
      </c>
      <c r="AJ13" s="41">
        <f>CHOOSE(ScenarioNo,Calc_Base!AJ13,Calc_Upside!AJ13,Calc_Downside!AJ13)</f>
        <v>126503.13775600288</v>
      </c>
      <c r="AK13" s="41">
        <f>CHOOSE(ScenarioNo,Calc_Base!AK13,Calc_Upside!AK13,Calc_Downside!AK13)</f>
        <v>139792.58850943026</v>
      </c>
      <c r="AL13" s="41">
        <f>CHOOSE(ScenarioNo,Calc_Base!AL13,Calc_Upside!AL13,Calc_Downside!AL13)</f>
        <v>154195.2485808066</v>
      </c>
      <c r="AM13" s="41">
        <f>CHOOSE(ScenarioNo,Calc_Base!AM13,Calc_Upside!AM13,Calc_Downside!AM13)</f>
        <v>169826.49488408363</v>
      </c>
      <c r="AN13" s="41">
        <f>CHOOSE(ScenarioNo,Calc_Base!AN13,Calc_Upside!AN13,Calc_Downside!AN13)</f>
        <v>186812.54431136654</v>
      </c>
      <c r="AO13" s="41">
        <f>CHOOSE(ScenarioNo,Calc_Base!AO13,Calc_Upside!AO13,Calc_Downside!AO13)</f>
        <v>196950.19813591707</v>
      </c>
      <c r="AP13" s="41">
        <f>CHOOSE(ScenarioNo,Calc_Base!AP13,Calc_Upside!AP13,Calc_Downside!AP13)</f>
        <v>207731.53137092158</v>
      </c>
      <c r="AQ13" s="41">
        <f>CHOOSE(ScenarioNo,Calc_Base!AQ13,Calc_Upside!AQ13,Calc_Downside!AQ13)</f>
        <v>219204.4846683238</v>
      </c>
      <c r="AR13" s="41">
        <f>CHOOSE(ScenarioNo,Calc_Base!AR13,Calc_Upside!AR13,Calc_Downside!AR13)</f>
        <v>231421.06585999602</v>
      </c>
      <c r="AS13" s="41">
        <f>CHOOSE(ScenarioNo,Calc_Base!AS13,Calc_Upside!AS13,Calc_Downside!AS13)</f>
        <v>244437.72647741649</v>
      </c>
      <c r="AT13" s="41">
        <f>CHOOSE(ScenarioNo,Calc_Base!AT13,Calc_Upside!AT13,Calc_Downside!AT13)</f>
        <v>258315.7749479971</v>
      </c>
      <c r="AU13" s="41">
        <f>CHOOSE(ScenarioNo,Calc_Base!AU13,Calc_Upside!AU13,Calc_Downside!AU13)</f>
        <v>273121.83013985323</v>
      </c>
      <c r="AV13" s="41">
        <f>CHOOSE(ScenarioNo,Calc_Base!AV13,Calc_Upside!AV13,Calc_Downside!AV13)</f>
        <v>288928.31929962797</v>
      </c>
      <c r="AW13" s="41">
        <f>CHOOSE(ScenarioNo,Calc_Base!AW13,Calc_Upside!AW13,Calc_Downside!AW13)</f>
        <v>305814.02483892703</v>
      </c>
      <c r="AX13" s="41">
        <f>CHOOSE(ScenarioNo,Calc_Base!AX13,Calc_Upside!AX13,Calc_Downside!AX13)</f>
        <v>323864.68487790693</v>
      </c>
      <c r="AY13" s="41">
        <f>CHOOSE(ScenarioNo,Calc_Base!AY13,Calc_Upside!AY13,Calc_Downside!AY13)</f>
        <v>343173.65295389784</v>
      </c>
      <c r="AZ13" s="41">
        <f>CHOOSE(ScenarioNo,Calc_Base!AZ13,Calc_Upside!AZ13,Calc_Downside!AZ13)</f>
        <v>363842.62285339477</v>
      </c>
      <c r="BA13" s="41">
        <f>CHOOSE(ScenarioNo,Calc_Base!BA13,Calc_Upside!BA13,Calc_Downside!BA13)</f>
        <v>378815.83486980322</v>
      </c>
      <c r="BB13" s="41">
        <f>CHOOSE(ScenarioNo,Calc_Base!BB13,Calc_Upside!BB13,Calc_Downside!BB13)</f>
        <v>394412.4464203933</v>
      </c>
      <c r="BC13" s="41">
        <f>CHOOSE(ScenarioNo,Calc_Base!BC13,Calc_Upside!BC13,Calc_Downside!BC13)</f>
        <v>410658.69606314145</v>
      </c>
      <c r="BD13" s="41">
        <f>CHOOSE(ScenarioNo,Calc_Base!BD13,Calc_Upside!BD13,Calc_Downside!BD13)</f>
        <v>427581.93780281884</v>
      </c>
      <c r="BE13" s="41">
        <f>CHOOSE(ScenarioNo,Calc_Base!BE13,Calc_Upside!BE13,Calc_Downside!BE13)</f>
        <v>445210.68893997412</v>
      </c>
      <c r="BF13" s="41">
        <f>CHOOSE(ScenarioNo,Calc_Base!BF13,Calc_Upside!BF13,Calc_Downside!BF13)</f>
        <v>463574.67998900858</v>
      </c>
      <c r="BG13" s="41">
        <f>CHOOSE(ScenarioNo,Calc_Base!BG13,Calc_Upside!BG13,Calc_Downside!BG13)</f>
        <v>482704.90675544849</v>
      </c>
      <c r="BH13" s="41">
        <f>CHOOSE(ScenarioNo,Calc_Base!BH13,Calc_Upside!BH13,Calc_Downside!BH13)</f>
        <v>502633.68466646748</v>
      </c>
      <c r="BI13" s="41">
        <f>CHOOSE(ScenarioNo,Calc_Base!BI13,Calc_Upside!BI13,Calc_Downside!BI13)</f>
        <v>523394.70545283298</v>
      </c>
      <c r="BJ13" s="41">
        <f>CHOOSE(ScenarioNo,Calc_Base!BJ13,Calc_Upside!BJ13,Calc_Downside!BJ13)</f>
        <v>545023.09628475423</v>
      </c>
      <c r="BK13" s="41">
        <f>CHOOSE(ScenarioNo,Calc_Base!BK13,Calc_Upside!BK13,Calc_Downside!BK13)</f>
        <v>567555.48146860383</v>
      </c>
      <c r="BL13" s="41">
        <f>CHOOSE(ScenarioNo,Calc_Base!BL13,Calc_Upside!BL13,Calc_Downside!BL13)</f>
        <v>591030.04681617301</v>
      </c>
    </row>
    <row r="14" spans="2:64" x14ac:dyDescent="0.35">
      <c r="B14" s="4" t="s">
        <v>285</v>
      </c>
      <c r="C14" s="18" t="s">
        <v>111</v>
      </c>
      <c r="D14" s="41">
        <f>CHOOSE(ScenarioNo,Calc_Base!D21,Calc_Upside!D21,Calc_Downside!D21)</f>
        <v>3967513.9355293852</v>
      </c>
      <c r="E14" s="41">
        <f>CHOOSE(ScenarioNo,Calc_Base!E21,Calc_Upside!E21,Calc_Downside!E21)</f>
        <v>0</v>
      </c>
      <c r="F14" s="41">
        <f>CHOOSE(ScenarioNo,Calc_Base!F21,Calc_Upside!F21,Calc_Downside!F21)</f>
        <v>0</v>
      </c>
      <c r="G14" s="41">
        <f>CHOOSE(ScenarioNo,Calc_Base!G21,Calc_Upside!G21,Calc_Downside!G21)</f>
        <v>0</v>
      </c>
      <c r="H14" s="41">
        <f>CHOOSE(ScenarioNo,Calc_Base!H21,Calc_Upside!H21,Calc_Downside!H21)</f>
        <v>0</v>
      </c>
      <c r="I14" s="41">
        <f>CHOOSE(ScenarioNo,Calc_Base!I21,Calc_Upside!I21,Calc_Downside!I21)</f>
        <v>0</v>
      </c>
      <c r="J14" s="41">
        <f>CHOOSE(ScenarioNo,Calc_Base!J21,Calc_Upside!J21,Calc_Downside!J21)</f>
        <v>0</v>
      </c>
      <c r="K14" s="41">
        <f>CHOOSE(ScenarioNo,Calc_Base!K21,Calc_Upside!K21,Calc_Downside!K21)</f>
        <v>0</v>
      </c>
      <c r="L14" s="41">
        <f>CHOOSE(ScenarioNo,Calc_Base!L21,Calc_Upside!L21,Calc_Downside!L21)</f>
        <v>0</v>
      </c>
      <c r="M14" s="41">
        <f>CHOOSE(ScenarioNo,Calc_Base!M21,Calc_Upside!M21,Calc_Downside!M21)</f>
        <v>0</v>
      </c>
      <c r="N14" s="41">
        <f>CHOOSE(ScenarioNo,Calc_Base!N21,Calc_Upside!N21,Calc_Downside!N21)</f>
        <v>3561.945564912025</v>
      </c>
      <c r="O14" s="41">
        <f>CHOOSE(ScenarioNo,Calc_Base!O21,Calc_Upside!O21,Calc_Downside!O21)</f>
        <v>6534.8665406276705</v>
      </c>
      <c r="P14" s="41">
        <f>CHOOSE(ScenarioNo,Calc_Base!P21,Calc_Upside!P21,Calc_Downside!P21)</f>
        <v>9479.2651717503068</v>
      </c>
      <c r="Q14" s="41">
        <f>CHOOSE(ScenarioNo,Calc_Base!Q21,Calc_Upside!Q21,Calc_Downside!Q21)</f>
        <v>2400.3536575165804</v>
      </c>
      <c r="R14" s="41">
        <f>CHOOSE(ScenarioNo,Calc_Base!R21,Calc_Upside!R21,Calc_Downside!R21)</f>
        <v>4212.1046549440889</v>
      </c>
      <c r="S14" s="41">
        <f>CHOOSE(ScenarioNo,Calc_Base!S21,Calc_Upside!S21,Calc_Downside!S21)</f>
        <v>6110.1687390511097</v>
      </c>
      <c r="T14" s="41">
        <f>CHOOSE(ScenarioNo,Calc_Base!T21,Calc_Upside!T21,Calc_Downside!T21)</f>
        <v>8120.9731231593287</v>
      </c>
      <c r="U14" s="41">
        <f>CHOOSE(ScenarioNo,Calc_Base!U21,Calc_Upside!U21,Calc_Downside!U21)</f>
        <v>10219.355798404915</v>
      </c>
      <c r="V14" s="41">
        <f>CHOOSE(ScenarioNo,Calc_Base!V21,Calc_Upside!V21,Calc_Downside!V21)</f>
        <v>12400.114170357183</v>
      </c>
      <c r="W14" s="41">
        <f>CHOOSE(ScenarioNo,Calc_Base!W21,Calc_Upside!W21,Calc_Downside!W21)</f>
        <v>14653.962121731649</v>
      </c>
      <c r="X14" s="41">
        <f>CHOOSE(ScenarioNo,Calc_Base!X21,Calc_Upside!X21,Calc_Downside!X21)</f>
        <v>16988.129045277365</v>
      </c>
      <c r="Y14" s="41">
        <f>CHOOSE(ScenarioNo,Calc_Base!Y21,Calc_Upside!Y21,Calc_Downside!Y21)</f>
        <v>19385.801396456452</v>
      </c>
      <c r="Z14" s="41">
        <f>CHOOSE(ScenarioNo,Calc_Base!Z21,Calc_Upside!Z21,Calc_Downside!Z21)</f>
        <v>21787.603988183491</v>
      </c>
      <c r="AA14" s="41">
        <f>CHOOSE(ScenarioNo,Calc_Base!AA21,Calc_Upside!AA21,Calc_Downside!AA21)</f>
        <v>24275.011522771514</v>
      </c>
      <c r="AB14" s="41">
        <f>CHOOSE(ScenarioNo,Calc_Base!AB21,Calc_Upside!AB21,Calc_Downside!AB21)</f>
        <v>26832.589596266323</v>
      </c>
      <c r="AC14" s="41">
        <f>CHOOSE(ScenarioNo,Calc_Base!AC21,Calc_Upside!AC21,Calc_Downside!AC21)</f>
        <v>24569.208585129694</v>
      </c>
      <c r="AD14" s="41">
        <f>CHOOSE(ScenarioNo,Calc_Base!AD21,Calc_Upside!AD21,Calc_Downside!AD21)</f>
        <v>27316.449385357864</v>
      </c>
      <c r="AE14" s="41">
        <f>CHOOSE(ScenarioNo,Calc_Base!AE21,Calc_Upside!AE21,Calc_Downside!AE21)</f>
        <v>30337.636121049862</v>
      </c>
      <c r="AF14" s="41">
        <f>CHOOSE(ScenarioNo,Calc_Base!AF21,Calc_Upside!AF21,Calc_Downside!AF21)</f>
        <v>33661.965993415572</v>
      </c>
      <c r="AG14" s="41">
        <f>CHOOSE(ScenarioNo,Calc_Base!AG21,Calc_Upside!AG21,Calc_Downside!AG21)</f>
        <v>37321.817783068997</v>
      </c>
      <c r="AH14" s="41">
        <f>CHOOSE(ScenarioNo,Calc_Base!AH21,Calc_Upside!AH21,Calc_Downside!AH21)</f>
        <v>41352.982862744429</v>
      </c>
      <c r="AI14" s="41">
        <f>CHOOSE(ScenarioNo,Calc_Base!AI21,Calc_Upside!AI21,Calc_Downside!AI21)</f>
        <v>45795.142524564937</v>
      </c>
      <c r="AJ14" s="41">
        <f>CHOOSE(ScenarioNo,Calc_Base!AJ21,Calc_Upside!AJ21,Calc_Downside!AJ21)</f>
        <v>50692.175277917384</v>
      </c>
      <c r="AK14" s="41">
        <f>CHOOSE(ScenarioNo,Calc_Base!AK21,Calc_Upside!AK21,Calc_Downside!AK21)</f>
        <v>56092.718695093812</v>
      </c>
      <c r="AL14" s="41">
        <f>CHOOSE(ScenarioNo,Calc_Base!AL21,Calc_Upside!AL21,Calc_Downside!AL21)</f>
        <v>62050.570350920854</v>
      </c>
      <c r="AM14" s="41">
        <f>CHOOSE(ScenarioNo,Calc_Base!AM21,Calc_Upside!AM21,Calc_Downside!AM21)</f>
        <v>68625.353420090163</v>
      </c>
      <c r="AN14" s="41">
        <f>CHOOSE(ScenarioNo,Calc_Base!AN21,Calc_Upside!AN21,Calc_Downside!AN21)</f>
        <v>75883.006306209645</v>
      </c>
      <c r="AO14" s="41">
        <f>CHOOSE(ScenarioNo,Calc_Base!AO21,Calc_Upside!AO21,Calc_Downside!AO21)</f>
        <v>75014.479310313254</v>
      </c>
      <c r="AP14" s="41">
        <f>CHOOSE(ScenarioNo,Calc_Base!AP21,Calc_Upside!AP21,Calc_Downside!AP21)</f>
        <v>78810.930435102709</v>
      </c>
      <c r="AQ14" s="41">
        <f>CHOOSE(ScenarioNo,Calc_Base!AQ21,Calc_Upside!AQ21,Calc_Downside!AQ21)</f>
        <v>82806.358142373807</v>
      </c>
      <c r="AR14" s="41">
        <f>CHOOSE(ScenarioNo,Calc_Base!AR21,Calc_Upside!AR21,Calc_Downside!AR21)</f>
        <v>87011.696318044545</v>
      </c>
      <c r="AS14" s="41">
        <f>CHOOSE(ScenarioNo,Calc_Base!AS21,Calc_Upside!AS21,Calc_Downside!AS21)</f>
        <v>91438.522885478276</v>
      </c>
      <c r="AT14" s="41">
        <f>CHOOSE(ScenarioNo,Calc_Base!AT21,Calc_Upside!AT21,Calc_Downside!AT21)</f>
        <v>96099.101609209727</v>
      </c>
      <c r="AU14" s="41">
        <f>CHOOSE(ScenarioNo,Calc_Base!AU21,Calc_Upside!AU21,Calc_Downside!AU21)</f>
        <v>101006.42694879396</v>
      </c>
      <c r="AV14" s="41">
        <f>CHOOSE(ScenarioNo,Calc_Base!AV21,Calc_Upside!AV21,Calc_Downside!AV21)</f>
        <v>106174.27221241753</v>
      </c>
      <c r="AW14" s="41">
        <f>CHOOSE(ScenarioNo,Calc_Base!AW21,Calc_Upside!AW21,Calc_Downside!AW21)</f>
        <v>111617.24128229944</v>
      </c>
      <c r="AX14" s="41">
        <f>CHOOSE(ScenarioNo,Calc_Base!AX21,Calc_Upside!AX21,Calc_Downside!AX21)</f>
        <v>117350.82420843359</v>
      </c>
      <c r="AY14" s="41">
        <f>CHOOSE(ScenarioNo,Calc_Base!AY21,Calc_Upside!AY21,Calc_Downside!AY21)</f>
        <v>123391.45699409231</v>
      </c>
      <c r="AZ14" s="41">
        <f>CHOOSE(ScenarioNo,Calc_Base!AZ21,Calc_Upside!AZ21,Calc_Downside!AZ21)</f>
        <v>129756.58592595758</v>
      </c>
      <c r="BA14" s="41">
        <f>CHOOSE(ScenarioNo,Calc_Base!BA21,Calc_Upside!BA21,Calc_Downside!BA21)</f>
        <v>131674.75760829411</v>
      </c>
      <c r="BB14" s="41">
        <f>CHOOSE(ScenarioNo,Calc_Base!BB21,Calc_Upside!BB21,Calc_Downside!BB21)</f>
        <v>137484.85784309017</v>
      </c>
      <c r="BC14" s="41">
        <f>CHOOSE(ScenarioNo,Calc_Base!BC21,Calc_Upside!BC21,Calc_Downside!BC21)</f>
        <v>143552.68225780808</v>
      </c>
      <c r="BD14" s="41">
        <f>CHOOSE(ScenarioNo,Calc_Base!BD21,Calc_Upside!BD21,Calc_Downside!BD21)</f>
        <v>149889.71199149906</v>
      </c>
      <c r="BE14" s="41">
        <f>CHOOSE(ScenarioNo,Calc_Base!BE21,Calc_Upside!BE21,Calc_Downside!BE21)</f>
        <v>156507.9414121967</v>
      </c>
      <c r="BF14" s="41">
        <f>CHOOSE(ScenarioNo,Calc_Base!BF21,Calc_Upside!BF21,Calc_Downside!BF21)</f>
        <v>163419.90112261623</v>
      </c>
      <c r="BG14" s="41">
        <f>CHOOSE(ScenarioNo,Calc_Base!BG21,Calc_Upside!BG21,Calc_Downside!BG21)</f>
        <v>170638.68199936446</v>
      </c>
      <c r="BH14" s="41">
        <f>CHOOSE(ScenarioNo,Calc_Base!BH21,Calc_Upside!BH21,Calc_Downside!BH21)</f>
        <v>178177.96031217035</v>
      </c>
      <c r="BI14" s="41">
        <f>CHOOSE(ScenarioNo,Calc_Base!BI21,Calc_Upside!BI21,Calc_Downside!BI21)</f>
        <v>186052.02397174374</v>
      </c>
      <c r="BJ14" s="41">
        <f>CHOOSE(ScenarioNo,Calc_Base!BJ21,Calc_Upside!BJ21,Calc_Downside!BJ21)</f>
        <v>194275.79995705903</v>
      </c>
      <c r="BK14" s="41">
        <f>CHOOSE(ScenarioNo,Calc_Base!BK21,Calc_Upside!BK21,Calc_Downside!BK21)</f>
        <v>202864.88297515118</v>
      </c>
      <c r="BL14" s="41">
        <f>CHOOSE(ScenarioNo,Calc_Base!BL21,Calc_Upside!BL21,Calc_Downside!BL21)</f>
        <v>211835.56540890245</v>
      </c>
    </row>
    <row r="15" spans="2:64" x14ac:dyDescent="0.35">
      <c r="B15" s="4" t="s">
        <v>286</v>
      </c>
      <c r="C15" s="18" t="s">
        <v>111</v>
      </c>
      <c r="D15" s="41">
        <f>CHOOSE(ScenarioNo,Calc_Base!D22,Calc_Upside!D22,Calc_Downside!D22)</f>
        <v>6715394.221484988</v>
      </c>
      <c r="E15" s="41">
        <f>CHOOSE(ScenarioNo,Calc_Base!E22,Calc_Upside!E22,Calc_Downside!E22)</f>
        <v>0</v>
      </c>
      <c r="F15" s="41">
        <f>CHOOSE(ScenarioNo,Calc_Base!F22,Calc_Upside!F22,Calc_Downside!F22)</f>
        <v>0</v>
      </c>
      <c r="G15" s="41">
        <f>CHOOSE(ScenarioNo,Calc_Base!G22,Calc_Upside!G22,Calc_Downside!G22)</f>
        <v>0</v>
      </c>
      <c r="H15" s="41">
        <f>CHOOSE(ScenarioNo,Calc_Base!H22,Calc_Upside!H22,Calc_Downside!H22)</f>
        <v>0</v>
      </c>
      <c r="I15" s="41">
        <f>CHOOSE(ScenarioNo,Calc_Base!I22,Calc_Upside!I22,Calc_Downside!I22)</f>
        <v>0</v>
      </c>
      <c r="J15" s="41">
        <f>CHOOSE(ScenarioNo,Calc_Base!J22,Calc_Upside!J22,Calc_Downside!J22)</f>
        <v>0</v>
      </c>
      <c r="K15" s="41">
        <f>CHOOSE(ScenarioNo,Calc_Base!K22,Calc_Upside!K22,Calc_Downside!K22)</f>
        <v>0</v>
      </c>
      <c r="L15" s="41">
        <f>CHOOSE(ScenarioNo,Calc_Base!L22,Calc_Upside!L22,Calc_Downside!L22)</f>
        <v>0</v>
      </c>
      <c r="M15" s="41">
        <f>CHOOSE(ScenarioNo,Calc_Base!M22,Calc_Upside!M22,Calc_Downside!M22)</f>
        <v>0</v>
      </c>
      <c r="N15" s="41">
        <f>CHOOSE(ScenarioNo,Calc_Base!N22,Calc_Upside!N22,Calc_Downside!N22)</f>
        <v>-2491.8941058520249</v>
      </c>
      <c r="O15" s="41">
        <f>CHOOSE(ScenarioNo,Calc_Base!O22,Calc_Upside!O22,Calc_Downside!O22)</f>
        <v>-4571.7137217176705</v>
      </c>
      <c r="P15" s="41">
        <f>CHOOSE(ScenarioNo,Calc_Base!P22,Calc_Upside!P22,Calc_Downside!P22)</f>
        <v>-6631.579449720306</v>
      </c>
      <c r="Q15" s="41">
        <f>CHOOSE(ScenarioNo,Calc_Base!Q22,Calc_Upside!Q22,Calc_Downside!Q22)</f>
        <v>3541.5324295034193</v>
      </c>
      <c r="R15" s="41">
        <f>CHOOSE(ScenarioNo,Calc_Base!R22,Calc_Upside!R22,Calc_Downside!R22)</f>
        <v>5140.9355779359103</v>
      </c>
      <c r="S15" s="41">
        <f>CHOOSE(ScenarioNo,Calc_Base!S22,Calc_Upside!S22,Calc_Downside!S22)</f>
        <v>6782.2407774088906</v>
      </c>
      <c r="T15" s="41">
        <f>CHOOSE(ScenarioNo,Calc_Base!T22,Calc_Upside!T22,Calc_Downside!T22)</f>
        <v>8472.2362423206723</v>
      </c>
      <c r="U15" s="41">
        <f>CHOOSE(ScenarioNo,Calc_Base!U22,Calc_Upside!U22,Calc_Downside!U22)</f>
        <v>10199.080325295083</v>
      </c>
      <c r="V15" s="41">
        <f>CHOOSE(ScenarioNo,Calc_Base!V22,Calc_Upside!V22,Calc_Downside!V22)</f>
        <v>11959.575337422817</v>
      </c>
      <c r="W15" s="41">
        <f>CHOOSE(ScenarioNo,Calc_Base!W22,Calc_Upside!W22,Calc_Downside!W22)</f>
        <v>13749.66809590835</v>
      </c>
      <c r="X15" s="41">
        <f>CHOOSE(ScenarioNo,Calc_Base!X22,Calc_Upside!X22,Calc_Downside!X22)</f>
        <v>15572.251187902632</v>
      </c>
      <c r="Y15" s="41">
        <f>CHOOSE(ScenarioNo,Calc_Base!Y22,Calc_Upside!Y22,Calc_Downside!Y22)</f>
        <v>17420.717748203548</v>
      </c>
      <c r="Z15" s="41">
        <f>CHOOSE(ScenarioNo,Calc_Base!Z22,Calc_Upside!Z22,Calc_Downside!Z22)</f>
        <v>19168.543573296509</v>
      </c>
      <c r="AA15" s="41">
        <f>CHOOSE(ScenarioNo,Calc_Base!AA22,Calc_Upside!AA22,Calc_Downside!AA22)</f>
        <v>20962.268430548487</v>
      </c>
      <c r="AB15" s="41">
        <f>CHOOSE(ScenarioNo,Calc_Base!AB22,Calc_Upside!AB22,Calc_Downside!AB22)</f>
        <v>22781.642460133673</v>
      </c>
      <c r="AC15" s="41">
        <f>CHOOSE(ScenarioNo,Calc_Base!AC22,Calc_Upside!AC22,Calc_Downside!AC22)</f>
        <v>32459.861100146489</v>
      </c>
      <c r="AD15" s="41">
        <f>CHOOSE(ScenarioNo,Calc_Base!AD22,Calc_Upside!AD22,Calc_Downside!AD22)</f>
        <v>37635.712284647903</v>
      </c>
      <c r="AE15" s="41">
        <f>CHOOSE(ScenarioNo,Calc_Base!AE22,Calc_Upside!AE22,Calc_Downside!AE22)</f>
        <v>43098.445877689519</v>
      </c>
      <c r="AF15" s="41">
        <f>CHOOSE(ScenarioNo,Calc_Base!AF22,Calc_Upside!AF22,Calc_Downside!AF22)</f>
        <v>48876.08830744755</v>
      </c>
      <c r="AG15" s="41">
        <f>CHOOSE(ScenarioNo,Calc_Base!AG22,Calc_Upside!AG22,Calc_Downside!AG22)</f>
        <v>55000.205715051343</v>
      </c>
      <c r="AH15" s="41">
        <f>CHOOSE(ScenarioNo,Calc_Base!AH22,Calc_Upside!AH22,Calc_Downside!AH22)</f>
        <v>61504.787783529529</v>
      </c>
      <c r="AI15" s="41">
        <f>CHOOSE(ScenarioNo,Calc_Base!AI22,Calc_Upside!AI22,Calc_Downside!AI22)</f>
        <v>68427.966695240844</v>
      </c>
      <c r="AJ15" s="41">
        <f>CHOOSE(ScenarioNo,Calc_Base!AJ22,Calc_Upside!AJ22,Calc_Downside!AJ22)</f>
        <v>75810.962478085494</v>
      </c>
      <c r="AK15" s="41">
        <f>CHOOSE(ScenarioNo,Calc_Base!AK22,Calc_Upside!AK22,Calc_Downside!AK22)</f>
        <v>83699.869814336445</v>
      </c>
      <c r="AL15" s="41">
        <f>CHOOSE(ScenarioNo,Calc_Base!AL22,Calc_Upside!AL22,Calc_Downside!AL22)</f>
        <v>92144.678229885743</v>
      </c>
      <c r="AM15" s="41">
        <f>CHOOSE(ScenarioNo,Calc_Base!AM22,Calc_Upside!AM22,Calc_Downside!AM22)</f>
        <v>101201.14146399347</v>
      </c>
      <c r="AN15" s="41">
        <f>CHOOSE(ScenarioNo,Calc_Base!AN22,Calc_Upside!AN22,Calc_Downside!AN22)</f>
        <v>110929.53800515689</v>
      </c>
      <c r="AO15" s="41">
        <f>CHOOSE(ScenarioNo,Calc_Base!AO22,Calc_Upside!AO22,Calc_Downside!AO22)</f>
        <v>121935.71882560382</v>
      </c>
      <c r="AP15" s="41">
        <f>CHOOSE(ScenarioNo,Calc_Base!AP22,Calc_Upside!AP22,Calc_Downside!AP22)</f>
        <v>128920.60093581887</v>
      </c>
      <c r="AQ15" s="41">
        <f>CHOOSE(ScenarioNo,Calc_Base!AQ22,Calc_Upside!AQ22,Calc_Downside!AQ22)</f>
        <v>136398.12652594998</v>
      </c>
      <c r="AR15" s="41">
        <f>CHOOSE(ScenarioNo,Calc_Base!AR22,Calc_Upside!AR22,Calc_Downside!AR22)</f>
        <v>144409.36954195146</v>
      </c>
      <c r="AS15" s="41">
        <f>CHOOSE(ScenarioNo,Calc_Base!AS22,Calc_Upside!AS22,Calc_Downside!AS22)</f>
        <v>152999.20359193822</v>
      </c>
      <c r="AT15" s="41">
        <f>CHOOSE(ScenarioNo,Calc_Base!AT22,Calc_Upside!AT22,Calc_Downside!AT22)</f>
        <v>162216.67333878737</v>
      </c>
      <c r="AU15" s="41">
        <f>CHOOSE(ScenarioNo,Calc_Base!AU22,Calc_Upside!AU22,Calc_Downside!AU22)</f>
        <v>172115.40319105927</v>
      </c>
      <c r="AV15" s="41">
        <f>CHOOSE(ScenarioNo,Calc_Base!AV22,Calc_Upside!AV22,Calc_Downside!AV22)</f>
        <v>182754.04708721043</v>
      </c>
      <c r="AW15" s="41">
        <f>CHOOSE(ScenarioNo,Calc_Base!AW22,Calc_Upside!AW22,Calc_Downside!AW22)</f>
        <v>194196.78355662758</v>
      </c>
      <c r="AX15" s="41">
        <f>CHOOSE(ScenarioNo,Calc_Base!AX22,Calc_Upside!AX22,Calc_Downside!AX22)</f>
        <v>206513.86066947333</v>
      </c>
      <c r="AY15" s="41">
        <f>CHOOSE(ScenarioNo,Calc_Base!AY22,Calc_Upside!AY22,Calc_Downside!AY22)</f>
        <v>219782.19595980551</v>
      </c>
      <c r="AZ15" s="41">
        <f>CHOOSE(ScenarioNo,Calc_Base!AZ22,Calc_Upside!AZ22,Calc_Downside!AZ22)</f>
        <v>234086.03692743718</v>
      </c>
      <c r="BA15" s="41">
        <f>CHOOSE(ScenarioNo,Calc_Base!BA22,Calc_Upside!BA22,Calc_Downside!BA22)</f>
        <v>247141.07726150911</v>
      </c>
      <c r="BB15" s="41">
        <f>CHOOSE(ScenarioNo,Calc_Base!BB22,Calc_Upside!BB22,Calc_Downside!BB22)</f>
        <v>256927.58857730313</v>
      </c>
      <c r="BC15" s="41">
        <f>CHOOSE(ScenarioNo,Calc_Base!BC22,Calc_Upside!BC22,Calc_Downside!BC22)</f>
        <v>267106.01380533341</v>
      </c>
      <c r="BD15" s="41">
        <f>CHOOSE(ScenarioNo,Calc_Base!BD22,Calc_Upside!BD22,Calc_Downside!BD22)</f>
        <v>277692.22581131977</v>
      </c>
      <c r="BE15" s="41">
        <f>CHOOSE(ScenarioNo,Calc_Base!BE22,Calc_Upside!BE22,Calc_Downside!BE22)</f>
        <v>288702.74752777745</v>
      </c>
      <c r="BF15" s="41">
        <f>CHOOSE(ScenarioNo,Calc_Base!BF22,Calc_Upside!BF22,Calc_Downside!BF22)</f>
        <v>300154.77886639233</v>
      </c>
      <c r="BG15" s="41">
        <f>CHOOSE(ScenarioNo,Calc_Base!BG22,Calc_Upside!BG22,Calc_Downside!BG22)</f>
        <v>312066.22475608403</v>
      </c>
      <c r="BH15" s="41">
        <f>CHOOSE(ScenarioNo,Calc_Base!BH22,Calc_Upside!BH22,Calc_Downside!BH22)</f>
        <v>324455.72435429716</v>
      </c>
      <c r="BI15" s="41">
        <f>CHOOSE(ScenarioNo,Calc_Base!BI22,Calc_Upside!BI22,Calc_Downside!BI22)</f>
        <v>337342.68148108921</v>
      </c>
      <c r="BJ15" s="41">
        <f>CHOOSE(ScenarioNo,Calc_Base!BJ22,Calc_Upside!BJ22,Calc_Downside!BJ22)</f>
        <v>350747.29632769519</v>
      </c>
      <c r="BK15" s="41">
        <f>CHOOSE(ScenarioNo,Calc_Base!BK22,Calc_Upside!BK22,Calc_Downside!BK22)</f>
        <v>364690.59849345265</v>
      </c>
      <c r="BL15" s="41">
        <f>CHOOSE(ScenarioNo,Calc_Base!BL22,Calc_Upside!BL22,Calc_Downside!BL22)</f>
        <v>379194.48140727053</v>
      </c>
    </row>
    <row r="16" spans="2:64" x14ac:dyDescent="0.35">
      <c r="B16" s="3" t="s">
        <v>243</v>
      </c>
      <c r="C16" s="18" t="s">
        <v>111</v>
      </c>
      <c r="D16" s="40">
        <f>CHOOSE(ScenarioNo,Calc_Base!D24,Calc_Upside!D24,Calc_Downside!D24)</f>
        <v>7551416.9900000067</v>
      </c>
      <c r="E16" s="40">
        <f>CHOOSE(ScenarioNo,Calc_Base!E24,Calc_Upside!E24,Calc_Downside!E24)</f>
        <v>0</v>
      </c>
      <c r="F16" s="40">
        <f>CHOOSE(ScenarioNo,Calc_Base!F24,Calc_Upside!F24,Calc_Downside!F24)</f>
        <v>0</v>
      </c>
      <c r="G16" s="40">
        <f>CHOOSE(ScenarioNo,Calc_Base!G24,Calc_Upside!G24,Calc_Downside!G24)</f>
        <v>0</v>
      </c>
      <c r="H16" s="40">
        <f>CHOOSE(ScenarioNo,Calc_Base!H24,Calc_Upside!H24,Calc_Downside!H24)</f>
        <v>0</v>
      </c>
      <c r="I16" s="40">
        <f>CHOOSE(ScenarioNo,Calc_Base!I24,Calc_Upside!I24,Calc_Downside!I24)</f>
        <v>0</v>
      </c>
      <c r="J16" s="40">
        <f>CHOOSE(ScenarioNo,Calc_Base!J24,Calc_Upside!J24,Calc_Downside!J24)</f>
        <v>0</v>
      </c>
      <c r="K16" s="40">
        <f>CHOOSE(ScenarioNo,Calc_Base!K24,Calc_Upside!K24,Calc_Downside!K24)</f>
        <v>0</v>
      </c>
      <c r="L16" s="40">
        <f>CHOOSE(ScenarioNo,Calc_Base!L24,Calc_Upside!L24,Calc_Downside!L24)</f>
        <v>4999.9115272500003</v>
      </c>
      <c r="M16" s="40">
        <f>CHOOSE(ScenarioNo,Calc_Base!M24,Calc_Upside!M24,Calc_Downside!M24)</f>
        <v>4999.9115272500003</v>
      </c>
      <c r="N16" s="40">
        <f>CHOOSE(ScenarioNo,Calc_Base!N24,Calc_Upside!N24,Calc_Downside!N24)</f>
        <v>60000.080076539991</v>
      </c>
      <c r="O16" s="40">
        <f>CHOOSE(ScenarioNo,Calc_Base!O24,Calc_Upside!O24,Calc_Downside!O24)</f>
        <v>60114.825905309997</v>
      </c>
      <c r="P16" s="40">
        <f>CHOOSE(ScenarioNo,Calc_Base!P24,Calc_Upside!P24,Calc_Downside!P24)</f>
        <v>60176.860963649997</v>
      </c>
      <c r="Q16" s="40">
        <f>CHOOSE(ScenarioNo,Calc_Base!Q24,Calc_Upside!Q24,Calc_Downside!Q24)</f>
        <v>95232.697733999987</v>
      </c>
      <c r="R16" s="40">
        <f>CHOOSE(ScenarioNo,Calc_Base!R24,Calc_Upside!R24,Calc_Downside!R24)</f>
        <v>95342.965964399991</v>
      </c>
      <c r="S16" s="40">
        <f>CHOOSE(ScenarioNo,Calc_Base!S24,Calc_Upside!S24,Calc_Downside!S24)</f>
        <v>95438.302038599984</v>
      </c>
      <c r="T16" s="40">
        <f>CHOOSE(ScenarioNo,Calc_Base!T24,Calc_Upside!T24,Calc_Downside!T24)</f>
        <v>95526.746348400004</v>
      </c>
      <c r="U16" s="40">
        <f>CHOOSE(ScenarioNo,Calc_Base!U24,Calc_Upside!U24,Calc_Downside!U24)</f>
        <v>95611.744775999992</v>
      </c>
      <c r="V16" s="40">
        <f>CHOOSE(ScenarioNo,Calc_Base!V24,Calc_Upside!V24,Calc_Downside!V24)</f>
        <v>95694.445948799985</v>
      </c>
      <c r="W16" s="40">
        <f>CHOOSE(ScenarioNo,Calc_Base!W24,Calc_Upside!W24,Calc_Downside!W24)</f>
        <v>95773.70123939999</v>
      </c>
      <c r="X16" s="40">
        <f>CHOOSE(ScenarioNo,Calc_Base!X24,Calc_Upside!X24,Calc_Downside!X24)</f>
        <v>95850.659275199985</v>
      </c>
      <c r="Y16" s="40">
        <f>CHOOSE(ScenarioNo,Calc_Base!Y24,Calc_Upside!Y24,Calc_Downside!Y24)</f>
        <v>95927.617310999995</v>
      </c>
      <c r="Z16" s="40">
        <f>CHOOSE(ScenarioNo,Calc_Base!Z24,Calc_Upside!Z24,Calc_Downside!Z24)</f>
        <v>96002.278091999993</v>
      </c>
      <c r="AA16" s="40">
        <f>CHOOSE(ScenarioNo,Calc_Base!AA24,Calc_Upside!AA24,Calc_Downside!AA24)</f>
        <v>96075.790245599987</v>
      </c>
      <c r="AB16" s="40">
        <f>CHOOSE(ScenarioNo,Calc_Base!AB24,Calc_Upside!AB24,Calc_Downside!AB24)</f>
        <v>96150.4510266</v>
      </c>
      <c r="AC16" s="40">
        <f>CHOOSE(ScenarioNo,Calc_Base!AC24,Calc_Upside!AC24,Calc_Downside!AC24)</f>
        <v>147127.73000000001</v>
      </c>
      <c r="AD16" s="40">
        <f>CHOOSE(ScenarioNo,Calc_Base!AD24,Calc_Upside!AD24,Calc_Downside!AD24)</f>
        <v>147127.73000000001</v>
      </c>
      <c r="AE16" s="40">
        <f>CHOOSE(ScenarioNo,Calc_Base!AE24,Calc_Upside!AE24,Calc_Downside!AE24)</f>
        <v>147127.73000000001</v>
      </c>
      <c r="AF16" s="40">
        <f>CHOOSE(ScenarioNo,Calc_Base!AF24,Calc_Upside!AF24,Calc_Downside!AF24)</f>
        <v>147127.73000000001</v>
      </c>
      <c r="AG16" s="40">
        <f>CHOOSE(ScenarioNo,Calc_Base!AG24,Calc_Upside!AG24,Calc_Downside!AG24)</f>
        <v>147127.73000000001</v>
      </c>
      <c r="AH16" s="40">
        <f>CHOOSE(ScenarioNo,Calc_Base!AH24,Calc_Upside!AH24,Calc_Downside!AH24)</f>
        <v>147127.73000000001</v>
      </c>
      <c r="AI16" s="40">
        <f>CHOOSE(ScenarioNo,Calc_Base!AI24,Calc_Upside!AI24,Calc_Downside!AI24)</f>
        <v>147127.73000000001</v>
      </c>
      <c r="AJ16" s="40">
        <f>CHOOSE(ScenarioNo,Calc_Base!AJ24,Calc_Upside!AJ24,Calc_Downside!AJ24)</f>
        <v>147127.73000000001</v>
      </c>
      <c r="AK16" s="40">
        <f>CHOOSE(ScenarioNo,Calc_Base!AK24,Calc_Upside!AK24,Calc_Downside!AK24)</f>
        <v>147127.73000000001</v>
      </c>
      <c r="AL16" s="40">
        <f>CHOOSE(ScenarioNo,Calc_Base!AL24,Calc_Upside!AL24,Calc_Downside!AL24)</f>
        <v>147127.73000000001</v>
      </c>
      <c r="AM16" s="40">
        <f>CHOOSE(ScenarioNo,Calc_Base!AM24,Calc_Upside!AM24,Calc_Downside!AM24)</f>
        <v>147127.73000000001</v>
      </c>
      <c r="AN16" s="40">
        <f>CHOOSE(ScenarioNo,Calc_Base!AN24,Calc_Upside!AN24,Calc_Downside!AN24)</f>
        <v>147127.73000000001</v>
      </c>
      <c r="AO16" s="40">
        <f>CHOOSE(ScenarioNo,Calc_Base!AO24,Calc_Upside!AO24,Calc_Downside!AO24)</f>
        <v>184158.34916666665</v>
      </c>
      <c r="AP16" s="40">
        <f>CHOOSE(ScenarioNo,Calc_Base!AP24,Calc_Upside!AP24,Calc_Downside!AP24)</f>
        <v>184158.34916666665</v>
      </c>
      <c r="AQ16" s="40">
        <f>CHOOSE(ScenarioNo,Calc_Base!AQ24,Calc_Upside!AQ24,Calc_Downside!AQ24)</f>
        <v>184158.34916666665</v>
      </c>
      <c r="AR16" s="40">
        <f>CHOOSE(ScenarioNo,Calc_Base!AR24,Calc_Upside!AR24,Calc_Downside!AR24)</f>
        <v>184158.34916666665</v>
      </c>
      <c r="AS16" s="40">
        <f>CHOOSE(ScenarioNo,Calc_Base!AS24,Calc_Upside!AS24,Calc_Downside!AS24)</f>
        <v>184158.34916666665</v>
      </c>
      <c r="AT16" s="40">
        <f>CHOOSE(ScenarioNo,Calc_Base!AT24,Calc_Upside!AT24,Calc_Downside!AT24)</f>
        <v>184158.34916666665</v>
      </c>
      <c r="AU16" s="40">
        <f>CHOOSE(ScenarioNo,Calc_Base!AU24,Calc_Upside!AU24,Calc_Downside!AU24)</f>
        <v>184158.34916666665</v>
      </c>
      <c r="AV16" s="40">
        <f>CHOOSE(ScenarioNo,Calc_Base!AV24,Calc_Upside!AV24,Calc_Downside!AV24)</f>
        <v>184158.34916666665</v>
      </c>
      <c r="AW16" s="40">
        <f>CHOOSE(ScenarioNo,Calc_Base!AW24,Calc_Upside!AW24,Calc_Downside!AW24)</f>
        <v>184158.34916666665</v>
      </c>
      <c r="AX16" s="40">
        <f>CHOOSE(ScenarioNo,Calc_Base!AX24,Calc_Upside!AX24,Calc_Downside!AX24)</f>
        <v>184158.34916666665</v>
      </c>
      <c r="AY16" s="40">
        <f>CHOOSE(ScenarioNo,Calc_Base!AY24,Calc_Upside!AY24,Calc_Downside!AY24)</f>
        <v>184158.34916666665</v>
      </c>
      <c r="AZ16" s="40">
        <f>CHOOSE(ScenarioNo,Calc_Base!AZ24,Calc_Upside!AZ24,Calc_Downside!AZ24)</f>
        <v>184158.34916666665</v>
      </c>
      <c r="BA16" s="40">
        <f>CHOOSE(ScenarioNo,Calc_Base!BA24,Calc_Upside!BA24,Calc_Downside!BA24)</f>
        <v>186422.08749999999</v>
      </c>
      <c r="BB16" s="40">
        <f>CHOOSE(ScenarioNo,Calc_Base!BB24,Calc_Upside!BB24,Calc_Downside!BB24)</f>
        <v>186422.08749999999</v>
      </c>
      <c r="BC16" s="40">
        <f>CHOOSE(ScenarioNo,Calc_Base!BC24,Calc_Upside!BC24,Calc_Downside!BC24)</f>
        <v>186422.08749999999</v>
      </c>
      <c r="BD16" s="40">
        <f>CHOOSE(ScenarioNo,Calc_Base!BD24,Calc_Upside!BD24,Calc_Downside!BD24)</f>
        <v>186422.08749999999</v>
      </c>
      <c r="BE16" s="40">
        <f>CHOOSE(ScenarioNo,Calc_Base!BE24,Calc_Upside!BE24,Calc_Downside!BE24)</f>
        <v>186422.08749999999</v>
      </c>
      <c r="BF16" s="40">
        <f>CHOOSE(ScenarioNo,Calc_Base!BF24,Calc_Upside!BF24,Calc_Downside!BF24)</f>
        <v>186422.08749999999</v>
      </c>
      <c r="BG16" s="40">
        <f>CHOOSE(ScenarioNo,Calc_Base!BG24,Calc_Upside!BG24,Calc_Downside!BG24)</f>
        <v>186422.08749999999</v>
      </c>
      <c r="BH16" s="40">
        <f>CHOOSE(ScenarioNo,Calc_Base!BH24,Calc_Upside!BH24,Calc_Downside!BH24)</f>
        <v>186422.08749999999</v>
      </c>
      <c r="BI16" s="40">
        <f>CHOOSE(ScenarioNo,Calc_Base!BI24,Calc_Upside!BI24,Calc_Downside!BI24)</f>
        <v>186422.08749999999</v>
      </c>
      <c r="BJ16" s="40">
        <f>CHOOSE(ScenarioNo,Calc_Base!BJ24,Calc_Upside!BJ24,Calc_Downside!BJ24)</f>
        <v>186422.08749999999</v>
      </c>
      <c r="BK16" s="40">
        <f>CHOOSE(ScenarioNo,Calc_Base!BK24,Calc_Upside!BK24,Calc_Downside!BK24)</f>
        <v>186422.08749999999</v>
      </c>
      <c r="BL16" s="40">
        <f>CHOOSE(ScenarioNo,Calc_Base!BL24,Calc_Upside!BL24,Calc_Downside!BL24)</f>
        <v>186422.08749999999</v>
      </c>
    </row>
    <row r="17" spans="2:64" x14ac:dyDescent="0.35">
      <c r="B17" s="3" t="s">
        <v>287</v>
      </c>
      <c r="C17" s="18" t="s">
        <v>111</v>
      </c>
      <c r="D17" s="40">
        <f>CHOOSE(ScenarioNo,Calc_Base!D26,Calc_Upside!D26,Calc_Downside!D26)</f>
        <v>7618299.7443952924</v>
      </c>
      <c r="E17" s="40">
        <f>CHOOSE(ScenarioNo,Calc_Base!E26,Calc_Upside!E26,Calc_Downside!E26)</f>
        <v>23662.822207721842</v>
      </c>
      <c r="F17" s="40">
        <f>CHOOSE(ScenarioNo,Calc_Base!F26,Calc_Upside!F26,Calc_Downside!F26)</f>
        <v>31550.976487325719</v>
      </c>
      <c r="G17" s="40">
        <f>CHOOSE(ScenarioNo,Calc_Base!G26,Calc_Upside!G26,Calc_Downside!G26)</f>
        <v>39438.310451384699</v>
      </c>
      <c r="H17" s="40">
        <f>CHOOSE(ScenarioNo,Calc_Base!H26,Calc_Upside!H26,Calc_Downside!H26)</f>
        <v>55213.798695047568</v>
      </c>
      <c r="I17" s="40">
        <f>CHOOSE(ScenarioNo,Calc_Base!I26,Calc_Upside!I26,Calc_Downside!I26)</f>
        <v>63101.132659106544</v>
      </c>
      <c r="J17" s="40">
        <f>CHOOSE(ScenarioNo,Calc_Base!J26,Calc_Upside!J26,Calc_Downside!J26)</f>
        <v>63101.132659106544</v>
      </c>
      <c r="K17" s="40">
        <f>CHOOSE(ScenarioNo,Calc_Base!K26,Calc_Upside!K26,Calc_Downside!K26)</f>
        <v>63101.132659106544</v>
      </c>
      <c r="L17" s="40">
        <f>CHOOSE(ScenarioNo,Calc_Base!L26,Calc_Upside!L26,Calc_Downside!L26)</f>
        <v>78876.620902769399</v>
      </c>
      <c r="M17" s="40">
        <f>CHOOSE(ScenarioNo,Calc_Base!M26,Calc_Upside!M26,Calc_Downside!M26)</f>
        <v>94652.109146432267</v>
      </c>
      <c r="N17" s="40">
        <f>CHOOSE(ScenarioNo,Calc_Base!N26,Calc_Upside!N26,Calc_Downside!N26)</f>
        <v>102539.44311049125</v>
      </c>
      <c r="O17" s="40">
        <f>CHOOSE(ScenarioNo,Calc_Base!O26,Calc_Upside!O26,Calc_Downside!O26)</f>
        <v>102539.44311049125</v>
      </c>
      <c r="P17" s="40">
        <f>CHOOSE(ScenarioNo,Calc_Base!P26,Calc_Upside!P26,Calc_Downside!P26)</f>
        <v>102538.62279494636</v>
      </c>
      <c r="Q17" s="40">
        <f>CHOOSE(ScenarioNo,Calc_Base!Q26,Calc_Upside!Q26,Calc_Downside!Q26)</f>
        <v>116511.87553248719</v>
      </c>
      <c r="R17" s="40">
        <f>CHOOSE(ScenarioNo,Calc_Base!R26,Calc_Upside!R26,Calc_Downside!R26)</f>
        <v>116511.87553248719</v>
      </c>
      <c r="S17" s="40">
        <f>CHOOSE(ScenarioNo,Calc_Base!S26,Calc_Upside!S26,Calc_Downside!S26)</f>
        <v>116511.87553248719</v>
      </c>
      <c r="T17" s="40">
        <f>CHOOSE(ScenarioNo,Calc_Base!T26,Calc_Upside!T26,Calc_Downside!T26)</f>
        <v>116511.87553248719</v>
      </c>
      <c r="U17" s="40">
        <f>CHOOSE(ScenarioNo,Calc_Base!U26,Calc_Upside!U26,Calc_Downside!U26)</f>
        <v>116511.87553248719</v>
      </c>
      <c r="V17" s="40">
        <f>CHOOSE(ScenarioNo,Calc_Base!V26,Calc_Upside!V26,Calc_Downside!V26)</f>
        <v>116511.87553248719</v>
      </c>
      <c r="W17" s="40">
        <f>CHOOSE(ScenarioNo,Calc_Base!W26,Calc_Upside!W26,Calc_Downside!W26)</f>
        <v>124833.73624239507</v>
      </c>
      <c r="X17" s="40">
        <f>CHOOSE(ScenarioNo,Calc_Base!X26,Calc_Upside!X26,Calc_Downside!X26)</f>
        <v>124833.73624239507</v>
      </c>
      <c r="Y17" s="40">
        <f>CHOOSE(ScenarioNo,Calc_Base!Y26,Calc_Upside!Y26,Calc_Downside!Y26)</f>
        <v>124833.73624239507</v>
      </c>
      <c r="Z17" s="40">
        <f>CHOOSE(ScenarioNo,Calc_Base!Z26,Calc_Upside!Z26,Calc_Downside!Z26)</f>
        <v>124833.73624239507</v>
      </c>
      <c r="AA17" s="40">
        <f>CHOOSE(ScenarioNo,Calc_Base!AA26,Calc_Upside!AA26,Calc_Downside!AA26)</f>
        <v>124833.73624239507</v>
      </c>
      <c r="AB17" s="40">
        <f>CHOOSE(ScenarioNo,Calc_Base!AB26,Calc_Upside!AB26,Calc_Downside!AB26)</f>
        <v>133158.50974919126</v>
      </c>
      <c r="AC17" s="40">
        <f>CHOOSE(ScenarioNo,Calc_Base!AC26,Calc_Upside!AC26,Calc_Downside!AC26)</f>
        <v>140493.66189356623</v>
      </c>
      <c r="AD17" s="40">
        <f>CHOOSE(ScenarioNo,Calc_Base!AD26,Calc_Upside!AD26,Calc_Downside!AD26)</f>
        <v>140493.66189356623</v>
      </c>
      <c r="AE17" s="40">
        <f>CHOOSE(ScenarioNo,Calc_Base!AE26,Calc_Upside!AE26,Calc_Downside!AE26)</f>
        <v>140493.66189356623</v>
      </c>
      <c r="AF17" s="40">
        <f>CHOOSE(ScenarioNo,Calc_Base!AF26,Calc_Upside!AF26,Calc_Downside!AF26)</f>
        <v>140493.66189356623</v>
      </c>
      <c r="AG17" s="40">
        <f>CHOOSE(ScenarioNo,Calc_Base!AG26,Calc_Upside!AG26,Calc_Downside!AG26)</f>
        <v>140493.66189356623</v>
      </c>
      <c r="AH17" s="40">
        <f>CHOOSE(ScenarioNo,Calc_Base!AH26,Calc_Upside!AH26,Calc_Downside!AH26)</f>
        <v>140493.66189356623</v>
      </c>
      <c r="AI17" s="40">
        <f>CHOOSE(ScenarioNo,Calc_Base!AI26,Calc_Upside!AI26,Calc_Downside!AI26)</f>
        <v>140493.66189356623</v>
      </c>
      <c r="AJ17" s="40">
        <f>CHOOSE(ScenarioNo,Calc_Base!AJ26,Calc_Upside!AJ26,Calc_Downside!AJ26)</f>
        <v>140493.66189356623</v>
      </c>
      <c r="AK17" s="40">
        <f>CHOOSE(ScenarioNo,Calc_Base!AK26,Calc_Upside!AK26,Calc_Downside!AK26)</f>
        <v>140493.66189356623</v>
      </c>
      <c r="AL17" s="40">
        <f>CHOOSE(ScenarioNo,Calc_Base!AL26,Calc_Upside!AL26,Calc_Downside!AL26)</f>
        <v>140493.66189356623</v>
      </c>
      <c r="AM17" s="40">
        <f>CHOOSE(ScenarioNo,Calc_Base!AM26,Calc_Upside!AM26,Calc_Downside!AM26)</f>
        <v>140493.66189356623</v>
      </c>
      <c r="AN17" s="40">
        <f>CHOOSE(ScenarioNo,Calc_Base!AN26,Calc_Upside!AN26,Calc_Downside!AN26)</f>
        <v>140493.66189356623</v>
      </c>
      <c r="AO17" s="40">
        <f>CHOOSE(ScenarioNo,Calc_Base!AO26,Calc_Upside!AO26,Calc_Downside!AO26)</f>
        <v>148235.19001413393</v>
      </c>
      <c r="AP17" s="40">
        <f>CHOOSE(ScenarioNo,Calc_Base!AP26,Calc_Upside!AP26,Calc_Downside!AP26)</f>
        <v>148235.19001413393</v>
      </c>
      <c r="AQ17" s="40">
        <f>CHOOSE(ScenarioNo,Calc_Base!AQ26,Calc_Upside!AQ26,Calc_Downside!AQ26)</f>
        <v>148235.19001413393</v>
      </c>
      <c r="AR17" s="40">
        <f>CHOOSE(ScenarioNo,Calc_Base!AR26,Calc_Upside!AR26,Calc_Downside!AR26)</f>
        <v>148235.19001413393</v>
      </c>
      <c r="AS17" s="40">
        <f>CHOOSE(ScenarioNo,Calc_Base!AS26,Calc_Upside!AS26,Calc_Downside!AS26)</f>
        <v>148235.19001413393</v>
      </c>
      <c r="AT17" s="40">
        <f>CHOOSE(ScenarioNo,Calc_Base!AT26,Calc_Upside!AT26,Calc_Downside!AT26)</f>
        <v>148235.19001413393</v>
      </c>
      <c r="AU17" s="40">
        <f>CHOOSE(ScenarioNo,Calc_Base!AU26,Calc_Upside!AU26,Calc_Downside!AU26)</f>
        <v>148235.19001413393</v>
      </c>
      <c r="AV17" s="40">
        <f>CHOOSE(ScenarioNo,Calc_Base!AV26,Calc_Upside!AV26,Calc_Downside!AV26)</f>
        <v>148235.19001413393</v>
      </c>
      <c r="AW17" s="40">
        <f>CHOOSE(ScenarioNo,Calc_Base!AW26,Calc_Upside!AW26,Calc_Downside!AW26)</f>
        <v>148235.19001413393</v>
      </c>
      <c r="AX17" s="40">
        <f>CHOOSE(ScenarioNo,Calc_Base!AX26,Calc_Upside!AX26,Calc_Downside!AX26)</f>
        <v>148235.19001413393</v>
      </c>
      <c r="AY17" s="40">
        <f>CHOOSE(ScenarioNo,Calc_Base!AY26,Calc_Upside!AY26,Calc_Downside!AY26)</f>
        <v>148235.19001413393</v>
      </c>
      <c r="AZ17" s="40">
        <f>CHOOSE(ScenarioNo,Calc_Base!AZ26,Calc_Upside!AZ26,Calc_Downside!AZ26)</f>
        <v>148235.19001413393</v>
      </c>
      <c r="BA17" s="40">
        <f>CHOOSE(ScenarioNo,Calc_Base!BA26,Calc_Upside!BA26,Calc_Downside!BA26)</f>
        <v>156403.29437190545</v>
      </c>
      <c r="BB17" s="40">
        <f>CHOOSE(ScenarioNo,Calc_Base!BB26,Calc_Upside!BB26,Calc_Downside!BB26)</f>
        <v>156403.29437190545</v>
      </c>
      <c r="BC17" s="40">
        <f>CHOOSE(ScenarioNo,Calc_Base!BC26,Calc_Upside!BC26,Calc_Downside!BC26)</f>
        <v>156403.29437190545</v>
      </c>
      <c r="BD17" s="40">
        <f>CHOOSE(ScenarioNo,Calc_Base!BD26,Calc_Upside!BD26,Calc_Downside!BD26)</f>
        <v>156403.29437190545</v>
      </c>
      <c r="BE17" s="40">
        <f>CHOOSE(ScenarioNo,Calc_Base!BE26,Calc_Upside!BE26,Calc_Downside!BE26)</f>
        <v>156403.29437190545</v>
      </c>
      <c r="BF17" s="40">
        <f>CHOOSE(ScenarioNo,Calc_Base!BF26,Calc_Upside!BF26,Calc_Downside!BF26)</f>
        <v>156403.29437190545</v>
      </c>
      <c r="BG17" s="40">
        <f>CHOOSE(ScenarioNo,Calc_Base!BG26,Calc_Upside!BG26,Calc_Downside!BG26)</f>
        <v>156403.29437190545</v>
      </c>
      <c r="BH17" s="40">
        <f>CHOOSE(ScenarioNo,Calc_Base!BH26,Calc_Upside!BH26,Calc_Downside!BH26)</f>
        <v>156403.29437190545</v>
      </c>
      <c r="BI17" s="40">
        <f>CHOOSE(ScenarioNo,Calc_Base!BI26,Calc_Upside!BI26,Calc_Downside!BI26)</f>
        <v>156403.29437190545</v>
      </c>
      <c r="BJ17" s="40">
        <f>CHOOSE(ScenarioNo,Calc_Base!BJ26,Calc_Upside!BJ26,Calc_Downside!BJ26)</f>
        <v>156403.29437190545</v>
      </c>
      <c r="BK17" s="40">
        <f>CHOOSE(ScenarioNo,Calc_Base!BK26,Calc_Upside!BK26,Calc_Downside!BK26)</f>
        <v>156403.29437190545</v>
      </c>
      <c r="BL17" s="40">
        <f>CHOOSE(ScenarioNo,Calc_Base!BL26,Calc_Upside!BL26,Calc_Downside!BL26)</f>
        <v>156403.29437190545</v>
      </c>
    </row>
    <row r="18" spans="2:64" x14ac:dyDescent="0.35">
      <c r="B18" s="3" t="s">
        <v>288</v>
      </c>
      <c r="C18" s="18" t="s">
        <v>111</v>
      </c>
      <c r="D18" s="40">
        <f>CHOOSE(ScenarioNo,Calc_Base!D27,Calc_Upside!D27,Calc_Downside!D27)</f>
        <v>3041424.4600000028</v>
      </c>
      <c r="E18" s="40">
        <f>CHOOSE(ScenarioNo,Calc_Base!E27,Calc_Upside!E27,Calc_Downside!E27)</f>
        <v>29677.643700799999</v>
      </c>
      <c r="F18" s="40">
        <f>CHOOSE(ScenarioNo,Calc_Base!F27,Calc_Upside!F27,Calc_Downside!F27)</f>
        <v>29393.474062300003</v>
      </c>
      <c r="G18" s="40">
        <f>CHOOSE(ScenarioNo,Calc_Base!G27,Calc_Upside!G27,Calc_Downside!G27)</f>
        <v>29119.637865200002</v>
      </c>
      <c r="H18" s="40">
        <f>CHOOSE(ScenarioNo,Calc_Base!H27,Calc_Upside!H27,Calc_Downside!H27)</f>
        <v>50865.331947359999</v>
      </c>
      <c r="I18" s="40">
        <f>CHOOSE(ScenarioNo,Calc_Base!I27,Calc_Upside!I27,Calc_Downside!I27)</f>
        <v>42668.84622888</v>
      </c>
      <c r="J18" s="40">
        <f>CHOOSE(ScenarioNo,Calc_Base!J27,Calc_Upside!J27,Calc_Downside!J27)</f>
        <v>33659.63534429</v>
      </c>
      <c r="K18" s="40">
        <f>CHOOSE(ScenarioNo,Calc_Base!K27,Calc_Upside!K27,Calc_Downside!K27)</f>
        <v>33659.63534429</v>
      </c>
      <c r="L18" s="40">
        <f>CHOOSE(ScenarioNo,Calc_Base!L27,Calc_Upside!L27,Calc_Downside!L27)</f>
        <v>88294.606714369991</v>
      </c>
      <c r="M18" s="40">
        <f>CHOOSE(ScenarioNo,Calc_Base!M27,Calc_Upside!M27,Calc_Downside!M27)</f>
        <v>56232.521410519999</v>
      </c>
      <c r="N18" s="40">
        <f>CHOOSE(ScenarioNo,Calc_Base!N27,Calc_Upside!N27,Calc_Downside!N27)</f>
        <v>42928.73228009</v>
      </c>
      <c r="O18" s="40">
        <f>CHOOSE(ScenarioNo,Calc_Base!O27,Calc_Upside!O27,Calc_Downside!O27)</f>
        <v>37723.261174839994</v>
      </c>
      <c r="P18" s="40">
        <f>CHOOSE(ScenarioNo,Calc_Base!P27,Calc_Upside!P27,Calc_Downside!P27)</f>
        <v>42448.743927060001</v>
      </c>
      <c r="Q18" s="40">
        <f>CHOOSE(ScenarioNo,Calc_Base!Q27,Calc_Upside!Q27,Calc_Downside!Q27)</f>
        <v>79794.639351089994</v>
      </c>
      <c r="R18" s="40">
        <f>CHOOSE(ScenarioNo,Calc_Base!R27,Calc_Upside!R27,Calc_Downside!R27)</f>
        <v>46605.98091857999</v>
      </c>
      <c r="S18" s="40">
        <f>CHOOSE(ScenarioNo,Calc_Base!S27,Calc_Upside!S27,Calc_Downside!S27)</f>
        <v>46605.98091857999</v>
      </c>
      <c r="T18" s="40">
        <f>CHOOSE(ScenarioNo,Calc_Base!T27,Calc_Upside!T27,Calc_Downside!T27)</f>
        <v>46605.98091857999</v>
      </c>
      <c r="U18" s="40">
        <f>CHOOSE(ScenarioNo,Calc_Base!U27,Calc_Upside!U27,Calc_Downside!U27)</f>
        <v>46605.98091857999</v>
      </c>
      <c r="V18" s="40">
        <f>CHOOSE(ScenarioNo,Calc_Base!V27,Calc_Upside!V27,Calc_Downside!V27)</f>
        <v>46605.98091857999</v>
      </c>
      <c r="W18" s="40">
        <f>CHOOSE(ScenarioNo,Calc_Base!W27,Calc_Upside!W27,Calc_Downside!W27)</f>
        <v>173357.17255962</v>
      </c>
      <c r="X18" s="40">
        <f>CHOOSE(ScenarioNo,Calc_Base!X27,Calc_Upside!X27,Calc_Downside!X27)</f>
        <v>47419.039680509995</v>
      </c>
      <c r="Y18" s="40">
        <f>CHOOSE(ScenarioNo,Calc_Base!Y27,Calc_Upside!Y27,Calc_Downside!Y27)</f>
        <v>47419.039680509995</v>
      </c>
      <c r="Z18" s="40">
        <f>CHOOSE(ScenarioNo,Calc_Base!Z27,Calc_Upside!Z27,Calc_Downside!Z27)</f>
        <v>47419.039680509995</v>
      </c>
      <c r="AA18" s="40">
        <f>CHOOSE(ScenarioNo,Calc_Base!AA27,Calc_Upside!AA27,Calc_Downside!AA27)</f>
        <v>47419.039680509995</v>
      </c>
      <c r="AB18" s="40">
        <f>CHOOSE(ScenarioNo,Calc_Base!AB27,Calc_Upside!AB27,Calc_Downside!AB27)</f>
        <v>65307.814774349994</v>
      </c>
      <c r="AC18" s="40">
        <f>CHOOSE(ScenarioNo,Calc_Base!AC27,Calc_Upside!AC27,Calc_Downside!AC27)</f>
        <v>49544.075000000004</v>
      </c>
      <c r="AD18" s="40">
        <f>CHOOSE(ScenarioNo,Calc_Base!AD27,Calc_Upside!AD27,Calc_Downside!AD27)</f>
        <v>49544.075000000004</v>
      </c>
      <c r="AE18" s="40">
        <f>CHOOSE(ScenarioNo,Calc_Base!AE27,Calc_Upside!AE27,Calc_Downside!AE27)</f>
        <v>49544.075000000004</v>
      </c>
      <c r="AF18" s="40">
        <f>CHOOSE(ScenarioNo,Calc_Base!AF27,Calc_Upside!AF27,Calc_Downside!AF27)</f>
        <v>49544.075000000004</v>
      </c>
      <c r="AG18" s="40">
        <f>CHOOSE(ScenarioNo,Calc_Base!AG27,Calc_Upside!AG27,Calc_Downside!AG27)</f>
        <v>49544.075000000004</v>
      </c>
      <c r="AH18" s="40">
        <f>CHOOSE(ScenarioNo,Calc_Base!AH27,Calc_Upside!AH27,Calc_Downside!AH27)</f>
        <v>49544.075000000004</v>
      </c>
      <c r="AI18" s="40">
        <f>CHOOSE(ScenarioNo,Calc_Base!AI27,Calc_Upside!AI27,Calc_Downside!AI27)</f>
        <v>49544.075000000004</v>
      </c>
      <c r="AJ18" s="40">
        <f>CHOOSE(ScenarioNo,Calc_Base!AJ27,Calc_Upside!AJ27,Calc_Downside!AJ27)</f>
        <v>49544.075000000004</v>
      </c>
      <c r="AK18" s="40">
        <f>CHOOSE(ScenarioNo,Calc_Base!AK27,Calc_Upside!AK27,Calc_Downside!AK27)</f>
        <v>49544.075000000004</v>
      </c>
      <c r="AL18" s="40">
        <f>CHOOSE(ScenarioNo,Calc_Base!AL27,Calc_Upside!AL27,Calc_Downside!AL27)</f>
        <v>49544.075000000004</v>
      </c>
      <c r="AM18" s="40">
        <f>CHOOSE(ScenarioNo,Calc_Base!AM27,Calc_Upside!AM27,Calc_Downside!AM27)</f>
        <v>49544.075000000004</v>
      </c>
      <c r="AN18" s="40">
        <f>CHOOSE(ScenarioNo,Calc_Base!AN27,Calc_Upside!AN27,Calc_Downside!AN27)</f>
        <v>49544.075000000004</v>
      </c>
      <c r="AO18" s="40">
        <f>CHOOSE(ScenarioNo,Calc_Base!AO27,Calc_Upside!AO27,Calc_Downside!AO27)</f>
        <v>49544.075000000004</v>
      </c>
      <c r="AP18" s="40">
        <f>CHOOSE(ScenarioNo,Calc_Base!AP27,Calc_Upside!AP27,Calc_Downside!AP27)</f>
        <v>49544.075000000004</v>
      </c>
      <c r="AQ18" s="40">
        <f>CHOOSE(ScenarioNo,Calc_Base!AQ27,Calc_Upside!AQ27,Calc_Downside!AQ27)</f>
        <v>49544.075000000004</v>
      </c>
      <c r="AR18" s="40">
        <f>CHOOSE(ScenarioNo,Calc_Base!AR27,Calc_Upside!AR27,Calc_Downside!AR27)</f>
        <v>49544.075000000004</v>
      </c>
      <c r="AS18" s="40">
        <f>CHOOSE(ScenarioNo,Calc_Base!AS27,Calc_Upside!AS27,Calc_Downside!AS27)</f>
        <v>49544.075000000004</v>
      </c>
      <c r="AT18" s="40">
        <f>CHOOSE(ScenarioNo,Calc_Base!AT27,Calc_Upside!AT27,Calc_Downside!AT27)</f>
        <v>49544.075000000004</v>
      </c>
      <c r="AU18" s="40">
        <f>CHOOSE(ScenarioNo,Calc_Base!AU27,Calc_Upside!AU27,Calc_Downside!AU27)</f>
        <v>49544.075000000004</v>
      </c>
      <c r="AV18" s="40">
        <f>CHOOSE(ScenarioNo,Calc_Base!AV27,Calc_Upside!AV27,Calc_Downside!AV27)</f>
        <v>49544.075000000004</v>
      </c>
      <c r="AW18" s="40">
        <f>CHOOSE(ScenarioNo,Calc_Base!AW27,Calc_Upside!AW27,Calc_Downside!AW27)</f>
        <v>49544.075000000004</v>
      </c>
      <c r="AX18" s="40">
        <f>CHOOSE(ScenarioNo,Calc_Base!AX27,Calc_Upside!AX27,Calc_Downside!AX27)</f>
        <v>49544.075000000004</v>
      </c>
      <c r="AY18" s="40">
        <f>CHOOSE(ScenarioNo,Calc_Base!AY27,Calc_Upside!AY27,Calc_Downside!AY27)</f>
        <v>49544.075000000004</v>
      </c>
      <c r="AZ18" s="40">
        <f>CHOOSE(ScenarioNo,Calc_Base!AZ27,Calc_Upside!AZ27,Calc_Downside!AZ27)</f>
        <v>49544.075000000004</v>
      </c>
      <c r="BA18" s="40">
        <f>CHOOSE(ScenarioNo,Calc_Base!BA27,Calc_Upside!BA27,Calc_Downside!BA27)</f>
        <v>49544.075000000004</v>
      </c>
      <c r="BB18" s="40">
        <f>CHOOSE(ScenarioNo,Calc_Base!BB27,Calc_Upside!BB27,Calc_Downside!BB27)</f>
        <v>49544.075000000004</v>
      </c>
      <c r="BC18" s="40">
        <f>CHOOSE(ScenarioNo,Calc_Base!BC27,Calc_Upside!BC27,Calc_Downside!BC27)</f>
        <v>49544.075000000004</v>
      </c>
      <c r="BD18" s="40">
        <f>CHOOSE(ScenarioNo,Calc_Base!BD27,Calc_Upside!BD27,Calc_Downside!BD27)</f>
        <v>49544.075000000004</v>
      </c>
      <c r="BE18" s="40">
        <f>CHOOSE(ScenarioNo,Calc_Base!BE27,Calc_Upside!BE27,Calc_Downside!BE27)</f>
        <v>49544.075000000004</v>
      </c>
      <c r="BF18" s="40">
        <f>CHOOSE(ScenarioNo,Calc_Base!BF27,Calc_Upside!BF27,Calc_Downside!BF27)</f>
        <v>49544.075000000004</v>
      </c>
      <c r="BG18" s="40">
        <f>CHOOSE(ScenarioNo,Calc_Base!BG27,Calc_Upside!BG27,Calc_Downside!BG27)</f>
        <v>49544.075000000004</v>
      </c>
      <c r="BH18" s="40">
        <f>CHOOSE(ScenarioNo,Calc_Base!BH27,Calc_Upside!BH27,Calc_Downside!BH27)</f>
        <v>49544.075000000004</v>
      </c>
      <c r="BI18" s="40">
        <f>CHOOSE(ScenarioNo,Calc_Base!BI27,Calc_Upside!BI27,Calc_Downside!BI27)</f>
        <v>49544.075000000004</v>
      </c>
      <c r="BJ18" s="40">
        <f>CHOOSE(ScenarioNo,Calc_Base!BJ27,Calc_Upside!BJ27,Calc_Downside!BJ27)</f>
        <v>49544.075000000004</v>
      </c>
      <c r="BK18" s="40">
        <f>CHOOSE(ScenarioNo,Calc_Base!BK27,Calc_Upside!BK27,Calc_Downside!BK27)</f>
        <v>49544.075000000004</v>
      </c>
      <c r="BL18" s="40">
        <f>CHOOSE(ScenarioNo,Calc_Base!BL27,Calc_Upside!BL27,Calc_Downside!BL27)</f>
        <v>49544.075000000004</v>
      </c>
    </row>
    <row r="19" spans="2:64" x14ac:dyDescent="0.35">
      <c r="B19" s="4" t="s">
        <v>289</v>
      </c>
      <c r="C19" s="18" t="s">
        <v>111</v>
      </c>
      <c r="D19" s="41">
        <f>CHOOSE(ScenarioNo,Calc_Base!D28,Calc_Upside!D28,Calc_Downside!D28)</f>
        <v>-11495746.972910298</v>
      </c>
      <c r="E19" s="41">
        <f>CHOOSE(ScenarioNo,Calc_Base!E28,Calc_Upside!E28,Calc_Downside!E28)</f>
        <v>-53340.465908521845</v>
      </c>
      <c r="F19" s="41">
        <f>CHOOSE(ScenarioNo,Calc_Base!F28,Calc_Upside!F28,Calc_Downside!F28)</f>
        <v>-60944.450549625719</v>
      </c>
      <c r="G19" s="41">
        <f>CHOOSE(ScenarioNo,Calc_Base!G28,Calc_Upside!G28,Calc_Downside!G28)</f>
        <v>-68557.948316584705</v>
      </c>
      <c r="H19" s="41">
        <f>CHOOSE(ScenarioNo,Calc_Base!H28,Calc_Upside!H28,Calc_Downside!H28)</f>
        <v>-106079.13064240757</v>
      </c>
      <c r="I19" s="41">
        <f>CHOOSE(ScenarioNo,Calc_Base!I28,Calc_Upside!I28,Calc_Downside!I28)</f>
        <v>-105769.97888798654</v>
      </c>
      <c r="J19" s="41">
        <f>CHOOSE(ScenarioNo,Calc_Base!J28,Calc_Upside!J28,Calc_Downside!J28)</f>
        <v>-96760.768003396544</v>
      </c>
      <c r="K19" s="41">
        <f>CHOOSE(ScenarioNo,Calc_Base!K28,Calc_Upside!K28,Calc_Downside!K28)</f>
        <v>-96760.768003396544</v>
      </c>
      <c r="L19" s="41">
        <f>CHOOSE(ScenarioNo,Calc_Base!L28,Calc_Upside!L28,Calc_Downside!L28)</f>
        <v>-172171.1391443894</v>
      </c>
      <c r="M19" s="41">
        <f>CHOOSE(ScenarioNo,Calc_Base!M28,Calc_Upside!M28,Calc_Downside!M28)</f>
        <v>-155884.54208420229</v>
      </c>
      <c r="N19" s="41">
        <f>CHOOSE(ScenarioNo,Calc_Base!N28,Calc_Upside!N28,Calc_Downside!N28)</f>
        <v>-207960.14957297326</v>
      </c>
      <c r="O19" s="41">
        <f>CHOOSE(ScenarioNo,Calc_Base!O28,Calc_Upside!O28,Calc_Downside!O28)</f>
        <v>-204949.24391235888</v>
      </c>
      <c r="P19" s="41">
        <f>CHOOSE(ScenarioNo,Calc_Base!P28,Calc_Upside!P28,Calc_Downside!P28)</f>
        <v>-211795.80713537667</v>
      </c>
      <c r="Q19" s="41">
        <f>CHOOSE(ScenarioNo,Calc_Base!Q28,Calc_Upside!Q28,Calc_Downside!Q28)</f>
        <v>-287997.68018807378</v>
      </c>
      <c r="R19" s="41">
        <f>CHOOSE(ScenarioNo,Calc_Base!R28,Calc_Upside!R28,Calc_Downside!R28)</f>
        <v>-253319.88683753126</v>
      </c>
      <c r="S19" s="41">
        <f>CHOOSE(ScenarioNo,Calc_Base!S28,Calc_Upside!S28,Calc_Downside!S28)</f>
        <v>-251773.91771225826</v>
      </c>
      <c r="T19" s="41">
        <f>CHOOSE(ScenarioNo,Calc_Base!T28,Calc_Upside!T28,Calc_Downside!T28)</f>
        <v>-250172.36655714651</v>
      </c>
      <c r="U19" s="41">
        <f>CHOOSE(ScenarioNo,Calc_Base!U28,Calc_Upside!U28,Calc_Downside!U28)</f>
        <v>-248530.52090177211</v>
      </c>
      <c r="V19" s="41">
        <f>CHOOSE(ScenarioNo,Calc_Base!V28,Calc_Upside!V28,Calc_Downside!V28)</f>
        <v>-246852.72706244435</v>
      </c>
      <c r="W19" s="41">
        <f>CHOOSE(ScenarioNo,Calc_Base!W28,Calc_Upside!W28,Calc_Downside!W28)</f>
        <v>-380214.94194550673</v>
      </c>
      <c r="X19" s="41">
        <f>CHOOSE(ScenarioNo,Calc_Base!X28,Calc_Upside!X28,Calc_Downside!X28)</f>
        <v>-252531.18401020241</v>
      </c>
      <c r="Y19" s="41">
        <f>CHOOSE(ScenarioNo,Calc_Base!Y28,Calc_Upside!Y28,Calc_Downside!Y28)</f>
        <v>-250759.67548570153</v>
      </c>
      <c r="Z19" s="41">
        <f>CHOOSE(ScenarioNo,Calc_Base!Z28,Calc_Upside!Z28,Calc_Downside!Z28)</f>
        <v>-249086.51044160855</v>
      </c>
      <c r="AA19" s="41">
        <f>CHOOSE(ScenarioNo,Calc_Base!AA28,Calc_Upside!AA28,Calc_Downside!AA28)</f>
        <v>-247366.29773795657</v>
      </c>
      <c r="AB19" s="41">
        <f>CHOOSE(ScenarioNo,Calc_Base!AB28,Calc_Upside!AB28,Calc_Downside!AB28)</f>
        <v>-271835.13309000758</v>
      </c>
      <c r="AC19" s="41">
        <f>CHOOSE(ScenarioNo,Calc_Base!AC28,Calc_Upside!AC28,Calc_Downside!AC28)</f>
        <v>-304705.60579341976</v>
      </c>
      <c r="AD19" s="41">
        <f>CHOOSE(ScenarioNo,Calc_Base!AD28,Calc_Upside!AD28,Calc_Downside!AD28)</f>
        <v>-299529.75460891833</v>
      </c>
      <c r="AE19" s="41">
        <f>CHOOSE(ScenarioNo,Calc_Base!AE28,Calc_Upside!AE28,Calc_Downside!AE28)</f>
        <v>-294067.02101587673</v>
      </c>
      <c r="AF19" s="41">
        <f>CHOOSE(ScenarioNo,Calc_Base!AF28,Calc_Upside!AF28,Calc_Downside!AF28)</f>
        <v>-288289.37858611869</v>
      </c>
      <c r="AG19" s="41">
        <f>CHOOSE(ScenarioNo,Calc_Base!AG28,Calc_Upside!AG28,Calc_Downside!AG28)</f>
        <v>-282165.26117851492</v>
      </c>
      <c r="AH19" s="41">
        <f>CHOOSE(ScenarioNo,Calc_Base!AH28,Calc_Upside!AH28,Calc_Downside!AH28)</f>
        <v>-275660.6791100367</v>
      </c>
      <c r="AI19" s="41">
        <f>CHOOSE(ScenarioNo,Calc_Base!AI28,Calc_Upside!AI28,Calc_Downside!AI28)</f>
        <v>-268737.50019832538</v>
      </c>
      <c r="AJ19" s="41">
        <f>CHOOSE(ScenarioNo,Calc_Base!AJ28,Calc_Upside!AJ28,Calc_Downside!AJ28)</f>
        <v>-261354.50441548077</v>
      </c>
      <c r="AK19" s="41">
        <f>CHOOSE(ScenarioNo,Calc_Base!AK28,Calc_Upside!AK28,Calc_Downside!AK28)</f>
        <v>-253465.5970792298</v>
      </c>
      <c r="AL19" s="41">
        <f>CHOOSE(ScenarioNo,Calc_Base!AL28,Calc_Upside!AL28,Calc_Downside!AL28)</f>
        <v>-245020.78866368049</v>
      </c>
      <c r="AM19" s="41">
        <f>CHOOSE(ScenarioNo,Calc_Base!AM28,Calc_Upside!AM28,Calc_Downside!AM28)</f>
        <v>-235964.32542957278</v>
      </c>
      <c r="AN19" s="41">
        <f>CHOOSE(ScenarioNo,Calc_Base!AN28,Calc_Upside!AN28,Calc_Downside!AN28)</f>
        <v>-226235.92888840934</v>
      </c>
      <c r="AO19" s="41">
        <f>CHOOSE(ScenarioNo,Calc_Base!AO28,Calc_Upside!AO28,Calc_Downside!AO28)</f>
        <v>-260001.89535519679</v>
      </c>
      <c r="AP19" s="41">
        <f>CHOOSE(ScenarioNo,Calc_Base!AP28,Calc_Upside!AP28,Calc_Downside!AP28)</f>
        <v>-253017.0132449817</v>
      </c>
      <c r="AQ19" s="41">
        <f>CHOOSE(ScenarioNo,Calc_Base!AQ28,Calc_Upside!AQ28,Calc_Downside!AQ28)</f>
        <v>-245539.48765485061</v>
      </c>
      <c r="AR19" s="41">
        <f>CHOOSE(ScenarioNo,Calc_Base!AR28,Calc_Upside!AR28,Calc_Downside!AR28)</f>
        <v>-237528.24463884914</v>
      </c>
      <c r="AS19" s="41">
        <f>CHOOSE(ScenarioNo,Calc_Base!AS28,Calc_Upside!AS28,Calc_Downside!AS28)</f>
        <v>-228938.41058886237</v>
      </c>
      <c r="AT19" s="41">
        <f>CHOOSE(ScenarioNo,Calc_Base!AT28,Calc_Upside!AT28,Calc_Downside!AT28)</f>
        <v>-219720.94084201322</v>
      </c>
      <c r="AU19" s="41">
        <f>CHOOSE(ScenarioNo,Calc_Base!AU28,Calc_Upside!AU28,Calc_Downside!AU28)</f>
        <v>-209822.21098974132</v>
      </c>
      <c r="AV19" s="41">
        <f>CHOOSE(ScenarioNo,Calc_Base!AV28,Calc_Upside!AV28,Calc_Downside!AV28)</f>
        <v>-199183.56709359016</v>
      </c>
      <c r="AW19" s="41">
        <f>CHOOSE(ScenarioNo,Calc_Base!AW28,Calc_Upside!AW28,Calc_Downside!AW28)</f>
        <v>-187740.83062417302</v>
      </c>
      <c r="AX19" s="41">
        <f>CHOOSE(ScenarioNo,Calc_Base!AX28,Calc_Upside!AX28,Calc_Downside!AX28)</f>
        <v>-175423.75351132726</v>
      </c>
      <c r="AY19" s="41">
        <f>CHOOSE(ScenarioNo,Calc_Base!AY28,Calc_Upside!AY28,Calc_Downside!AY28)</f>
        <v>-162155.41822099508</v>
      </c>
      <c r="AZ19" s="41">
        <f>CHOOSE(ScenarioNo,Calc_Base!AZ28,Calc_Upside!AZ28,Calc_Downside!AZ28)</f>
        <v>-147851.57725336342</v>
      </c>
      <c r="BA19" s="41">
        <f>CHOOSE(ScenarioNo,Calc_Base!BA28,Calc_Upside!BA28,Calc_Downside!BA28)</f>
        <v>-145228.37961039634</v>
      </c>
      <c r="BB19" s="41">
        <f>CHOOSE(ScenarioNo,Calc_Base!BB28,Calc_Upside!BB28,Calc_Downside!BB28)</f>
        <v>-135441.86829460232</v>
      </c>
      <c r="BC19" s="41">
        <f>CHOOSE(ScenarioNo,Calc_Base!BC28,Calc_Upside!BC28,Calc_Downside!BC28)</f>
        <v>-125263.44306657204</v>
      </c>
      <c r="BD19" s="41">
        <f>CHOOSE(ScenarioNo,Calc_Base!BD28,Calc_Upside!BD28,Calc_Downside!BD28)</f>
        <v>-114677.23106058568</v>
      </c>
      <c r="BE19" s="41">
        <f>CHOOSE(ScenarioNo,Calc_Base!BE28,Calc_Upside!BE28,Calc_Downside!BE28)</f>
        <v>-103666.709344128</v>
      </c>
      <c r="BF19" s="41">
        <f>CHOOSE(ScenarioNo,Calc_Base!BF28,Calc_Upside!BF28,Calc_Downside!BF28)</f>
        <v>-92214.678005513124</v>
      </c>
      <c r="BG19" s="41">
        <f>CHOOSE(ScenarioNo,Calc_Base!BG28,Calc_Upside!BG28,Calc_Downside!BG28)</f>
        <v>-80303.232115821418</v>
      </c>
      <c r="BH19" s="41">
        <f>CHOOSE(ScenarioNo,Calc_Base!BH28,Calc_Upside!BH28,Calc_Downside!BH28)</f>
        <v>-67913.732517608296</v>
      </c>
      <c r="BI19" s="41">
        <f>CHOOSE(ScenarioNo,Calc_Base!BI28,Calc_Upside!BI28,Calc_Downside!BI28)</f>
        <v>-55026.775390816234</v>
      </c>
      <c r="BJ19" s="41">
        <f>CHOOSE(ScenarioNo,Calc_Base!BJ28,Calc_Upside!BJ28,Calc_Downside!BJ28)</f>
        <v>-41622.160544210252</v>
      </c>
      <c r="BK19" s="41">
        <f>CHOOSE(ScenarioNo,Calc_Base!BK28,Calc_Upside!BK28,Calc_Downside!BK28)</f>
        <v>-27678.858378452795</v>
      </c>
      <c r="BL19" s="41">
        <f>CHOOSE(ScenarioNo,Calc_Base!BL28,Calc_Upside!BL28,Calc_Downside!BL28)</f>
        <v>-13174.97546463491</v>
      </c>
    </row>
    <row r="20" spans="2:64" x14ac:dyDescent="0.35">
      <c r="B20" s="3" t="s">
        <v>290</v>
      </c>
      <c r="C20" s="18" t="s">
        <v>111</v>
      </c>
      <c r="D20" s="40">
        <f>CHOOSE(ScenarioNo,Calc_Base!D33,Calc_Upside!D33,Calc_Downside!D33)</f>
        <v>45868.055555555533</v>
      </c>
      <c r="E20" s="40">
        <f>CHOOSE(ScenarioNo,Calc_Base!E33,Calc_Upside!E33,Calc_Downside!E33)</f>
        <v>75.231481481481481</v>
      </c>
      <c r="F20" s="40">
        <f>CHOOSE(ScenarioNo,Calc_Base!F33,Calc_Upside!F33,Calc_Downside!F33)</f>
        <v>150.46296296296296</v>
      </c>
      <c r="G20" s="40">
        <f>CHOOSE(ScenarioNo,Calc_Base!G33,Calc_Upside!G33,Calc_Downside!G33)</f>
        <v>225.69444444444446</v>
      </c>
      <c r="H20" s="40">
        <f>CHOOSE(ScenarioNo,Calc_Base!H33,Calc_Upside!H33,Calc_Downside!H33)</f>
        <v>300.92592592592592</v>
      </c>
      <c r="I20" s="40">
        <f>CHOOSE(ScenarioNo,Calc_Base!I33,Calc_Upside!I33,Calc_Downside!I33)</f>
        <v>376.15740740740745</v>
      </c>
      <c r="J20" s="40">
        <f>CHOOSE(ScenarioNo,Calc_Base!J33,Calc_Upside!J33,Calc_Downside!J33)</f>
        <v>451.38888888888891</v>
      </c>
      <c r="K20" s="40">
        <f>CHOOSE(ScenarioNo,Calc_Base!K33,Calc_Upside!K33,Calc_Downside!K33)</f>
        <v>526.62037037037044</v>
      </c>
      <c r="L20" s="40">
        <f>CHOOSE(ScenarioNo,Calc_Base!L33,Calc_Upside!L33,Calc_Downside!L33)</f>
        <v>601.85185185185185</v>
      </c>
      <c r="M20" s="40">
        <f>CHOOSE(ScenarioNo,Calc_Base!M33,Calc_Upside!M33,Calc_Downside!M33)</f>
        <v>677.08333333333337</v>
      </c>
      <c r="N20" s="40">
        <f>CHOOSE(ScenarioNo,Calc_Base!N33,Calc_Upside!N33,Calc_Downside!N33)</f>
        <v>752.31481481481478</v>
      </c>
      <c r="O20" s="40">
        <f>CHOOSE(ScenarioNo,Calc_Base!O33,Calc_Upside!O33,Calc_Downside!O33)</f>
        <v>827.54629629629619</v>
      </c>
      <c r="P20" s="40">
        <f>CHOOSE(ScenarioNo,Calc_Base!P33,Calc_Upside!P33,Calc_Downside!P33)</f>
        <v>902.77777777777771</v>
      </c>
      <c r="Q20" s="40">
        <f>CHOOSE(ScenarioNo,Calc_Base!Q33,Calc_Upside!Q33,Calc_Downside!Q33)</f>
        <v>920.13888888888891</v>
      </c>
      <c r="R20" s="40">
        <f>CHOOSE(ScenarioNo,Calc_Base!R33,Calc_Upside!R33,Calc_Downside!R33)</f>
        <v>937.5</v>
      </c>
      <c r="S20" s="40">
        <f>CHOOSE(ScenarioNo,Calc_Base!S33,Calc_Upside!S33,Calc_Downside!S33)</f>
        <v>954.86111111111109</v>
      </c>
      <c r="T20" s="40">
        <f>CHOOSE(ScenarioNo,Calc_Base!T33,Calc_Upside!T33,Calc_Downside!T33)</f>
        <v>972.22222222222217</v>
      </c>
      <c r="U20" s="40">
        <f>CHOOSE(ScenarioNo,Calc_Base!U33,Calc_Upside!U33,Calc_Downside!U33)</f>
        <v>989.58333333333337</v>
      </c>
      <c r="V20" s="40">
        <f>CHOOSE(ScenarioNo,Calc_Base!V33,Calc_Upside!V33,Calc_Downside!V33)</f>
        <v>1006.9444444444445</v>
      </c>
      <c r="W20" s="40">
        <f>CHOOSE(ScenarioNo,Calc_Base!W33,Calc_Upside!W33,Calc_Downside!W33)</f>
        <v>1024.3055555555557</v>
      </c>
      <c r="X20" s="40">
        <f>CHOOSE(ScenarioNo,Calc_Base!X33,Calc_Upside!X33,Calc_Downside!X33)</f>
        <v>1041.6666666666667</v>
      </c>
      <c r="Y20" s="40">
        <f>CHOOSE(ScenarioNo,Calc_Base!Y33,Calc_Upside!Y33,Calc_Downside!Y33)</f>
        <v>1059.0277777777778</v>
      </c>
      <c r="Z20" s="40">
        <f>CHOOSE(ScenarioNo,Calc_Base!Z33,Calc_Upside!Z33,Calc_Downside!Z33)</f>
        <v>1076.3888888888889</v>
      </c>
      <c r="AA20" s="40">
        <f>CHOOSE(ScenarioNo,Calc_Base!AA33,Calc_Upside!AA33,Calc_Downside!AA33)</f>
        <v>1093.75</v>
      </c>
      <c r="AB20" s="40">
        <f>CHOOSE(ScenarioNo,Calc_Base!AB33,Calc_Upside!AB33,Calc_Downside!AB33)</f>
        <v>1111.1111111111111</v>
      </c>
      <c r="AC20" s="40">
        <f>CHOOSE(ScenarioNo,Calc_Base!AC33,Calc_Upside!AC33,Calc_Downside!AC33)</f>
        <v>1111.1111111111111</v>
      </c>
      <c r="AD20" s="40">
        <f>CHOOSE(ScenarioNo,Calc_Base!AD33,Calc_Upside!AD33,Calc_Downside!AD33)</f>
        <v>1111.1111111111111</v>
      </c>
      <c r="AE20" s="40">
        <f>CHOOSE(ScenarioNo,Calc_Base!AE33,Calc_Upside!AE33,Calc_Downside!AE33)</f>
        <v>1111.1111111111111</v>
      </c>
      <c r="AF20" s="40">
        <f>CHOOSE(ScenarioNo,Calc_Base!AF33,Calc_Upside!AF33,Calc_Downside!AF33)</f>
        <v>1111.1111111111111</v>
      </c>
      <c r="AG20" s="40">
        <f>CHOOSE(ScenarioNo,Calc_Base!AG33,Calc_Upside!AG33,Calc_Downside!AG33)</f>
        <v>1111.1111111111111</v>
      </c>
      <c r="AH20" s="40">
        <f>CHOOSE(ScenarioNo,Calc_Base!AH33,Calc_Upside!AH33,Calc_Downside!AH33)</f>
        <v>1111.1111111111111</v>
      </c>
      <c r="AI20" s="40">
        <f>CHOOSE(ScenarioNo,Calc_Base!AI33,Calc_Upside!AI33,Calc_Downside!AI33)</f>
        <v>1111.1111111111111</v>
      </c>
      <c r="AJ20" s="40">
        <f>CHOOSE(ScenarioNo,Calc_Base!AJ33,Calc_Upside!AJ33,Calc_Downside!AJ33)</f>
        <v>1111.1111111111111</v>
      </c>
      <c r="AK20" s="40">
        <f>CHOOSE(ScenarioNo,Calc_Base!AK33,Calc_Upside!AK33,Calc_Downside!AK33)</f>
        <v>1111.1111111111111</v>
      </c>
      <c r="AL20" s="40">
        <f>CHOOSE(ScenarioNo,Calc_Base!AL33,Calc_Upside!AL33,Calc_Downside!AL33)</f>
        <v>1111.1111111111111</v>
      </c>
      <c r="AM20" s="40">
        <f>CHOOSE(ScenarioNo,Calc_Base!AM33,Calc_Upside!AM33,Calc_Downside!AM33)</f>
        <v>1111.1111111111111</v>
      </c>
      <c r="AN20" s="40">
        <f>CHOOSE(ScenarioNo,Calc_Base!AN33,Calc_Upside!AN33,Calc_Downside!AN33)</f>
        <v>1111.1111111111111</v>
      </c>
      <c r="AO20" s="40">
        <f>CHOOSE(ScenarioNo,Calc_Base!AO33,Calc_Upside!AO33,Calc_Downside!AO33)</f>
        <v>1035.8796296296296</v>
      </c>
      <c r="AP20" s="40">
        <f>CHOOSE(ScenarioNo,Calc_Base!AP33,Calc_Upside!AP33,Calc_Downside!AP33)</f>
        <v>960.64814814814827</v>
      </c>
      <c r="AQ20" s="40">
        <f>CHOOSE(ScenarioNo,Calc_Base!AQ33,Calc_Upside!AQ33,Calc_Downside!AQ33)</f>
        <v>885.41666666666663</v>
      </c>
      <c r="AR20" s="40">
        <f>CHOOSE(ScenarioNo,Calc_Base!AR33,Calc_Upside!AR33,Calc_Downside!AR33)</f>
        <v>810.18518518518511</v>
      </c>
      <c r="AS20" s="40">
        <f>CHOOSE(ScenarioNo,Calc_Base!AS33,Calc_Upside!AS33,Calc_Downside!AS33)</f>
        <v>734.9537037037037</v>
      </c>
      <c r="AT20" s="40">
        <f>CHOOSE(ScenarioNo,Calc_Base!AT33,Calc_Upside!AT33,Calc_Downside!AT33)</f>
        <v>659.72222222222217</v>
      </c>
      <c r="AU20" s="40">
        <f>CHOOSE(ScenarioNo,Calc_Base!AU33,Calc_Upside!AU33,Calc_Downside!AU33)</f>
        <v>584.49074074074065</v>
      </c>
      <c r="AV20" s="40">
        <f>CHOOSE(ScenarioNo,Calc_Base!AV33,Calc_Upside!AV33,Calc_Downside!AV33)</f>
        <v>509.25925925925924</v>
      </c>
      <c r="AW20" s="40">
        <f>CHOOSE(ScenarioNo,Calc_Base!AW33,Calc_Upside!AW33,Calc_Downside!AW33)</f>
        <v>434.02777777777777</v>
      </c>
      <c r="AX20" s="40">
        <f>CHOOSE(ScenarioNo,Calc_Base!AX33,Calc_Upside!AX33,Calc_Downside!AX33)</f>
        <v>358.7962962962963</v>
      </c>
      <c r="AY20" s="40">
        <f>CHOOSE(ScenarioNo,Calc_Base!AY33,Calc_Upside!AY33,Calc_Downside!AY33)</f>
        <v>283.56481481481489</v>
      </c>
      <c r="AZ20" s="40">
        <f>CHOOSE(ScenarioNo,Calc_Base!AZ33,Calc_Upside!AZ33,Calc_Downside!AZ33)</f>
        <v>208.33333333333343</v>
      </c>
      <c r="BA20" s="40">
        <f>CHOOSE(ScenarioNo,Calc_Base!BA33,Calc_Upside!BA33,Calc_Downside!BA33)</f>
        <v>266.20370370370375</v>
      </c>
      <c r="BB20" s="40">
        <f>CHOOSE(ScenarioNo,Calc_Base!BB33,Calc_Upside!BB33,Calc_Downside!BB33)</f>
        <v>324.07407407407419</v>
      </c>
      <c r="BC20" s="40">
        <f>CHOOSE(ScenarioNo,Calc_Base!BC33,Calc_Upside!BC33,Calc_Downside!BC33)</f>
        <v>381.94444444444463</v>
      </c>
      <c r="BD20" s="40">
        <f>CHOOSE(ScenarioNo,Calc_Base!BD33,Calc_Upside!BD33,Calc_Downside!BD33)</f>
        <v>439.81481481481507</v>
      </c>
      <c r="BE20" s="40">
        <f>CHOOSE(ScenarioNo,Calc_Base!BE33,Calc_Upside!BE33,Calc_Downside!BE33)</f>
        <v>497.6851851851855</v>
      </c>
      <c r="BF20" s="40">
        <f>CHOOSE(ScenarioNo,Calc_Base!BF33,Calc_Upside!BF33,Calc_Downside!BF33)</f>
        <v>555.555555555556</v>
      </c>
      <c r="BG20" s="40">
        <f>CHOOSE(ScenarioNo,Calc_Base!BG33,Calc_Upside!BG33,Calc_Downside!BG33)</f>
        <v>613.42592592592644</v>
      </c>
      <c r="BH20" s="40">
        <f>CHOOSE(ScenarioNo,Calc_Base!BH33,Calc_Upside!BH33,Calc_Downside!BH33)</f>
        <v>671.29629629629687</v>
      </c>
      <c r="BI20" s="40">
        <f>CHOOSE(ScenarioNo,Calc_Base!BI33,Calc_Upside!BI33,Calc_Downside!BI33)</f>
        <v>729.16666666666731</v>
      </c>
      <c r="BJ20" s="40">
        <f>CHOOSE(ScenarioNo,Calc_Base!BJ33,Calc_Upside!BJ33,Calc_Downside!BJ33)</f>
        <v>787.03703703703775</v>
      </c>
      <c r="BK20" s="40">
        <f>CHOOSE(ScenarioNo,Calc_Base!BK33,Calc_Upside!BK33,Calc_Downside!BK33)</f>
        <v>844.90740740740796</v>
      </c>
      <c r="BL20" s="40">
        <f>CHOOSE(ScenarioNo,Calc_Base!BL33,Calc_Upside!BL33,Calc_Downside!BL33)</f>
        <v>902.77777777777817</v>
      </c>
    </row>
    <row r="21" spans="2:64" x14ac:dyDescent="0.35">
      <c r="B21" s="3" t="s">
        <v>291</v>
      </c>
      <c r="C21" s="18" t="s">
        <v>111</v>
      </c>
      <c r="D21" s="40">
        <f>CHOOSE(ScenarioNo,Calc_Base!D34,Calc_Upside!D34,Calc_Downside!D34)</f>
        <v>-11541615.028465852</v>
      </c>
      <c r="E21" s="40">
        <f>CHOOSE(ScenarioNo,Calc_Base!E34,Calc_Upside!E34,Calc_Downside!E34)</f>
        <v>-53415.697390003326</v>
      </c>
      <c r="F21" s="40">
        <f>CHOOSE(ScenarioNo,Calc_Base!F34,Calc_Upside!F34,Calc_Downside!F34)</f>
        <v>-61094.913512588682</v>
      </c>
      <c r="G21" s="40">
        <f>CHOOSE(ScenarioNo,Calc_Base!G34,Calc_Upside!G34,Calc_Downside!G34)</f>
        <v>-68783.642761029143</v>
      </c>
      <c r="H21" s="40">
        <f>CHOOSE(ScenarioNo,Calc_Base!H34,Calc_Upside!H34,Calc_Downside!H34)</f>
        <v>-106380.0565683335</v>
      </c>
      <c r="I21" s="40">
        <f>CHOOSE(ScenarioNo,Calc_Base!I34,Calc_Upside!I34,Calc_Downside!I34)</f>
        <v>-106146.13629539394</v>
      </c>
      <c r="J21" s="40">
        <f>CHOOSE(ScenarioNo,Calc_Base!J34,Calc_Upside!J34,Calc_Downside!J34)</f>
        <v>-97212.156892285435</v>
      </c>
      <c r="K21" s="40">
        <f>CHOOSE(ScenarioNo,Calc_Base!K34,Calc_Upside!K34,Calc_Downside!K34)</f>
        <v>-97287.388373766909</v>
      </c>
      <c r="L21" s="40">
        <f>CHOOSE(ScenarioNo,Calc_Base!L34,Calc_Upside!L34,Calc_Downside!L34)</f>
        <v>-172772.99099624125</v>
      </c>
      <c r="M21" s="40">
        <f>CHOOSE(ScenarioNo,Calc_Base!M34,Calc_Upside!M34,Calc_Downside!M34)</f>
        <v>-156561.62541753563</v>
      </c>
      <c r="N21" s="40">
        <f>CHOOSE(ScenarioNo,Calc_Base!N34,Calc_Upside!N34,Calc_Downside!N34)</f>
        <v>-208712.46438778806</v>
      </c>
      <c r="O21" s="40">
        <f>CHOOSE(ScenarioNo,Calc_Base!O34,Calc_Upside!O34,Calc_Downside!O34)</f>
        <v>-205776.79020865518</v>
      </c>
      <c r="P21" s="40">
        <f>CHOOSE(ScenarioNo,Calc_Base!P34,Calc_Upside!P34,Calc_Downside!P34)</f>
        <v>-212698.58491315445</v>
      </c>
      <c r="Q21" s="40">
        <f>CHOOSE(ScenarioNo,Calc_Base!Q34,Calc_Upside!Q34,Calc_Downside!Q34)</f>
        <v>-288917.81907696265</v>
      </c>
      <c r="R21" s="40">
        <f>CHOOSE(ScenarioNo,Calc_Base!R34,Calc_Upside!R34,Calc_Downside!R34)</f>
        <v>-254257.38683753126</v>
      </c>
      <c r="S21" s="40">
        <f>CHOOSE(ScenarioNo,Calc_Base!S34,Calc_Upside!S34,Calc_Downside!S34)</f>
        <v>-252728.77882336939</v>
      </c>
      <c r="T21" s="40">
        <f>CHOOSE(ScenarioNo,Calc_Base!T34,Calc_Upside!T34,Calc_Downside!T34)</f>
        <v>-251144.58877936873</v>
      </c>
      <c r="U21" s="40">
        <f>CHOOSE(ScenarioNo,Calc_Base!U34,Calc_Upside!U34,Calc_Downside!U34)</f>
        <v>-249520.10423510545</v>
      </c>
      <c r="V21" s="40">
        <f>CHOOSE(ScenarioNo,Calc_Base!V34,Calc_Upside!V34,Calc_Downside!V34)</f>
        <v>-247859.67150688879</v>
      </c>
      <c r="W21" s="40">
        <f>CHOOSE(ScenarioNo,Calc_Base!W34,Calc_Upside!W34,Calc_Downside!W34)</f>
        <v>-381239.24750106229</v>
      </c>
      <c r="X21" s="40">
        <f>CHOOSE(ScenarioNo,Calc_Base!X34,Calc_Upside!X34,Calc_Downside!X34)</f>
        <v>-253572.85067686907</v>
      </c>
      <c r="Y21" s="40">
        <f>CHOOSE(ScenarioNo,Calc_Base!Y34,Calc_Upside!Y34,Calc_Downside!Y34)</f>
        <v>-251818.70326347931</v>
      </c>
      <c r="Z21" s="40">
        <f>CHOOSE(ScenarioNo,Calc_Base!Z34,Calc_Upside!Z34,Calc_Downside!Z34)</f>
        <v>-250162.89933049743</v>
      </c>
      <c r="AA21" s="40">
        <f>CHOOSE(ScenarioNo,Calc_Base!AA34,Calc_Upside!AA34,Calc_Downside!AA34)</f>
        <v>-248460.04773795657</v>
      </c>
      <c r="AB21" s="40">
        <f>CHOOSE(ScenarioNo,Calc_Base!AB34,Calc_Upside!AB34,Calc_Downside!AB34)</f>
        <v>-272946.24420111871</v>
      </c>
      <c r="AC21" s="40">
        <f>CHOOSE(ScenarioNo,Calc_Base!AC34,Calc_Upside!AC34,Calc_Downside!AC34)</f>
        <v>-305816.71690453088</v>
      </c>
      <c r="AD21" s="40">
        <f>CHOOSE(ScenarioNo,Calc_Base!AD34,Calc_Upside!AD34,Calc_Downside!AD34)</f>
        <v>-300640.86572002945</v>
      </c>
      <c r="AE21" s="40">
        <f>CHOOSE(ScenarioNo,Calc_Base!AE34,Calc_Upside!AE34,Calc_Downside!AE34)</f>
        <v>-295178.13212698785</v>
      </c>
      <c r="AF21" s="40">
        <f>CHOOSE(ScenarioNo,Calc_Base!AF34,Calc_Upside!AF34,Calc_Downside!AF34)</f>
        <v>-289400.48969722982</v>
      </c>
      <c r="AG21" s="40">
        <f>CHOOSE(ScenarioNo,Calc_Base!AG34,Calc_Upside!AG34,Calc_Downside!AG34)</f>
        <v>-283276.37228962604</v>
      </c>
      <c r="AH21" s="40">
        <f>CHOOSE(ScenarioNo,Calc_Base!AH34,Calc_Upside!AH34,Calc_Downside!AH34)</f>
        <v>-276771.79022114782</v>
      </c>
      <c r="AI21" s="40">
        <f>CHOOSE(ScenarioNo,Calc_Base!AI34,Calc_Upside!AI34,Calc_Downside!AI34)</f>
        <v>-269848.6113094365</v>
      </c>
      <c r="AJ21" s="40">
        <f>CHOOSE(ScenarioNo,Calc_Base!AJ34,Calc_Upside!AJ34,Calc_Downside!AJ34)</f>
        <v>-262465.61552659189</v>
      </c>
      <c r="AK21" s="40">
        <f>CHOOSE(ScenarioNo,Calc_Base!AK34,Calc_Upside!AK34,Calc_Downside!AK34)</f>
        <v>-254576.70819034093</v>
      </c>
      <c r="AL21" s="40">
        <f>CHOOSE(ScenarioNo,Calc_Base!AL34,Calc_Upside!AL34,Calc_Downside!AL34)</f>
        <v>-246131.89977479161</v>
      </c>
      <c r="AM21" s="40">
        <f>CHOOSE(ScenarioNo,Calc_Base!AM34,Calc_Upside!AM34,Calc_Downside!AM34)</f>
        <v>-237075.43654068391</v>
      </c>
      <c r="AN21" s="40">
        <f>CHOOSE(ScenarioNo,Calc_Base!AN34,Calc_Upside!AN34,Calc_Downside!AN34)</f>
        <v>-227347.03999952046</v>
      </c>
      <c r="AO21" s="40">
        <f>CHOOSE(ScenarioNo,Calc_Base!AO34,Calc_Upside!AO34,Calc_Downside!AO34)</f>
        <v>-261037.77498482642</v>
      </c>
      <c r="AP21" s="40">
        <f>CHOOSE(ScenarioNo,Calc_Base!AP34,Calc_Upside!AP34,Calc_Downside!AP34)</f>
        <v>-253977.66139312985</v>
      </c>
      <c r="AQ21" s="40">
        <f>CHOOSE(ScenarioNo,Calc_Base!AQ34,Calc_Upside!AQ34,Calc_Downside!AQ34)</f>
        <v>-246424.90432151727</v>
      </c>
      <c r="AR21" s="40">
        <f>CHOOSE(ScenarioNo,Calc_Base!AR34,Calc_Upside!AR34,Calc_Downside!AR34)</f>
        <v>-238338.42982403433</v>
      </c>
      <c r="AS21" s="40">
        <f>CHOOSE(ScenarioNo,Calc_Base!AS34,Calc_Upside!AS34,Calc_Downside!AS34)</f>
        <v>-229673.36429256608</v>
      </c>
      <c r="AT21" s="40">
        <f>CHOOSE(ScenarioNo,Calc_Base!AT34,Calc_Upside!AT34,Calc_Downside!AT34)</f>
        <v>-220380.66306423544</v>
      </c>
      <c r="AU21" s="40">
        <f>CHOOSE(ScenarioNo,Calc_Base!AU34,Calc_Upside!AU34,Calc_Downside!AU34)</f>
        <v>-210406.70173048205</v>
      </c>
      <c r="AV21" s="40">
        <f>CHOOSE(ScenarioNo,Calc_Base!AV34,Calc_Upside!AV34,Calc_Downside!AV34)</f>
        <v>-199692.82635284943</v>
      </c>
      <c r="AW21" s="40">
        <f>CHOOSE(ScenarioNo,Calc_Base!AW34,Calc_Upside!AW34,Calc_Downside!AW34)</f>
        <v>-188174.8584019508</v>
      </c>
      <c r="AX21" s="40">
        <f>CHOOSE(ScenarioNo,Calc_Base!AX34,Calc_Upside!AX34,Calc_Downside!AX34)</f>
        <v>-175782.54980762355</v>
      </c>
      <c r="AY21" s="40">
        <f>CHOOSE(ScenarioNo,Calc_Base!AY34,Calc_Upside!AY34,Calc_Downside!AY34)</f>
        <v>-162438.98303580988</v>
      </c>
      <c r="AZ21" s="40">
        <f>CHOOSE(ScenarioNo,Calc_Base!AZ34,Calc_Upside!AZ34,Calc_Downside!AZ34)</f>
        <v>-148059.91058669676</v>
      </c>
      <c r="BA21" s="40">
        <f>CHOOSE(ScenarioNo,Calc_Base!BA34,Calc_Upside!BA34,Calc_Downside!BA34)</f>
        <v>-145494.58331410005</v>
      </c>
      <c r="BB21" s="40">
        <f>CHOOSE(ScenarioNo,Calc_Base!BB34,Calc_Upside!BB34,Calc_Downside!BB34)</f>
        <v>-135765.94236867639</v>
      </c>
      <c r="BC21" s="40">
        <f>CHOOSE(ScenarioNo,Calc_Base!BC34,Calc_Upside!BC34,Calc_Downside!BC34)</f>
        <v>-125645.38751101648</v>
      </c>
      <c r="BD21" s="40">
        <f>CHOOSE(ScenarioNo,Calc_Base!BD34,Calc_Upside!BD34,Calc_Downside!BD34)</f>
        <v>-115117.04587540049</v>
      </c>
      <c r="BE21" s="40">
        <f>CHOOSE(ScenarioNo,Calc_Base!BE34,Calc_Upside!BE34,Calc_Downside!BE34)</f>
        <v>-104164.39452931318</v>
      </c>
      <c r="BF21" s="40">
        <f>CHOOSE(ScenarioNo,Calc_Base!BF34,Calc_Upside!BF34,Calc_Downside!BF34)</f>
        <v>-92770.233561068686</v>
      </c>
      <c r="BG21" s="40">
        <f>CHOOSE(ScenarioNo,Calc_Base!BG34,Calc_Upside!BG34,Calc_Downside!BG34)</f>
        <v>-80916.658041747345</v>
      </c>
      <c r="BH21" s="40">
        <f>CHOOSE(ScenarioNo,Calc_Base!BH34,Calc_Upside!BH34,Calc_Downside!BH34)</f>
        <v>-68585.028813904588</v>
      </c>
      <c r="BI21" s="40">
        <f>CHOOSE(ScenarioNo,Calc_Base!BI34,Calc_Upside!BI34,Calc_Downside!BI34)</f>
        <v>-55755.942057482898</v>
      </c>
      <c r="BJ21" s="40">
        <f>CHOOSE(ScenarioNo,Calc_Base!BJ34,Calc_Upside!BJ34,Calc_Downside!BJ34)</f>
        <v>-42409.197581247288</v>
      </c>
      <c r="BK21" s="40">
        <f>CHOOSE(ScenarioNo,Calc_Base!BK34,Calc_Upside!BK34,Calc_Downside!BK34)</f>
        <v>-28523.765785860203</v>
      </c>
      <c r="BL21" s="40">
        <f>CHOOSE(ScenarioNo,Calc_Base!BL34,Calc_Upside!BL34,Calc_Downside!BL34)</f>
        <v>-14077.753242412688</v>
      </c>
    </row>
    <row r="22" spans="2:64" x14ac:dyDescent="0.35">
      <c r="B22" s="3" t="s">
        <v>292</v>
      </c>
      <c r="C22" s="18" t="s">
        <v>111</v>
      </c>
      <c r="D22" s="40">
        <f>CHOOSE(ScenarioNo,Calc_Base!D35,Calc_Upside!D35,Calc_Downside!D35)</f>
        <v>511669.03238431434</v>
      </c>
      <c r="E22" s="40">
        <f>CHOOSE(ScenarioNo,Calc_Base!E35,Calc_Upside!E35,Calc_Downside!E35)</f>
        <v>31.25</v>
      </c>
      <c r="F22" s="40">
        <f>CHOOSE(ScenarioNo,Calc_Base!F35,Calc_Upside!F35,Calc_Downside!F35)</f>
        <v>1211.2280634476811</v>
      </c>
      <c r="G22" s="40">
        <f>CHOOSE(ScenarioNo,Calc_Base!G35,Calc_Upside!G35,Calc_Downside!G35)</f>
        <v>1133.1761186732917</v>
      </c>
      <c r="H22" s="40">
        <f>CHOOSE(ScenarioNo,Calc_Base!H35,Calc_Upside!H35,Calc_Downside!H35)</f>
        <v>1045.5097367592359</v>
      </c>
      <c r="I22" s="40">
        <f>CHOOSE(ScenarioNo,Calc_Base!I35,Calc_Upside!I35,Calc_Downside!I35)</f>
        <v>910.83229396050865</v>
      </c>
      <c r="J22" s="40">
        <f>CHOOSE(ScenarioNo,Calc_Base!J35,Calc_Upside!J35,Calc_Downside!J35)</f>
        <v>776.37294405130945</v>
      </c>
      <c r="K22" s="40">
        <f>CHOOSE(ScenarioNo,Calc_Base!K35,Calc_Upside!K35,Calc_Downside!K35)</f>
        <v>653.00703356046131</v>
      </c>
      <c r="L22" s="40">
        <f>CHOOSE(ScenarioNo,Calc_Base!L35,Calc_Upside!L35,Calc_Downside!L35)</f>
        <v>529.48691568149957</v>
      </c>
      <c r="M22" s="40">
        <f>CHOOSE(ScenarioNo,Calc_Base!M35,Calc_Upside!M35,Calc_Downside!M35)</f>
        <v>5311.5494337289483</v>
      </c>
      <c r="N22" s="40">
        <f>CHOOSE(ScenarioNo,Calc_Base!N35,Calc_Upside!N35,Calc_Downside!N35)</f>
        <v>5119.9477762491897</v>
      </c>
      <c r="O22" s="40">
        <f>CHOOSE(ScenarioNo,Calc_Base!O35,Calc_Upside!O35,Calc_Downside!O35)</f>
        <v>4863.0121073366181</v>
      </c>
      <c r="P22" s="40">
        <f>CHOOSE(ScenarioNo,Calc_Base!P35,Calc_Upside!P35,Calc_Downside!P35)</f>
        <v>4609.518900913673</v>
      </c>
      <c r="Q22" s="40">
        <f>CHOOSE(ScenarioNo,Calc_Base!Q35,Calc_Upside!Q35,Calc_Downside!Q35)</f>
        <v>4347.1506239539276</v>
      </c>
      <c r="R22" s="40">
        <f>CHOOSE(ScenarioNo,Calc_Base!R35,Calc_Upside!R35,Calc_Downside!R35)</f>
        <v>3991.8062119987776</v>
      </c>
      <c r="S22" s="40">
        <f>CHOOSE(ScenarioNo,Calc_Base!S35,Calc_Upside!S35,Calc_Downside!S35)</f>
        <v>3679.3648612168618</v>
      </c>
      <c r="T22" s="40">
        <f>CHOOSE(ScenarioNo,Calc_Base!T35,Calc_Upside!T35,Calc_Downside!T35)</f>
        <v>3368.4654201530602</v>
      </c>
      <c r="U22" s="40">
        <f>CHOOSE(ScenarioNo,Calc_Base!U35,Calc_Upside!U35,Calc_Downside!U35)</f>
        <v>3059.1792937318182</v>
      </c>
      <c r="V22" s="40">
        <f>CHOOSE(ScenarioNo,Calc_Base!V35,Calc_Upside!V35,Calc_Downside!V35)</f>
        <v>2751.5588667217676</v>
      </c>
      <c r="W22" s="40">
        <f>CHOOSE(ScenarioNo,Calc_Base!W35,Calc_Upside!W35,Calc_Downside!W35)</f>
        <v>2445.6511564771145</v>
      </c>
      <c r="X22" s="40">
        <f>CHOOSE(ScenarioNo,Calc_Base!X35,Calc_Upside!X35,Calc_Downside!X35)</f>
        <v>16972.658292990825</v>
      </c>
      <c r="Y22" s="40">
        <f>CHOOSE(ScenarioNo,Calc_Base!Y35,Calc_Upside!Y35,Calc_Downside!Y35)</f>
        <v>16677.428885844311</v>
      </c>
      <c r="Z22" s="40">
        <f>CHOOSE(ScenarioNo,Calc_Base!Z35,Calc_Upside!Z35,Calc_Downside!Z35)</f>
        <v>16384.044827594491</v>
      </c>
      <c r="AA22" s="40">
        <f>CHOOSE(ScenarioNo,Calc_Base!AA35,Calc_Upside!AA35,Calc_Downside!AA35)</f>
        <v>16092.385495576973</v>
      </c>
      <c r="AB22" s="40">
        <f>CHOOSE(ScenarioNo,Calc_Base!AB35,Calc_Upside!AB35,Calc_Downside!AB35)</f>
        <v>15802.511855273999</v>
      </c>
      <c r="AC22" s="40">
        <f>CHOOSE(ScenarioNo,Calc_Base!AC35,Calc_Upside!AC35,Calc_Downside!AC35)</f>
        <v>15481.689828730581</v>
      </c>
      <c r="AD22" s="40">
        <f>CHOOSE(ScenarioNo,Calc_Base!AD35,Calc_Upside!AD35,Calc_Downside!AD35)</f>
        <v>15120.159933774721</v>
      </c>
      <c r="AE22" s="40">
        <f>CHOOSE(ScenarioNo,Calc_Base!AE35,Calc_Upside!AE35,Calc_Downside!AE35)</f>
        <v>14764.64794043079</v>
      </c>
      <c r="AF22" s="40">
        <f>CHOOSE(ScenarioNo,Calc_Base!AF35,Calc_Upside!AF35,Calc_Downside!AF35)</f>
        <v>14415.519974086483</v>
      </c>
      <c r="AG22" s="40">
        <f>CHOOSE(ScenarioNo,Calc_Base!AG35,Calc_Upside!AG35,Calc_Downside!AG35)</f>
        <v>14073.177650821443</v>
      </c>
      <c r="AH22" s="40">
        <f>CHOOSE(ScenarioNo,Calc_Base!AH35,Calc_Upside!AH35,Calc_Downside!AH35)</f>
        <v>13738.062546411826</v>
      </c>
      <c r="AI22" s="40">
        <f>CHOOSE(ScenarioNo,Calc_Base!AI35,Calc_Upside!AI35,Calc_Downside!AI35)</f>
        <v>13410.659275707294</v>
      </c>
      <c r="AJ22" s="40">
        <f>CHOOSE(ScenarioNo,Calc_Base!AJ35,Calc_Upside!AJ35,Calc_Downside!AJ35)</f>
        <v>13091.50072455402</v>
      </c>
      <c r="AK22" s="40">
        <f>CHOOSE(ScenarioNo,Calc_Base!AK35,Calc_Upside!AK35,Calc_Downside!AK35)</f>
        <v>12781.171969940362</v>
      </c>
      <c r="AL22" s="40">
        <f>CHOOSE(ScenarioNo,Calc_Base!AL35,Calc_Upside!AL35,Calc_Downside!AL35)</f>
        <v>12480.316438553751</v>
      </c>
      <c r="AM22" s="40">
        <f>CHOOSE(ScenarioNo,Calc_Base!AM35,Calc_Upside!AM35,Calc_Downside!AM35)</f>
        <v>12189.640848272344</v>
      </c>
      <c r="AN22" s="40">
        <f>CHOOSE(ScenarioNo,Calc_Base!AN35,Calc_Upside!AN35,Calc_Downside!AN35)</f>
        <v>11909.922492545718</v>
      </c>
      <c r="AO22" s="40">
        <f>CHOOSE(ScenarioNo,Calc_Base!AO35,Calc_Upside!AO35,Calc_Downside!AO35)</f>
        <v>11642.014984550888</v>
      </c>
      <c r="AP22" s="40">
        <f>CHOOSE(ScenarioNo,Calc_Base!AP35,Calc_Upside!AP35,Calc_Downside!AP35)</f>
        <v>11331.565134087579</v>
      </c>
      <c r="AQ22" s="40">
        <f>CHOOSE(ScenarioNo,Calc_Base!AQ35,Calc_Upside!AQ35,Calc_Downside!AQ35)</f>
        <v>11029.458323948964</v>
      </c>
      <c r="AR22" s="40">
        <f>CHOOSE(ScenarioNo,Calc_Base!AR35,Calc_Upside!AR35,Calc_Downside!AR35)</f>
        <v>10736.320787285336</v>
      </c>
      <c r="AS22" s="40">
        <f>CHOOSE(ScenarioNo,Calc_Base!AS35,Calc_Upside!AS35,Calc_Downside!AS35)</f>
        <v>10452.830882470882</v>
      </c>
      <c r="AT22" s="40">
        <f>CHOOSE(ScenarioNo,Calc_Base!AT35,Calc_Upside!AT35,Calc_Downside!AT35)</f>
        <v>10179.723907837892</v>
      </c>
      <c r="AU22" s="40">
        <f>CHOOSE(ScenarioNo,Calc_Base!AU35,Calc_Upside!AU35,Calc_Downside!AU35)</f>
        <v>9917.7973866701741</v>
      </c>
      <c r="AV22" s="40">
        <f>CHOOSE(ScenarioNo,Calc_Base!AV35,Calc_Upside!AV35,Calc_Downside!AV35)</f>
        <v>9667.9168696663346</v>
      </c>
      <c r="AW22" s="40">
        <f>CHOOSE(ScenarioNo,Calc_Base!AW35,Calc_Upside!AW35,Calc_Downside!AW35)</f>
        <v>9431.0223068864289</v>
      </c>
      <c r="AX22" s="40">
        <f>CHOOSE(ScenarioNo,Calc_Base!AX35,Calc_Upside!AX35,Calc_Downside!AX35)</f>
        <v>9208.1350464898205</v>
      </c>
      <c r="AY22" s="40">
        <f>CHOOSE(ScenarioNo,Calc_Base!AY35,Calc_Upside!AY35,Calc_Downside!AY35)</f>
        <v>9000.3655234087746</v>
      </c>
      <c r="AZ22" s="40">
        <f>CHOOSE(ScenarioNo,Calc_Base!AZ35,Calc_Upside!AZ35,Calc_Downside!AZ35)</f>
        <v>8808.9217075367906</v>
      </c>
      <c r="BA22" s="40">
        <f>CHOOSE(ScenarioNo,Calc_Base!BA35,Calc_Upside!BA35,Calc_Downside!BA35)</f>
        <v>8635.1183881045072</v>
      </c>
      <c r="BB22" s="40">
        <f>CHOOSE(ScenarioNo,Calc_Base!BB35,Calc_Upside!BB35,Calc_Downside!BB35)</f>
        <v>8460.9913949099773</v>
      </c>
      <c r="BC22" s="40">
        <f>CHOOSE(ScenarioNo,Calc_Base!BC35,Calc_Upside!BC35,Calc_Downside!BC35)</f>
        <v>8298.8798821186956</v>
      </c>
      <c r="BD22" s="40">
        <f>CHOOSE(ScenarioNo,Calc_Base!BD35,Calc_Upside!BD35,Calc_Downside!BD35)</f>
        <v>8149.2887614714609</v>
      </c>
      <c r="BE22" s="40">
        <f>CHOOSE(ScenarioNo,Calc_Base!BE35,Calc_Upside!BE35,Calc_Downside!BE35)</f>
        <v>8012.7434169309017</v>
      </c>
      <c r="BF22" s="40">
        <f>CHOOSE(ScenarioNo,Calc_Base!BF35,Calc_Upside!BF35,Calc_Downside!BF35)</f>
        <v>7889.7905428552385</v>
      </c>
      <c r="BG22" s="40">
        <f>CHOOSE(ScenarioNo,Calc_Base!BG35,Calc_Upside!BG35,Calc_Downside!BG35)</f>
        <v>7780.9990168602499</v>
      </c>
      <c r="BH22" s="40">
        <f>CHOOSE(ScenarioNo,Calc_Base!BH35,Calc_Upside!BH35,Calc_Downside!BH35)</f>
        <v>7686.960808819882</v>
      </c>
      <c r="BI22" s="40">
        <f>CHOOSE(ScenarioNo,Calc_Base!BI35,Calc_Upside!BI35,Calc_Downside!BI35)</f>
        <v>7608.2919275172299</v>
      </c>
      <c r="BJ22" s="40">
        <f>CHOOSE(ScenarioNo,Calc_Base!BJ35,Calc_Upside!BJ35,Calc_Downside!BJ35)</f>
        <v>7545.6334065214396</v>
      </c>
      <c r="BK22" s="40">
        <f>CHOOSE(ScenarioNo,Calc_Base!BK35,Calc_Upside!BK35,Calc_Downside!BK35)</f>
        <v>7499.6523309326612</v>
      </c>
      <c r="BL22" s="40">
        <f>CHOOSE(ScenarioNo,Calc_Base!BL35,Calc_Upside!BL35,Calc_Downside!BL35)</f>
        <v>7471.0429067065952</v>
      </c>
    </row>
    <row r="23" spans="2:64" x14ac:dyDescent="0.35">
      <c r="B23" s="3" t="s">
        <v>293</v>
      </c>
      <c r="C23" s="18" t="s">
        <v>111</v>
      </c>
      <c r="D23" s="40">
        <f>CHOOSE(ScenarioNo,Calc_Base!D36,Calc_Upside!D36,Calc_Downside!D36)</f>
        <v>-11029945.996081538</v>
      </c>
      <c r="E23" s="40">
        <f>CHOOSE(ScenarioNo,Calc_Base!E36,Calc_Upside!E36,Calc_Downside!E36)</f>
        <v>-53384.447390003326</v>
      </c>
      <c r="F23" s="40">
        <f>CHOOSE(ScenarioNo,Calc_Base!F36,Calc_Upside!F36,Calc_Downside!F36)</f>
        <v>-59883.685449141005</v>
      </c>
      <c r="G23" s="40">
        <f>CHOOSE(ScenarioNo,Calc_Base!G36,Calc_Upside!G36,Calc_Downside!G36)</f>
        <v>-67650.466642355852</v>
      </c>
      <c r="H23" s="40">
        <f>CHOOSE(ScenarioNo,Calc_Base!H36,Calc_Upside!H36,Calc_Downside!H36)</f>
        <v>-105334.54683157426</v>
      </c>
      <c r="I23" s="40">
        <f>CHOOSE(ScenarioNo,Calc_Base!I36,Calc_Upside!I36,Calc_Downside!I36)</f>
        <v>-105235.30400143343</v>
      </c>
      <c r="J23" s="40">
        <f>CHOOSE(ScenarioNo,Calc_Base!J36,Calc_Upside!J36,Calc_Downside!J36)</f>
        <v>-96435.783948234122</v>
      </c>
      <c r="K23" s="40">
        <f>CHOOSE(ScenarioNo,Calc_Base!K36,Calc_Upside!K36,Calc_Downside!K36)</f>
        <v>-96634.381340206455</v>
      </c>
      <c r="L23" s="40">
        <f>CHOOSE(ScenarioNo,Calc_Base!L36,Calc_Upside!L36,Calc_Downside!L36)</f>
        <v>-172243.50408055974</v>
      </c>
      <c r="M23" s="40">
        <f>CHOOSE(ScenarioNo,Calc_Base!M36,Calc_Upside!M36,Calc_Downside!M36)</f>
        <v>-151250.07598380669</v>
      </c>
      <c r="N23" s="40">
        <f>CHOOSE(ScenarioNo,Calc_Base!N36,Calc_Upside!N36,Calc_Downside!N36)</f>
        <v>-203592.51661153886</v>
      </c>
      <c r="O23" s="40">
        <f>CHOOSE(ScenarioNo,Calc_Base!O36,Calc_Upside!O36,Calc_Downside!O36)</f>
        <v>-200913.77810131854</v>
      </c>
      <c r="P23" s="40">
        <f>CHOOSE(ScenarioNo,Calc_Base!P36,Calc_Upside!P36,Calc_Downside!P36)</f>
        <v>-208089.06601224077</v>
      </c>
      <c r="Q23" s="40">
        <f>CHOOSE(ScenarioNo,Calc_Base!Q36,Calc_Upside!Q36,Calc_Downside!Q36)</f>
        <v>-284570.66845300875</v>
      </c>
      <c r="R23" s="40">
        <f>CHOOSE(ScenarioNo,Calc_Base!R36,Calc_Upside!R36,Calc_Downside!R36)</f>
        <v>-250265.58062553249</v>
      </c>
      <c r="S23" s="40">
        <f>CHOOSE(ScenarioNo,Calc_Base!S36,Calc_Upside!S36,Calc_Downside!S36)</f>
        <v>-249049.41396215252</v>
      </c>
      <c r="T23" s="40">
        <f>CHOOSE(ScenarioNo,Calc_Base!T36,Calc_Upside!T36,Calc_Downside!T36)</f>
        <v>-247776.12335921568</v>
      </c>
      <c r="U23" s="40">
        <f>CHOOSE(ScenarioNo,Calc_Base!U36,Calc_Upside!U36,Calc_Downside!U36)</f>
        <v>-246460.92494137364</v>
      </c>
      <c r="V23" s="40">
        <f>CHOOSE(ScenarioNo,Calc_Base!V36,Calc_Upside!V36,Calc_Downside!V36)</f>
        <v>-245108.112640167</v>
      </c>
      <c r="W23" s="40">
        <f>CHOOSE(ScenarioNo,Calc_Base!W36,Calc_Upside!W36,Calc_Downside!W36)</f>
        <v>-378793.59634458518</v>
      </c>
      <c r="X23" s="40">
        <f>CHOOSE(ScenarioNo,Calc_Base!X36,Calc_Upside!X36,Calc_Downside!X36)</f>
        <v>-236600.19238387825</v>
      </c>
      <c r="Y23" s="40">
        <f>CHOOSE(ScenarioNo,Calc_Base!Y36,Calc_Upside!Y36,Calc_Downside!Y36)</f>
        <v>-235141.27437763501</v>
      </c>
      <c r="Z23" s="40">
        <f>CHOOSE(ScenarioNo,Calc_Base!Z36,Calc_Upside!Z36,Calc_Downside!Z36)</f>
        <v>-233778.85450290295</v>
      </c>
      <c r="AA23" s="40">
        <f>CHOOSE(ScenarioNo,Calc_Base!AA36,Calc_Upside!AA36,Calc_Downside!AA36)</f>
        <v>-232367.66224237959</v>
      </c>
      <c r="AB23" s="40">
        <f>CHOOSE(ScenarioNo,Calc_Base!AB36,Calc_Upside!AB36,Calc_Downside!AB36)</f>
        <v>-257143.73234584471</v>
      </c>
      <c r="AC23" s="40">
        <f>CHOOSE(ScenarioNo,Calc_Base!AC36,Calc_Upside!AC36,Calc_Downside!AC36)</f>
        <v>-290335.02707580029</v>
      </c>
      <c r="AD23" s="40">
        <f>CHOOSE(ScenarioNo,Calc_Base!AD36,Calc_Upside!AD36,Calc_Downside!AD36)</f>
        <v>-285520.70578625472</v>
      </c>
      <c r="AE23" s="40">
        <f>CHOOSE(ScenarioNo,Calc_Base!AE36,Calc_Upside!AE36,Calc_Downside!AE36)</f>
        <v>-280413.48418655706</v>
      </c>
      <c r="AF23" s="40">
        <f>CHOOSE(ScenarioNo,Calc_Base!AF36,Calc_Upside!AF36,Calc_Downside!AF36)</f>
        <v>-274984.96972314332</v>
      </c>
      <c r="AG23" s="40">
        <f>CHOOSE(ScenarioNo,Calc_Base!AG36,Calc_Upside!AG36,Calc_Downside!AG36)</f>
        <v>-269203.19463880459</v>
      </c>
      <c r="AH23" s="40">
        <f>CHOOSE(ScenarioNo,Calc_Base!AH36,Calc_Upside!AH36,Calc_Downside!AH36)</f>
        <v>-263033.727674736</v>
      </c>
      <c r="AI23" s="40">
        <f>CHOOSE(ScenarioNo,Calc_Base!AI36,Calc_Upside!AI36,Calc_Downside!AI36)</f>
        <v>-256437.95203372921</v>
      </c>
      <c r="AJ23" s="40">
        <f>CHOOSE(ScenarioNo,Calc_Base!AJ36,Calc_Upside!AJ36,Calc_Downside!AJ36)</f>
        <v>-249374.11480203786</v>
      </c>
      <c r="AK23" s="40">
        <f>CHOOSE(ScenarioNo,Calc_Base!AK36,Calc_Upside!AK36,Calc_Downside!AK36)</f>
        <v>-241795.53622040057</v>
      </c>
      <c r="AL23" s="40">
        <f>CHOOSE(ScenarioNo,Calc_Base!AL36,Calc_Upside!AL36,Calc_Downside!AL36)</f>
        <v>-233651.58333623788</v>
      </c>
      <c r="AM23" s="40">
        <f>CHOOSE(ScenarioNo,Calc_Base!AM36,Calc_Upside!AM36,Calc_Downside!AM36)</f>
        <v>-224885.79569241157</v>
      </c>
      <c r="AN23" s="40">
        <f>CHOOSE(ScenarioNo,Calc_Base!AN36,Calc_Upside!AN36,Calc_Downside!AN36)</f>
        <v>-215437.11750697476</v>
      </c>
      <c r="AO23" s="40">
        <f>CHOOSE(ScenarioNo,Calc_Base!AO36,Calc_Upside!AO36,Calc_Downside!AO36)</f>
        <v>-249395.76000027554</v>
      </c>
      <c r="AP23" s="40">
        <f>CHOOSE(ScenarioNo,Calc_Base!AP36,Calc_Upside!AP36,Calc_Downside!AP36)</f>
        <v>-242646.09625904227</v>
      </c>
      <c r="AQ23" s="40">
        <f>CHOOSE(ScenarioNo,Calc_Base!AQ36,Calc_Upside!AQ36,Calc_Downside!AQ36)</f>
        <v>-235395.44599756831</v>
      </c>
      <c r="AR23" s="40">
        <f>CHOOSE(ScenarioNo,Calc_Base!AR36,Calc_Upside!AR36,Calc_Downside!AR36)</f>
        <v>-227602.109036749</v>
      </c>
      <c r="AS23" s="40">
        <f>CHOOSE(ScenarioNo,Calc_Base!AS36,Calc_Upside!AS36,Calc_Downside!AS36)</f>
        <v>-219220.5334100952</v>
      </c>
      <c r="AT23" s="40">
        <f>CHOOSE(ScenarioNo,Calc_Base!AT36,Calc_Upside!AT36,Calc_Downside!AT36)</f>
        <v>-210200.93915639754</v>
      </c>
      <c r="AU23" s="40">
        <f>CHOOSE(ScenarioNo,Calc_Base!AU36,Calc_Upside!AU36,Calc_Downside!AU36)</f>
        <v>-200488.90434381188</v>
      </c>
      <c r="AV23" s="40">
        <f>CHOOSE(ScenarioNo,Calc_Base!AV36,Calc_Upside!AV36,Calc_Downside!AV36)</f>
        <v>-190024.90948318309</v>
      </c>
      <c r="AW23" s="40">
        <f>CHOOSE(ScenarioNo,Calc_Base!AW36,Calc_Upside!AW36,Calc_Downside!AW36)</f>
        <v>-178743.83609506435</v>
      </c>
      <c r="AX23" s="40">
        <f>CHOOSE(ScenarioNo,Calc_Base!AX36,Calc_Upside!AX36,Calc_Downside!AX36)</f>
        <v>-166574.41476113372</v>
      </c>
      <c r="AY23" s="40">
        <f>CHOOSE(ScenarioNo,Calc_Base!AY36,Calc_Upside!AY36,Calc_Downside!AY36)</f>
        <v>-153438.61751240111</v>
      </c>
      <c r="AZ23" s="40">
        <f>CHOOSE(ScenarioNo,Calc_Base!AZ36,Calc_Upside!AZ36,Calc_Downside!AZ36)</f>
        <v>-139250.98887915997</v>
      </c>
      <c r="BA23" s="40">
        <f>CHOOSE(ScenarioNo,Calc_Base!BA36,Calc_Upside!BA36,Calc_Downside!BA36)</f>
        <v>-136859.46492599553</v>
      </c>
      <c r="BB23" s="40">
        <f>CHOOSE(ScenarioNo,Calc_Base!BB36,Calc_Upside!BB36,Calc_Downside!BB36)</f>
        <v>-127304.95097376642</v>
      </c>
      <c r="BC23" s="40">
        <f>CHOOSE(ScenarioNo,Calc_Base!BC36,Calc_Upside!BC36,Calc_Downside!BC36)</f>
        <v>-117346.50762889779</v>
      </c>
      <c r="BD23" s="40">
        <f>CHOOSE(ScenarioNo,Calc_Base!BD36,Calc_Upside!BD36,Calc_Downside!BD36)</f>
        <v>-106967.75711392904</v>
      </c>
      <c r="BE23" s="40">
        <f>CHOOSE(ScenarioNo,Calc_Base!BE36,Calc_Upside!BE36,Calc_Downside!BE36)</f>
        <v>-96151.651112382286</v>
      </c>
      <c r="BF23" s="40">
        <f>CHOOSE(ScenarioNo,Calc_Base!BF36,Calc_Upside!BF36,Calc_Downside!BF36)</f>
        <v>-84880.443018213453</v>
      </c>
      <c r="BG23" s="40">
        <f>CHOOSE(ScenarioNo,Calc_Base!BG36,Calc_Upside!BG36,Calc_Downside!BG36)</f>
        <v>-73135.659024887093</v>
      </c>
      <c r="BH23" s="40">
        <f>CHOOSE(ScenarioNo,Calc_Base!BH36,Calc_Upside!BH36,Calc_Downside!BH36)</f>
        <v>-60898.068005084708</v>
      </c>
      <c r="BI23" s="40">
        <f>CHOOSE(ScenarioNo,Calc_Base!BI36,Calc_Upside!BI36,Calc_Downside!BI36)</f>
        <v>-48147.650129965667</v>
      </c>
      <c r="BJ23" s="40">
        <f>CHOOSE(ScenarioNo,Calc_Base!BJ36,Calc_Upside!BJ36,Calc_Downside!BJ36)</f>
        <v>-34863.564174725849</v>
      </c>
      <c r="BK23" s="40">
        <f>CHOOSE(ScenarioNo,Calc_Base!BK36,Calc_Upside!BK36,Calc_Downside!BK36)</f>
        <v>-21024.113454927541</v>
      </c>
      <c r="BL23" s="40">
        <f>CHOOSE(ScenarioNo,Calc_Base!BL36,Calc_Upside!BL36,Calc_Downside!BL36)</f>
        <v>-6606.7103357060923</v>
      </c>
    </row>
    <row r="24" spans="2:64" x14ac:dyDescent="0.35">
      <c r="B24" s="3" t="s">
        <v>294</v>
      </c>
      <c r="C24" s="18" t="s">
        <v>111</v>
      </c>
      <c r="D24" s="40">
        <f>CHOOSE(ScenarioNo,Calc_Base!D40,Calc_Upside!D40,Calc_Downside!D40)</f>
        <v>0</v>
      </c>
      <c r="E24" s="40">
        <f>CHOOSE(ScenarioNo,Calc_Base!E40,Calc_Upside!E40,Calc_Downside!E40)</f>
        <v>0</v>
      </c>
      <c r="F24" s="40">
        <f>CHOOSE(ScenarioNo,Calc_Base!F40,Calc_Upside!F40,Calc_Downside!F40)</f>
        <v>0</v>
      </c>
      <c r="G24" s="40">
        <f>CHOOSE(ScenarioNo,Calc_Base!G40,Calc_Upside!G40,Calc_Downside!G40)</f>
        <v>0</v>
      </c>
      <c r="H24" s="40">
        <f>CHOOSE(ScenarioNo,Calc_Base!H40,Calc_Upside!H40,Calc_Downside!H40)</f>
        <v>0</v>
      </c>
      <c r="I24" s="40">
        <f>CHOOSE(ScenarioNo,Calc_Base!I40,Calc_Upside!I40,Calc_Downside!I40)</f>
        <v>0</v>
      </c>
      <c r="J24" s="40">
        <f>CHOOSE(ScenarioNo,Calc_Base!J40,Calc_Upside!J40,Calc_Downside!J40)</f>
        <v>0</v>
      </c>
      <c r="K24" s="40">
        <f>CHOOSE(ScenarioNo,Calc_Base!K40,Calc_Upside!K40,Calc_Downside!K40)</f>
        <v>0</v>
      </c>
      <c r="L24" s="40">
        <f>CHOOSE(ScenarioNo,Calc_Base!L40,Calc_Upside!L40,Calc_Downside!L40)</f>
        <v>0</v>
      </c>
      <c r="M24" s="40">
        <f>CHOOSE(ScenarioNo,Calc_Base!M40,Calc_Upside!M40,Calc_Downside!M40)</f>
        <v>0</v>
      </c>
      <c r="N24" s="40">
        <f>CHOOSE(ScenarioNo,Calc_Base!N40,Calc_Upside!N40,Calc_Downside!N40)</f>
        <v>0</v>
      </c>
      <c r="O24" s="40">
        <f>CHOOSE(ScenarioNo,Calc_Base!O40,Calc_Upside!O40,Calc_Downside!O40)</f>
        <v>0</v>
      </c>
      <c r="P24" s="40">
        <f>CHOOSE(ScenarioNo,Calc_Base!P40,Calc_Upside!P40,Calc_Downside!P40)</f>
        <v>0</v>
      </c>
      <c r="Q24" s="40">
        <f>CHOOSE(ScenarioNo,Calc_Base!Q40,Calc_Upside!Q40,Calc_Downside!Q40)</f>
        <v>0</v>
      </c>
      <c r="R24" s="40">
        <f>CHOOSE(ScenarioNo,Calc_Base!R40,Calc_Upside!R40,Calc_Downside!R40)</f>
        <v>0</v>
      </c>
      <c r="S24" s="40">
        <f>CHOOSE(ScenarioNo,Calc_Base!S40,Calc_Upside!S40,Calc_Downside!S40)</f>
        <v>0</v>
      </c>
      <c r="T24" s="40">
        <f>CHOOSE(ScenarioNo,Calc_Base!T40,Calc_Upside!T40,Calc_Downside!T40)</f>
        <v>0</v>
      </c>
      <c r="U24" s="40">
        <f>CHOOSE(ScenarioNo,Calc_Base!U40,Calc_Upside!U40,Calc_Downside!U40)</f>
        <v>0</v>
      </c>
      <c r="V24" s="40">
        <f>CHOOSE(ScenarioNo,Calc_Base!V40,Calc_Upside!V40,Calc_Downside!V40)</f>
        <v>0</v>
      </c>
      <c r="W24" s="40">
        <f>CHOOSE(ScenarioNo,Calc_Base!W40,Calc_Upside!W40,Calc_Downside!W40)</f>
        <v>0</v>
      </c>
      <c r="X24" s="40">
        <f>CHOOSE(ScenarioNo,Calc_Base!X40,Calc_Upside!X40,Calc_Downside!X40)</f>
        <v>0</v>
      </c>
      <c r="Y24" s="40">
        <f>CHOOSE(ScenarioNo,Calc_Base!Y40,Calc_Upside!Y40,Calc_Downside!Y40)</f>
        <v>0</v>
      </c>
      <c r="Z24" s="40">
        <f>CHOOSE(ScenarioNo,Calc_Base!Z40,Calc_Upside!Z40,Calc_Downside!Z40)</f>
        <v>0</v>
      </c>
      <c r="AA24" s="40">
        <f>CHOOSE(ScenarioNo,Calc_Base!AA40,Calc_Upside!AA40,Calc_Downside!AA40)</f>
        <v>0</v>
      </c>
      <c r="AB24" s="40">
        <f>CHOOSE(ScenarioNo,Calc_Base!AB40,Calc_Upside!AB40,Calc_Downside!AB40)</f>
        <v>0</v>
      </c>
      <c r="AC24" s="40">
        <f>CHOOSE(ScenarioNo,Calc_Base!AC40,Calc_Upside!AC40,Calc_Downside!AC40)</f>
        <v>0</v>
      </c>
      <c r="AD24" s="40">
        <f>CHOOSE(ScenarioNo,Calc_Base!AD40,Calc_Upside!AD40,Calc_Downside!AD40)</f>
        <v>0</v>
      </c>
      <c r="AE24" s="40">
        <f>CHOOSE(ScenarioNo,Calc_Base!AE40,Calc_Upside!AE40,Calc_Downside!AE40)</f>
        <v>0</v>
      </c>
      <c r="AF24" s="40">
        <f>CHOOSE(ScenarioNo,Calc_Base!AF40,Calc_Upside!AF40,Calc_Downside!AF40)</f>
        <v>0</v>
      </c>
      <c r="AG24" s="40">
        <f>CHOOSE(ScenarioNo,Calc_Base!AG40,Calc_Upside!AG40,Calc_Downside!AG40)</f>
        <v>0</v>
      </c>
      <c r="AH24" s="40">
        <f>CHOOSE(ScenarioNo,Calc_Base!AH40,Calc_Upside!AH40,Calc_Downside!AH40)</f>
        <v>0</v>
      </c>
      <c r="AI24" s="40">
        <f>CHOOSE(ScenarioNo,Calc_Base!AI40,Calc_Upside!AI40,Calc_Downside!AI40)</f>
        <v>0</v>
      </c>
      <c r="AJ24" s="40">
        <f>CHOOSE(ScenarioNo,Calc_Base!AJ40,Calc_Upside!AJ40,Calc_Downside!AJ40)</f>
        <v>0</v>
      </c>
      <c r="AK24" s="40">
        <f>CHOOSE(ScenarioNo,Calc_Base!AK40,Calc_Upside!AK40,Calc_Downside!AK40)</f>
        <v>0</v>
      </c>
      <c r="AL24" s="40">
        <f>CHOOSE(ScenarioNo,Calc_Base!AL40,Calc_Upside!AL40,Calc_Downside!AL40)</f>
        <v>0</v>
      </c>
      <c r="AM24" s="40">
        <f>CHOOSE(ScenarioNo,Calc_Base!AM40,Calc_Upside!AM40,Calc_Downside!AM40)</f>
        <v>0</v>
      </c>
      <c r="AN24" s="40">
        <f>CHOOSE(ScenarioNo,Calc_Base!AN40,Calc_Upside!AN40,Calc_Downside!AN40)</f>
        <v>0</v>
      </c>
      <c r="AO24" s="40">
        <f>CHOOSE(ScenarioNo,Calc_Base!AO40,Calc_Upside!AO40,Calc_Downside!AO40)</f>
        <v>0</v>
      </c>
      <c r="AP24" s="40">
        <f>CHOOSE(ScenarioNo,Calc_Base!AP40,Calc_Upside!AP40,Calc_Downside!AP40)</f>
        <v>0</v>
      </c>
      <c r="AQ24" s="40">
        <f>CHOOSE(ScenarioNo,Calc_Base!AQ40,Calc_Upside!AQ40,Calc_Downside!AQ40)</f>
        <v>0</v>
      </c>
      <c r="AR24" s="40">
        <f>CHOOSE(ScenarioNo,Calc_Base!AR40,Calc_Upside!AR40,Calc_Downside!AR40)</f>
        <v>0</v>
      </c>
      <c r="AS24" s="40">
        <f>CHOOSE(ScenarioNo,Calc_Base!AS40,Calc_Upside!AS40,Calc_Downside!AS40)</f>
        <v>0</v>
      </c>
      <c r="AT24" s="40">
        <f>CHOOSE(ScenarioNo,Calc_Base!AT40,Calc_Upside!AT40,Calc_Downside!AT40)</f>
        <v>0</v>
      </c>
      <c r="AU24" s="40">
        <f>CHOOSE(ScenarioNo,Calc_Base!AU40,Calc_Upside!AU40,Calc_Downside!AU40)</f>
        <v>0</v>
      </c>
      <c r="AV24" s="40">
        <f>CHOOSE(ScenarioNo,Calc_Base!AV40,Calc_Upside!AV40,Calc_Downside!AV40)</f>
        <v>0</v>
      </c>
      <c r="AW24" s="40">
        <f>CHOOSE(ScenarioNo,Calc_Base!AW40,Calc_Upside!AW40,Calc_Downside!AW40)</f>
        <v>0</v>
      </c>
      <c r="AX24" s="40">
        <f>CHOOSE(ScenarioNo,Calc_Base!AX40,Calc_Upside!AX40,Calc_Downside!AX40)</f>
        <v>0</v>
      </c>
      <c r="AY24" s="40">
        <f>CHOOSE(ScenarioNo,Calc_Base!AY40,Calc_Upside!AY40,Calc_Downside!AY40)</f>
        <v>0</v>
      </c>
      <c r="AZ24" s="40">
        <f>CHOOSE(ScenarioNo,Calc_Base!AZ40,Calc_Upside!AZ40,Calc_Downside!AZ40)</f>
        <v>0</v>
      </c>
      <c r="BA24" s="40">
        <f>CHOOSE(ScenarioNo,Calc_Base!BA40,Calc_Upside!BA40,Calc_Downside!BA40)</f>
        <v>0</v>
      </c>
      <c r="BB24" s="40">
        <f>CHOOSE(ScenarioNo,Calc_Base!BB40,Calc_Upside!BB40,Calc_Downside!BB40)</f>
        <v>0</v>
      </c>
      <c r="BC24" s="40">
        <f>CHOOSE(ScenarioNo,Calc_Base!BC40,Calc_Upside!BC40,Calc_Downside!BC40)</f>
        <v>0</v>
      </c>
      <c r="BD24" s="40">
        <f>CHOOSE(ScenarioNo,Calc_Base!BD40,Calc_Upside!BD40,Calc_Downside!BD40)</f>
        <v>0</v>
      </c>
      <c r="BE24" s="40">
        <f>CHOOSE(ScenarioNo,Calc_Base!BE40,Calc_Upside!BE40,Calc_Downside!BE40)</f>
        <v>0</v>
      </c>
      <c r="BF24" s="40">
        <f>CHOOSE(ScenarioNo,Calc_Base!BF40,Calc_Upside!BF40,Calc_Downside!BF40)</f>
        <v>0</v>
      </c>
      <c r="BG24" s="40">
        <f>CHOOSE(ScenarioNo,Calc_Base!BG40,Calc_Upside!BG40,Calc_Downside!BG40)</f>
        <v>0</v>
      </c>
      <c r="BH24" s="40">
        <f>CHOOSE(ScenarioNo,Calc_Base!BH40,Calc_Upside!BH40,Calc_Downside!BH40)</f>
        <v>0</v>
      </c>
      <c r="BI24" s="40">
        <f>CHOOSE(ScenarioNo,Calc_Base!BI40,Calc_Upside!BI40,Calc_Downside!BI40)</f>
        <v>0</v>
      </c>
      <c r="BJ24" s="40">
        <f>CHOOSE(ScenarioNo,Calc_Base!BJ40,Calc_Upside!BJ40,Calc_Downside!BJ40)</f>
        <v>0</v>
      </c>
      <c r="BK24" s="40">
        <f>CHOOSE(ScenarioNo,Calc_Base!BK40,Calc_Upside!BK40,Calc_Downside!BK40)</f>
        <v>0</v>
      </c>
      <c r="BL24" s="40">
        <f>CHOOSE(ScenarioNo,Calc_Base!BL40,Calc_Upside!BL40,Calc_Downside!BL40)</f>
        <v>0</v>
      </c>
    </row>
    <row r="25" spans="2:64" x14ac:dyDescent="0.35">
      <c r="B25" s="4" t="s">
        <v>295</v>
      </c>
      <c r="C25" s="18" t="s">
        <v>111</v>
      </c>
      <c r="D25" s="41">
        <f>CHOOSE(ScenarioNo,Calc_Base!D41,Calc_Upside!D41,Calc_Downside!D41)</f>
        <v>-11029945.996081538</v>
      </c>
      <c r="E25" s="41">
        <f>CHOOSE(ScenarioNo,Calc_Base!E41,Calc_Upside!E41,Calc_Downside!E41)</f>
        <v>-53384.447390003326</v>
      </c>
      <c r="F25" s="41">
        <f>CHOOSE(ScenarioNo,Calc_Base!F41,Calc_Upside!F41,Calc_Downside!F41)</f>
        <v>-59883.685449141005</v>
      </c>
      <c r="G25" s="41">
        <f>CHOOSE(ScenarioNo,Calc_Base!G41,Calc_Upside!G41,Calc_Downside!G41)</f>
        <v>-67650.466642355852</v>
      </c>
      <c r="H25" s="41">
        <f>CHOOSE(ScenarioNo,Calc_Base!H41,Calc_Upside!H41,Calc_Downside!H41)</f>
        <v>-105334.54683157426</v>
      </c>
      <c r="I25" s="41">
        <f>CHOOSE(ScenarioNo,Calc_Base!I41,Calc_Upside!I41,Calc_Downside!I41)</f>
        <v>-105235.30400143343</v>
      </c>
      <c r="J25" s="41">
        <f>CHOOSE(ScenarioNo,Calc_Base!J41,Calc_Upside!J41,Calc_Downside!J41)</f>
        <v>-96435.783948234122</v>
      </c>
      <c r="K25" s="41">
        <f>CHOOSE(ScenarioNo,Calc_Base!K41,Calc_Upside!K41,Calc_Downside!K41)</f>
        <v>-96634.381340206455</v>
      </c>
      <c r="L25" s="41">
        <f>CHOOSE(ScenarioNo,Calc_Base!L41,Calc_Upside!L41,Calc_Downside!L41)</f>
        <v>-172243.50408055974</v>
      </c>
      <c r="M25" s="41">
        <f>CHOOSE(ScenarioNo,Calc_Base!M41,Calc_Upside!M41,Calc_Downside!M41)</f>
        <v>-151250.07598380669</v>
      </c>
      <c r="N25" s="41">
        <f>CHOOSE(ScenarioNo,Calc_Base!N41,Calc_Upside!N41,Calc_Downside!N41)</f>
        <v>-203592.51661153886</v>
      </c>
      <c r="O25" s="41">
        <f>CHOOSE(ScenarioNo,Calc_Base!O41,Calc_Upside!O41,Calc_Downside!O41)</f>
        <v>-200913.77810131854</v>
      </c>
      <c r="P25" s="41">
        <f>CHOOSE(ScenarioNo,Calc_Base!P41,Calc_Upside!P41,Calc_Downside!P41)</f>
        <v>-208089.06601224077</v>
      </c>
      <c r="Q25" s="41">
        <f>CHOOSE(ScenarioNo,Calc_Base!Q41,Calc_Upside!Q41,Calc_Downside!Q41)</f>
        <v>-284570.66845300875</v>
      </c>
      <c r="R25" s="41">
        <f>CHOOSE(ScenarioNo,Calc_Base!R41,Calc_Upside!R41,Calc_Downside!R41)</f>
        <v>-250265.58062553249</v>
      </c>
      <c r="S25" s="41">
        <f>CHOOSE(ScenarioNo,Calc_Base!S41,Calc_Upside!S41,Calc_Downside!S41)</f>
        <v>-249049.41396215252</v>
      </c>
      <c r="T25" s="41">
        <f>CHOOSE(ScenarioNo,Calc_Base!T41,Calc_Upside!T41,Calc_Downside!T41)</f>
        <v>-247776.12335921568</v>
      </c>
      <c r="U25" s="41">
        <f>CHOOSE(ScenarioNo,Calc_Base!U41,Calc_Upside!U41,Calc_Downside!U41)</f>
        <v>-246460.92494137364</v>
      </c>
      <c r="V25" s="41">
        <f>CHOOSE(ScenarioNo,Calc_Base!V41,Calc_Upside!V41,Calc_Downside!V41)</f>
        <v>-245108.112640167</v>
      </c>
      <c r="W25" s="41">
        <f>CHOOSE(ScenarioNo,Calc_Base!W41,Calc_Upside!W41,Calc_Downside!W41)</f>
        <v>-378793.59634458518</v>
      </c>
      <c r="X25" s="41">
        <f>CHOOSE(ScenarioNo,Calc_Base!X41,Calc_Upside!X41,Calc_Downside!X41)</f>
        <v>-236600.19238387825</v>
      </c>
      <c r="Y25" s="41">
        <f>CHOOSE(ScenarioNo,Calc_Base!Y41,Calc_Upside!Y41,Calc_Downside!Y41)</f>
        <v>-235141.27437763501</v>
      </c>
      <c r="Z25" s="41">
        <f>CHOOSE(ScenarioNo,Calc_Base!Z41,Calc_Upside!Z41,Calc_Downside!Z41)</f>
        <v>-233778.85450290295</v>
      </c>
      <c r="AA25" s="41">
        <f>CHOOSE(ScenarioNo,Calc_Base!AA41,Calc_Upside!AA41,Calc_Downside!AA41)</f>
        <v>-232367.66224237959</v>
      </c>
      <c r="AB25" s="41">
        <f>CHOOSE(ScenarioNo,Calc_Base!AB41,Calc_Upside!AB41,Calc_Downside!AB41)</f>
        <v>-257143.73234584471</v>
      </c>
      <c r="AC25" s="41">
        <f>CHOOSE(ScenarioNo,Calc_Base!AC41,Calc_Upside!AC41,Calc_Downside!AC41)</f>
        <v>-290335.02707580029</v>
      </c>
      <c r="AD25" s="41">
        <f>CHOOSE(ScenarioNo,Calc_Base!AD41,Calc_Upside!AD41,Calc_Downside!AD41)</f>
        <v>-285520.70578625472</v>
      </c>
      <c r="AE25" s="41">
        <f>CHOOSE(ScenarioNo,Calc_Base!AE41,Calc_Upside!AE41,Calc_Downside!AE41)</f>
        <v>-280413.48418655706</v>
      </c>
      <c r="AF25" s="41">
        <f>CHOOSE(ScenarioNo,Calc_Base!AF41,Calc_Upside!AF41,Calc_Downside!AF41)</f>
        <v>-274984.96972314332</v>
      </c>
      <c r="AG25" s="41">
        <f>CHOOSE(ScenarioNo,Calc_Base!AG41,Calc_Upside!AG41,Calc_Downside!AG41)</f>
        <v>-269203.19463880459</v>
      </c>
      <c r="AH25" s="41">
        <f>CHOOSE(ScenarioNo,Calc_Base!AH41,Calc_Upside!AH41,Calc_Downside!AH41)</f>
        <v>-263033.727674736</v>
      </c>
      <c r="AI25" s="41">
        <f>CHOOSE(ScenarioNo,Calc_Base!AI41,Calc_Upside!AI41,Calc_Downside!AI41)</f>
        <v>-256437.95203372921</v>
      </c>
      <c r="AJ25" s="41">
        <f>CHOOSE(ScenarioNo,Calc_Base!AJ41,Calc_Upside!AJ41,Calc_Downside!AJ41)</f>
        <v>-249374.11480203786</v>
      </c>
      <c r="AK25" s="41">
        <f>CHOOSE(ScenarioNo,Calc_Base!AK41,Calc_Upside!AK41,Calc_Downside!AK41)</f>
        <v>-241795.53622040057</v>
      </c>
      <c r="AL25" s="41">
        <f>CHOOSE(ScenarioNo,Calc_Base!AL41,Calc_Upside!AL41,Calc_Downside!AL41)</f>
        <v>-233651.58333623788</v>
      </c>
      <c r="AM25" s="41">
        <f>CHOOSE(ScenarioNo,Calc_Base!AM41,Calc_Upside!AM41,Calc_Downside!AM41)</f>
        <v>-224885.79569241157</v>
      </c>
      <c r="AN25" s="41">
        <f>CHOOSE(ScenarioNo,Calc_Base!AN41,Calc_Upside!AN41,Calc_Downside!AN41)</f>
        <v>-215437.11750697476</v>
      </c>
      <c r="AO25" s="41">
        <f>CHOOSE(ScenarioNo,Calc_Base!AO41,Calc_Upside!AO41,Calc_Downside!AO41)</f>
        <v>-249395.76000027554</v>
      </c>
      <c r="AP25" s="41">
        <f>CHOOSE(ScenarioNo,Calc_Base!AP41,Calc_Upside!AP41,Calc_Downside!AP41)</f>
        <v>-242646.09625904227</v>
      </c>
      <c r="AQ25" s="41">
        <f>CHOOSE(ScenarioNo,Calc_Base!AQ41,Calc_Upside!AQ41,Calc_Downside!AQ41)</f>
        <v>-235395.44599756831</v>
      </c>
      <c r="AR25" s="41">
        <f>CHOOSE(ScenarioNo,Calc_Base!AR41,Calc_Upside!AR41,Calc_Downside!AR41)</f>
        <v>-227602.109036749</v>
      </c>
      <c r="AS25" s="41">
        <f>CHOOSE(ScenarioNo,Calc_Base!AS41,Calc_Upside!AS41,Calc_Downside!AS41)</f>
        <v>-219220.5334100952</v>
      </c>
      <c r="AT25" s="41">
        <f>CHOOSE(ScenarioNo,Calc_Base!AT41,Calc_Upside!AT41,Calc_Downside!AT41)</f>
        <v>-210200.93915639754</v>
      </c>
      <c r="AU25" s="41">
        <f>CHOOSE(ScenarioNo,Calc_Base!AU41,Calc_Upside!AU41,Calc_Downside!AU41)</f>
        <v>-200488.90434381188</v>
      </c>
      <c r="AV25" s="41">
        <f>CHOOSE(ScenarioNo,Calc_Base!AV41,Calc_Upside!AV41,Calc_Downside!AV41)</f>
        <v>-190024.90948318309</v>
      </c>
      <c r="AW25" s="41">
        <f>CHOOSE(ScenarioNo,Calc_Base!AW41,Calc_Upside!AW41,Calc_Downside!AW41)</f>
        <v>-178743.83609506435</v>
      </c>
      <c r="AX25" s="41">
        <f>CHOOSE(ScenarioNo,Calc_Base!AX41,Calc_Upside!AX41,Calc_Downside!AX41)</f>
        <v>-166574.41476113372</v>
      </c>
      <c r="AY25" s="41">
        <f>CHOOSE(ScenarioNo,Calc_Base!AY41,Calc_Upside!AY41,Calc_Downside!AY41)</f>
        <v>-153438.61751240111</v>
      </c>
      <c r="AZ25" s="41">
        <f>CHOOSE(ScenarioNo,Calc_Base!AZ41,Calc_Upside!AZ41,Calc_Downside!AZ41)</f>
        <v>-139250.98887915997</v>
      </c>
      <c r="BA25" s="41">
        <f>CHOOSE(ScenarioNo,Calc_Base!BA41,Calc_Upside!BA41,Calc_Downside!BA41)</f>
        <v>-136859.46492599553</v>
      </c>
      <c r="BB25" s="41">
        <f>CHOOSE(ScenarioNo,Calc_Base!BB41,Calc_Upside!BB41,Calc_Downside!BB41)</f>
        <v>-127304.95097376642</v>
      </c>
      <c r="BC25" s="41">
        <f>CHOOSE(ScenarioNo,Calc_Base!BC41,Calc_Upside!BC41,Calc_Downside!BC41)</f>
        <v>-117346.50762889779</v>
      </c>
      <c r="BD25" s="41">
        <f>CHOOSE(ScenarioNo,Calc_Base!BD41,Calc_Upside!BD41,Calc_Downside!BD41)</f>
        <v>-106967.75711392904</v>
      </c>
      <c r="BE25" s="41">
        <f>CHOOSE(ScenarioNo,Calc_Base!BE41,Calc_Upside!BE41,Calc_Downside!BE41)</f>
        <v>-96151.651112382286</v>
      </c>
      <c r="BF25" s="41">
        <f>CHOOSE(ScenarioNo,Calc_Base!BF41,Calc_Upside!BF41,Calc_Downside!BF41)</f>
        <v>-84880.443018213453</v>
      </c>
      <c r="BG25" s="41">
        <f>CHOOSE(ScenarioNo,Calc_Base!BG41,Calc_Upside!BG41,Calc_Downside!BG41)</f>
        <v>-73135.659024887093</v>
      </c>
      <c r="BH25" s="41">
        <f>CHOOSE(ScenarioNo,Calc_Base!BH41,Calc_Upside!BH41,Calc_Downside!BH41)</f>
        <v>-60898.068005084708</v>
      </c>
      <c r="BI25" s="41">
        <f>CHOOSE(ScenarioNo,Calc_Base!BI41,Calc_Upside!BI41,Calc_Downside!BI41)</f>
        <v>-48147.650129965667</v>
      </c>
      <c r="BJ25" s="41">
        <f>CHOOSE(ScenarioNo,Calc_Base!BJ41,Calc_Upside!BJ41,Calc_Downside!BJ41)</f>
        <v>-34863.564174725849</v>
      </c>
      <c r="BK25" s="41">
        <f>CHOOSE(ScenarioNo,Calc_Base!BK41,Calc_Upside!BK41,Calc_Downside!BK41)</f>
        <v>-21024.113454927541</v>
      </c>
      <c r="BL25" s="41">
        <f>CHOOSE(ScenarioNo,Calc_Base!BL41,Calc_Upside!BL41,Calc_Downside!BL41)</f>
        <v>-6606.7103357060923</v>
      </c>
    </row>
    <row r="26" spans="2:64" x14ac:dyDescent="0.35">
      <c r="B26" s="16" t="s">
        <v>296</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row>
    <row r="27" spans="2:64" x14ac:dyDescent="0.35">
      <c r="B27" s="3" t="s">
        <v>297</v>
      </c>
      <c r="C27" s="18" t="s">
        <v>111</v>
      </c>
      <c r="D27" s="40">
        <f>CHOOSE(ScenarioNo,Calc_Base!D43,Calc_Upside!D43,Calc_Downside!D43)</f>
        <v>-10984077.940525986</v>
      </c>
      <c r="E27" s="40">
        <f>CHOOSE(ScenarioNo,Calc_Base!E43,Calc_Upside!E43,Calc_Downside!E43)</f>
        <v>-53309.215908521845</v>
      </c>
      <c r="F27" s="40">
        <f>CHOOSE(ScenarioNo,Calc_Base!F43,Calc_Upside!F43,Calc_Downside!F43)</f>
        <v>-59733.222486178041</v>
      </c>
      <c r="G27" s="40">
        <f>CHOOSE(ScenarioNo,Calc_Base!G43,Calc_Upside!G43,Calc_Downside!G43)</f>
        <v>-67424.772197911414</v>
      </c>
      <c r="H27" s="40">
        <f>CHOOSE(ScenarioNo,Calc_Base!H43,Calc_Upside!H43,Calc_Downside!H43)</f>
        <v>-105033.62090564833</v>
      </c>
      <c r="I27" s="40">
        <f>CHOOSE(ScenarioNo,Calc_Base!I43,Calc_Upside!I43,Calc_Downside!I43)</f>
        <v>-104859.14659402602</v>
      </c>
      <c r="J27" s="40">
        <f>CHOOSE(ScenarioNo,Calc_Base!J43,Calc_Upside!J43,Calc_Downside!J43)</f>
        <v>-95984.395059345232</v>
      </c>
      <c r="K27" s="40">
        <f>CHOOSE(ScenarioNo,Calc_Base!K43,Calc_Upside!K43,Calc_Downside!K43)</f>
        <v>-96107.76096983609</v>
      </c>
      <c r="L27" s="40">
        <f>CHOOSE(ScenarioNo,Calc_Base!L43,Calc_Upside!L43,Calc_Downside!L43)</f>
        <v>-171641.65222870788</v>
      </c>
      <c r="M27" s="40">
        <f>CHOOSE(ScenarioNo,Calc_Base!M43,Calc_Upside!M43,Calc_Downside!M43)</f>
        <v>-150572.99265047334</v>
      </c>
      <c r="N27" s="40">
        <f>CHOOSE(ScenarioNo,Calc_Base!N43,Calc_Upside!N43,Calc_Downside!N43)</f>
        <v>-202840.20179672405</v>
      </c>
      <c r="O27" s="40">
        <f>CHOOSE(ScenarioNo,Calc_Base!O43,Calc_Upside!O43,Calc_Downside!O43)</f>
        <v>-200086.23180502225</v>
      </c>
      <c r="P27" s="40">
        <f>CHOOSE(ScenarioNo,Calc_Base!P43,Calc_Upside!P43,Calc_Downside!P43)</f>
        <v>-207186.28823446299</v>
      </c>
      <c r="Q27" s="40">
        <f>CHOOSE(ScenarioNo,Calc_Base!Q43,Calc_Upside!Q43,Calc_Downside!Q43)</f>
        <v>-283650.52956411988</v>
      </c>
      <c r="R27" s="40">
        <f>CHOOSE(ScenarioNo,Calc_Base!R43,Calc_Upside!R43,Calc_Downside!R43)</f>
        <v>-249328.08062553249</v>
      </c>
      <c r="S27" s="40">
        <f>CHOOSE(ScenarioNo,Calc_Base!S43,Calc_Upside!S43,Calc_Downside!S43)</f>
        <v>-248094.5528510414</v>
      </c>
      <c r="T27" s="40">
        <f>CHOOSE(ScenarioNo,Calc_Base!T43,Calc_Upside!T43,Calc_Downside!T43)</f>
        <v>-246803.90113699346</v>
      </c>
      <c r="U27" s="40">
        <f>CHOOSE(ScenarioNo,Calc_Base!U43,Calc_Upside!U43,Calc_Downside!U43)</f>
        <v>-245471.3416080403</v>
      </c>
      <c r="V27" s="40">
        <f>CHOOSE(ScenarioNo,Calc_Base!V43,Calc_Upside!V43,Calc_Downside!V43)</f>
        <v>-244101.16819572257</v>
      </c>
      <c r="W27" s="40">
        <f>CHOOSE(ScenarioNo,Calc_Base!W43,Calc_Upside!W43,Calc_Downside!W43)</f>
        <v>-377769.29078902962</v>
      </c>
      <c r="X27" s="40">
        <f>CHOOSE(ScenarioNo,Calc_Base!X43,Calc_Upside!X43,Calc_Downside!X43)</f>
        <v>-235558.5257172116</v>
      </c>
      <c r="Y27" s="40">
        <f>CHOOSE(ScenarioNo,Calc_Base!Y43,Calc_Upside!Y43,Calc_Downside!Y43)</f>
        <v>-234082.24659985723</v>
      </c>
      <c r="Z27" s="40">
        <f>CHOOSE(ScenarioNo,Calc_Base!Z43,Calc_Upside!Z43,Calc_Downside!Z43)</f>
        <v>-232702.46561401407</v>
      </c>
      <c r="AA27" s="40">
        <f>CHOOSE(ScenarioNo,Calc_Base!AA43,Calc_Upside!AA43,Calc_Downside!AA43)</f>
        <v>-231273.91224237959</v>
      </c>
      <c r="AB27" s="40">
        <f>CHOOSE(ScenarioNo,Calc_Base!AB43,Calc_Upside!AB43,Calc_Downside!AB43)</f>
        <v>-256032.62123473358</v>
      </c>
      <c r="AC27" s="40">
        <f>CHOOSE(ScenarioNo,Calc_Base!AC43,Calc_Upside!AC43,Calc_Downside!AC43)</f>
        <v>-289223.91596468916</v>
      </c>
      <c r="AD27" s="40">
        <f>CHOOSE(ScenarioNo,Calc_Base!AD43,Calc_Upside!AD43,Calc_Downside!AD43)</f>
        <v>-284409.5946751436</v>
      </c>
      <c r="AE27" s="40">
        <f>CHOOSE(ScenarioNo,Calc_Base!AE43,Calc_Upside!AE43,Calc_Downside!AE43)</f>
        <v>-279302.37307544594</v>
      </c>
      <c r="AF27" s="40">
        <f>CHOOSE(ScenarioNo,Calc_Base!AF43,Calc_Upside!AF43,Calc_Downside!AF43)</f>
        <v>-273873.8586120322</v>
      </c>
      <c r="AG27" s="40">
        <f>CHOOSE(ScenarioNo,Calc_Base!AG43,Calc_Upside!AG43,Calc_Downside!AG43)</f>
        <v>-268092.08352769347</v>
      </c>
      <c r="AH27" s="40">
        <f>CHOOSE(ScenarioNo,Calc_Base!AH43,Calc_Upside!AH43,Calc_Downside!AH43)</f>
        <v>-261922.61656362488</v>
      </c>
      <c r="AI27" s="40">
        <f>CHOOSE(ScenarioNo,Calc_Base!AI43,Calc_Upside!AI43,Calc_Downside!AI43)</f>
        <v>-255326.84092261808</v>
      </c>
      <c r="AJ27" s="40">
        <f>CHOOSE(ScenarioNo,Calc_Base!AJ43,Calc_Upside!AJ43,Calc_Downside!AJ43)</f>
        <v>-248263.00369092674</v>
      </c>
      <c r="AK27" s="40">
        <f>CHOOSE(ScenarioNo,Calc_Base!AK43,Calc_Upside!AK43,Calc_Downside!AK43)</f>
        <v>-240684.42510928944</v>
      </c>
      <c r="AL27" s="40">
        <f>CHOOSE(ScenarioNo,Calc_Base!AL43,Calc_Upside!AL43,Calc_Downside!AL43)</f>
        <v>-232540.47222512675</v>
      </c>
      <c r="AM27" s="40">
        <f>CHOOSE(ScenarioNo,Calc_Base!AM43,Calc_Upside!AM43,Calc_Downside!AM43)</f>
        <v>-223774.68458130045</v>
      </c>
      <c r="AN27" s="40">
        <f>CHOOSE(ScenarioNo,Calc_Base!AN43,Calc_Upside!AN43,Calc_Downside!AN43)</f>
        <v>-214326.00639586363</v>
      </c>
      <c r="AO27" s="40">
        <f>CHOOSE(ScenarioNo,Calc_Base!AO43,Calc_Upside!AO43,Calc_Downside!AO43)</f>
        <v>-248359.8803706459</v>
      </c>
      <c r="AP27" s="40">
        <f>CHOOSE(ScenarioNo,Calc_Base!AP43,Calc_Upside!AP43,Calc_Downside!AP43)</f>
        <v>-241685.44811089413</v>
      </c>
      <c r="AQ27" s="40">
        <f>CHOOSE(ScenarioNo,Calc_Base!AQ43,Calc_Upside!AQ43,Calc_Downside!AQ43)</f>
        <v>-234510.02933090166</v>
      </c>
      <c r="AR27" s="40">
        <f>CHOOSE(ScenarioNo,Calc_Base!AR43,Calc_Upside!AR43,Calc_Downside!AR43)</f>
        <v>-226791.9238515638</v>
      </c>
      <c r="AS27" s="40">
        <f>CHOOSE(ScenarioNo,Calc_Base!AS43,Calc_Upside!AS43,Calc_Downside!AS43)</f>
        <v>-218485.57970639149</v>
      </c>
      <c r="AT27" s="40">
        <f>CHOOSE(ScenarioNo,Calc_Base!AT43,Calc_Upside!AT43,Calc_Downside!AT43)</f>
        <v>-209541.21693417535</v>
      </c>
      <c r="AU27" s="40">
        <f>CHOOSE(ScenarioNo,Calc_Base!AU43,Calc_Upside!AU43,Calc_Downside!AU43)</f>
        <v>-199904.41360307115</v>
      </c>
      <c r="AV27" s="40">
        <f>CHOOSE(ScenarioNo,Calc_Base!AV43,Calc_Upside!AV43,Calc_Downside!AV43)</f>
        <v>-189515.65022392382</v>
      </c>
      <c r="AW27" s="40">
        <f>CHOOSE(ScenarioNo,Calc_Base!AW43,Calc_Upside!AW43,Calc_Downside!AW43)</f>
        <v>-178309.8083172866</v>
      </c>
      <c r="AX27" s="40">
        <f>CHOOSE(ScenarioNo,Calc_Base!AX43,Calc_Upside!AX43,Calc_Downside!AX43)</f>
        <v>-166215.61846483743</v>
      </c>
      <c r="AY27" s="40">
        <f>CHOOSE(ScenarioNo,Calc_Base!AY43,Calc_Upside!AY43,Calc_Downside!AY43)</f>
        <v>-153155.0526975863</v>
      </c>
      <c r="AZ27" s="40">
        <f>CHOOSE(ScenarioNo,Calc_Base!AZ43,Calc_Upside!AZ43,Calc_Downside!AZ43)</f>
        <v>-139042.65554582662</v>
      </c>
      <c r="BA27" s="40">
        <f>CHOOSE(ScenarioNo,Calc_Base!BA43,Calc_Upside!BA43,Calc_Downside!BA43)</f>
        <v>-136593.26122229183</v>
      </c>
      <c r="BB27" s="40">
        <f>CHOOSE(ScenarioNo,Calc_Base!BB43,Calc_Upside!BB43,Calc_Downside!BB43)</f>
        <v>-126980.87689969235</v>
      </c>
      <c r="BC27" s="40">
        <f>CHOOSE(ScenarioNo,Calc_Base!BC43,Calc_Upside!BC43,Calc_Downside!BC43)</f>
        <v>-116964.56318445335</v>
      </c>
      <c r="BD27" s="40">
        <f>CHOOSE(ScenarioNo,Calc_Base!BD43,Calc_Upside!BD43,Calc_Downside!BD43)</f>
        <v>-106527.94229911422</v>
      </c>
      <c r="BE27" s="40">
        <f>CHOOSE(ScenarioNo,Calc_Base!BE43,Calc_Upside!BE43,Calc_Downside!BE43)</f>
        <v>-95653.965927197103</v>
      </c>
      <c r="BF27" s="40">
        <f>CHOOSE(ScenarioNo,Calc_Base!BF43,Calc_Upside!BF43,Calc_Downside!BF43)</f>
        <v>-84324.887462657891</v>
      </c>
      <c r="BG27" s="40">
        <f>CHOOSE(ScenarioNo,Calc_Base!BG43,Calc_Upside!BG43,Calc_Downside!BG43)</f>
        <v>-72522.233098961166</v>
      </c>
      <c r="BH27" s="40">
        <f>CHOOSE(ScenarioNo,Calc_Base!BH43,Calc_Upside!BH43,Calc_Downside!BH43)</f>
        <v>-60226.771708788416</v>
      </c>
      <c r="BI27" s="40">
        <f>CHOOSE(ScenarioNo,Calc_Base!BI43,Calc_Upside!BI43,Calc_Downside!BI43)</f>
        <v>-47418.483463299002</v>
      </c>
      <c r="BJ27" s="40">
        <f>CHOOSE(ScenarioNo,Calc_Base!BJ43,Calc_Upside!BJ43,Calc_Downside!BJ43)</f>
        <v>-34076.527137688812</v>
      </c>
      <c r="BK27" s="40">
        <f>CHOOSE(ScenarioNo,Calc_Base!BK43,Calc_Upside!BK43,Calc_Downside!BK43)</f>
        <v>-20179.206047520132</v>
      </c>
      <c r="BL27" s="40">
        <f>CHOOSE(ScenarioNo,Calc_Base!BL43,Calc_Upside!BL43,Calc_Downside!BL43)</f>
        <v>-5703.932557928315</v>
      </c>
    </row>
    <row r="28" spans="2:64" x14ac:dyDescent="0.35">
      <c r="B28" s="3" t="s">
        <v>298</v>
      </c>
      <c r="C28" s="18" t="s">
        <v>111</v>
      </c>
      <c r="D28" s="40">
        <f>CHOOSE(ScenarioNo,Calc_Base!D44,Calc_Upside!D44,Calc_Downside!D44)</f>
        <v>-72500.000000000015</v>
      </c>
      <c r="E28" s="40">
        <f>CHOOSE(ScenarioNo,Calc_Base!E44,Calc_Upside!E44,Calc_Downside!E44)</f>
        <v>-2708.3333333333335</v>
      </c>
      <c r="F28" s="40">
        <f>CHOOSE(ScenarioNo,Calc_Base!F44,Calc_Upside!F44,Calc_Downside!F44)</f>
        <v>-2708.3333333333335</v>
      </c>
      <c r="G28" s="40">
        <f>CHOOSE(ScenarioNo,Calc_Base!G44,Calc_Upside!G44,Calc_Downside!G44)</f>
        <v>-2708.3333333333335</v>
      </c>
      <c r="H28" s="40">
        <f>CHOOSE(ScenarioNo,Calc_Base!H44,Calc_Upside!H44,Calc_Downside!H44)</f>
        <v>-2708.3333333333335</v>
      </c>
      <c r="I28" s="40">
        <f>CHOOSE(ScenarioNo,Calc_Base!I44,Calc_Upside!I44,Calc_Downside!I44)</f>
        <v>-2708.3333333333335</v>
      </c>
      <c r="J28" s="40">
        <f>CHOOSE(ScenarioNo,Calc_Base!J44,Calc_Upside!J44,Calc_Downside!J44)</f>
        <v>-2708.3333333333335</v>
      </c>
      <c r="K28" s="40">
        <f>CHOOSE(ScenarioNo,Calc_Base!K44,Calc_Upside!K44,Calc_Downside!K44)</f>
        <v>-2708.3333333333335</v>
      </c>
      <c r="L28" s="40">
        <f>CHOOSE(ScenarioNo,Calc_Base!L44,Calc_Upside!L44,Calc_Downside!L44)</f>
        <v>-2708.3333333333335</v>
      </c>
      <c r="M28" s="40">
        <f>CHOOSE(ScenarioNo,Calc_Base!M44,Calc_Upside!M44,Calc_Downside!M44)</f>
        <v>-2708.3333333333335</v>
      </c>
      <c r="N28" s="40">
        <f>CHOOSE(ScenarioNo,Calc_Base!N44,Calc_Upside!N44,Calc_Downside!N44)</f>
        <v>-2708.3333333333335</v>
      </c>
      <c r="O28" s="40">
        <f>CHOOSE(ScenarioNo,Calc_Base!O44,Calc_Upside!O44,Calc_Downside!O44)</f>
        <v>-2708.3333333333335</v>
      </c>
      <c r="P28" s="40">
        <f>CHOOSE(ScenarioNo,Calc_Base!P44,Calc_Upside!P44,Calc_Downside!P44)</f>
        <v>-2708.3333333333335</v>
      </c>
      <c r="Q28" s="40">
        <f>CHOOSE(ScenarioNo,Calc_Base!Q44,Calc_Upside!Q44,Calc_Downside!Q44)</f>
        <v>-625</v>
      </c>
      <c r="R28" s="40">
        <f>CHOOSE(ScenarioNo,Calc_Base!R44,Calc_Upside!R44,Calc_Downside!R44)</f>
        <v>-625</v>
      </c>
      <c r="S28" s="40">
        <f>CHOOSE(ScenarioNo,Calc_Base!S44,Calc_Upside!S44,Calc_Downside!S44)</f>
        <v>-625</v>
      </c>
      <c r="T28" s="40">
        <f>CHOOSE(ScenarioNo,Calc_Base!T44,Calc_Upside!T44,Calc_Downside!T44)</f>
        <v>-625</v>
      </c>
      <c r="U28" s="40">
        <f>CHOOSE(ScenarioNo,Calc_Base!U44,Calc_Upside!U44,Calc_Downside!U44)</f>
        <v>-625</v>
      </c>
      <c r="V28" s="40">
        <f>CHOOSE(ScenarioNo,Calc_Base!V44,Calc_Upside!V44,Calc_Downside!V44)</f>
        <v>-625</v>
      </c>
      <c r="W28" s="40">
        <f>CHOOSE(ScenarioNo,Calc_Base!W44,Calc_Upside!W44,Calc_Downside!W44)</f>
        <v>-625</v>
      </c>
      <c r="X28" s="40">
        <f>CHOOSE(ScenarioNo,Calc_Base!X44,Calc_Upside!X44,Calc_Downside!X44)</f>
        <v>-625</v>
      </c>
      <c r="Y28" s="40">
        <f>CHOOSE(ScenarioNo,Calc_Base!Y44,Calc_Upside!Y44,Calc_Downside!Y44)</f>
        <v>-625</v>
      </c>
      <c r="Z28" s="40">
        <f>CHOOSE(ScenarioNo,Calc_Base!Z44,Calc_Upside!Z44,Calc_Downside!Z44)</f>
        <v>-625</v>
      </c>
      <c r="AA28" s="40">
        <f>CHOOSE(ScenarioNo,Calc_Base!AA44,Calc_Upside!AA44,Calc_Downside!AA44)</f>
        <v>-625</v>
      </c>
      <c r="AB28" s="40">
        <f>CHOOSE(ScenarioNo,Calc_Base!AB44,Calc_Upside!AB44,Calc_Downside!AB44)</f>
        <v>-625</v>
      </c>
      <c r="AC28" s="40">
        <f>CHOOSE(ScenarioNo,Calc_Base!AC44,Calc_Upside!AC44,Calc_Downside!AC44)</f>
        <v>0</v>
      </c>
      <c r="AD28" s="40">
        <f>CHOOSE(ScenarioNo,Calc_Base!AD44,Calc_Upside!AD44,Calc_Downside!AD44)</f>
        <v>0</v>
      </c>
      <c r="AE28" s="40">
        <f>CHOOSE(ScenarioNo,Calc_Base!AE44,Calc_Upside!AE44,Calc_Downside!AE44)</f>
        <v>0</v>
      </c>
      <c r="AF28" s="40">
        <f>CHOOSE(ScenarioNo,Calc_Base!AF44,Calc_Upside!AF44,Calc_Downside!AF44)</f>
        <v>0</v>
      </c>
      <c r="AG28" s="40">
        <f>CHOOSE(ScenarioNo,Calc_Base!AG44,Calc_Upside!AG44,Calc_Downside!AG44)</f>
        <v>0</v>
      </c>
      <c r="AH28" s="40">
        <f>CHOOSE(ScenarioNo,Calc_Base!AH44,Calc_Upside!AH44,Calc_Downside!AH44)</f>
        <v>0</v>
      </c>
      <c r="AI28" s="40">
        <f>CHOOSE(ScenarioNo,Calc_Base!AI44,Calc_Upside!AI44,Calc_Downside!AI44)</f>
        <v>0</v>
      </c>
      <c r="AJ28" s="40">
        <f>CHOOSE(ScenarioNo,Calc_Base!AJ44,Calc_Upside!AJ44,Calc_Downside!AJ44)</f>
        <v>0</v>
      </c>
      <c r="AK28" s="40">
        <f>CHOOSE(ScenarioNo,Calc_Base!AK44,Calc_Upside!AK44,Calc_Downside!AK44)</f>
        <v>0</v>
      </c>
      <c r="AL28" s="40">
        <f>CHOOSE(ScenarioNo,Calc_Base!AL44,Calc_Upside!AL44,Calc_Downside!AL44)</f>
        <v>0</v>
      </c>
      <c r="AM28" s="40">
        <f>CHOOSE(ScenarioNo,Calc_Base!AM44,Calc_Upside!AM44,Calc_Downside!AM44)</f>
        <v>0</v>
      </c>
      <c r="AN28" s="40">
        <f>CHOOSE(ScenarioNo,Calc_Base!AN44,Calc_Upside!AN44,Calc_Downside!AN44)</f>
        <v>0</v>
      </c>
      <c r="AO28" s="40">
        <f>CHOOSE(ScenarioNo,Calc_Base!AO44,Calc_Upside!AO44,Calc_Downside!AO44)</f>
        <v>0</v>
      </c>
      <c r="AP28" s="40">
        <f>CHOOSE(ScenarioNo,Calc_Base!AP44,Calc_Upside!AP44,Calc_Downside!AP44)</f>
        <v>0</v>
      </c>
      <c r="AQ28" s="40">
        <f>CHOOSE(ScenarioNo,Calc_Base!AQ44,Calc_Upside!AQ44,Calc_Downside!AQ44)</f>
        <v>0</v>
      </c>
      <c r="AR28" s="40">
        <f>CHOOSE(ScenarioNo,Calc_Base!AR44,Calc_Upside!AR44,Calc_Downside!AR44)</f>
        <v>0</v>
      </c>
      <c r="AS28" s="40">
        <f>CHOOSE(ScenarioNo,Calc_Base!AS44,Calc_Upside!AS44,Calc_Downside!AS44)</f>
        <v>0</v>
      </c>
      <c r="AT28" s="40">
        <f>CHOOSE(ScenarioNo,Calc_Base!AT44,Calc_Upside!AT44,Calc_Downside!AT44)</f>
        <v>0</v>
      </c>
      <c r="AU28" s="40">
        <f>CHOOSE(ScenarioNo,Calc_Base!AU44,Calc_Upside!AU44,Calc_Downside!AU44)</f>
        <v>0</v>
      </c>
      <c r="AV28" s="40">
        <f>CHOOSE(ScenarioNo,Calc_Base!AV44,Calc_Upside!AV44,Calc_Downside!AV44)</f>
        <v>0</v>
      </c>
      <c r="AW28" s="40">
        <f>CHOOSE(ScenarioNo,Calc_Base!AW44,Calc_Upside!AW44,Calc_Downside!AW44)</f>
        <v>0</v>
      </c>
      <c r="AX28" s="40">
        <f>CHOOSE(ScenarioNo,Calc_Base!AX44,Calc_Upside!AX44,Calc_Downside!AX44)</f>
        <v>0</v>
      </c>
      <c r="AY28" s="40">
        <f>CHOOSE(ScenarioNo,Calc_Base!AY44,Calc_Upside!AY44,Calc_Downside!AY44)</f>
        <v>0</v>
      </c>
      <c r="AZ28" s="40">
        <f>CHOOSE(ScenarioNo,Calc_Base!AZ44,Calc_Upside!AZ44,Calc_Downside!AZ44)</f>
        <v>0</v>
      </c>
      <c r="BA28" s="40">
        <f>CHOOSE(ScenarioNo,Calc_Base!BA44,Calc_Upside!BA44,Calc_Downside!BA44)</f>
        <v>-2708.3333333333335</v>
      </c>
      <c r="BB28" s="40">
        <f>CHOOSE(ScenarioNo,Calc_Base!BB44,Calc_Upside!BB44,Calc_Downside!BB44)</f>
        <v>-2708.3333333333335</v>
      </c>
      <c r="BC28" s="40">
        <f>CHOOSE(ScenarioNo,Calc_Base!BC44,Calc_Upside!BC44,Calc_Downside!BC44)</f>
        <v>-2708.3333333333335</v>
      </c>
      <c r="BD28" s="40">
        <f>CHOOSE(ScenarioNo,Calc_Base!BD44,Calc_Upside!BD44,Calc_Downside!BD44)</f>
        <v>-2708.3333333333335</v>
      </c>
      <c r="BE28" s="40">
        <f>CHOOSE(ScenarioNo,Calc_Base!BE44,Calc_Upside!BE44,Calc_Downside!BE44)</f>
        <v>-2708.3333333333335</v>
      </c>
      <c r="BF28" s="40">
        <f>CHOOSE(ScenarioNo,Calc_Base!BF44,Calc_Upside!BF44,Calc_Downside!BF44)</f>
        <v>-2708.3333333333335</v>
      </c>
      <c r="BG28" s="40">
        <f>CHOOSE(ScenarioNo,Calc_Base!BG44,Calc_Upside!BG44,Calc_Downside!BG44)</f>
        <v>-2708.3333333333335</v>
      </c>
      <c r="BH28" s="40">
        <f>CHOOSE(ScenarioNo,Calc_Base!BH44,Calc_Upside!BH44,Calc_Downside!BH44)</f>
        <v>-2708.3333333333335</v>
      </c>
      <c r="BI28" s="40">
        <f>CHOOSE(ScenarioNo,Calc_Base!BI44,Calc_Upside!BI44,Calc_Downside!BI44)</f>
        <v>-2708.3333333333335</v>
      </c>
      <c r="BJ28" s="40">
        <f>CHOOSE(ScenarioNo,Calc_Base!BJ44,Calc_Upside!BJ44,Calc_Downside!BJ44)</f>
        <v>-2708.3333333333335</v>
      </c>
      <c r="BK28" s="40">
        <f>CHOOSE(ScenarioNo,Calc_Base!BK44,Calc_Upside!BK44,Calc_Downside!BK44)</f>
        <v>-2708.3333333333335</v>
      </c>
      <c r="BL28" s="40">
        <f>CHOOSE(ScenarioNo,Calc_Base!BL44,Calc_Upside!BL44,Calc_Downside!BL44)</f>
        <v>-2708.3333333333335</v>
      </c>
    </row>
    <row r="29" spans="2:64" x14ac:dyDescent="0.35">
      <c r="B29" s="3" t="s">
        <v>299</v>
      </c>
      <c r="C29" s="18" t="s">
        <v>111</v>
      </c>
      <c r="D29" s="40">
        <f>CHOOSE(ScenarioNo,Calc_Base!D45,Calc_Upside!D45,Calc_Downside!D45)</f>
        <v>17000000</v>
      </c>
      <c r="E29" s="40">
        <f>CHOOSE(ScenarioNo,Calc_Base!E45,Calc_Upside!E45,Calc_Downside!E45)</f>
        <v>1000000</v>
      </c>
      <c r="F29" s="40">
        <f>CHOOSE(ScenarioNo,Calc_Base!F45,Calc_Upside!F45,Calc_Downside!F45)</f>
        <v>0</v>
      </c>
      <c r="G29" s="40">
        <f>CHOOSE(ScenarioNo,Calc_Base!G45,Calc_Upside!G45,Calc_Downside!G45)</f>
        <v>0</v>
      </c>
      <c r="H29" s="40">
        <f>CHOOSE(ScenarioNo,Calc_Base!H45,Calc_Upside!H45,Calc_Downside!H45)</f>
        <v>0</v>
      </c>
      <c r="I29" s="40">
        <f>CHOOSE(ScenarioNo,Calc_Base!I45,Calc_Upside!I45,Calc_Downside!I45)</f>
        <v>0</v>
      </c>
      <c r="J29" s="40">
        <f>CHOOSE(ScenarioNo,Calc_Base!J45,Calc_Upside!J45,Calc_Downside!J45)</f>
        <v>0</v>
      </c>
      <c r="K29" s="40">
        <f>CHOOSE(ScenarioNo,Calc_Base!K45,Calc_Upside!K45,Calc_Downside!K45)</f>
        <v>0</v>
      </c>
      <c r="L29" s="40">
        <f>CHOOSE(ScenarioNo,Calc_Base!L45,Calc_Upside!L45,Calc_Downside!L45)</f>
        <v>4000000</v>
      </c>
      <c r="M29" s="40">
        <f>CHOOSE(ScenarioNo,Calc_Base!M45,Calc_Upside!M45,Calc_Downside!M45)</f>
        <v>0</v>
      </c>
      <c r="N29" s="40">
        <f>CHOOSE(ScenarioNo,Calc_Base!N45,Calc_Upside!N45,Calc_Downside!N45)</f>
        <v>0</v>
      </c>
      <c r="O29" s="40">
        <f>CHOOSE(ScenarioNo,Calc_Base!O45,Calc_Upside!O45,Calc_Downside!O45)</f>
        <v>0</v>
      </c>
      <c r="P29" s="40">
        <f>CHOOSE(ScenarioNo,Calc_Base!P45,Calc_Upside!P45,Calc_Downside!P45)</f>
        <v>0</v>
      </c>
      <c r="Q29" s="40">
        <f>CHOOSE(ScenarioNo,Calc_Base!Q45,Calc_Upside!Q45,Calc_Downside!Q45)</f>
        <v>0</v>
      </c>
      <c r="R29" s="40">
        <f>CHOOSE(ScenarioNo,Calc_Base!R45,Calc_Upside!R45,Calc_Downside!R45)</f>
        <v>0</v>
      </c>
      <c r="S29" s="40">
        <f>CHOOSE(ScenarioNo,Calc_Base!S45,Calc_Upside!S45,Calc_Downside!S45)</f>
        <v>0</v>
      </c>
      <c r="T29" s="40">
        <f>CHOOSE(ScenarioNo,Calc_Base!T45,Calc_Upside!T45,Calc_Downside!T45)</f>
        <v>0</v>
      </c>
      <c r="U29" s="40">
        <f>CHOOSE(ScenarioNo,Calc_Base!U45,Calc_Upside!U45,Calc_Downside!U45)</f>
        <v>0</v>
      </c>
      <c r="V29" s="40">
        <f>CHOOSE(ScenarioNo,Calc_Base!V45,Calc_Upside!V45,Calc_Downside!V45)</f>
        <v>0</v>
      </c>
      <c r="W29" s="40">
        <f>CHOOSE(ScenarioNo,Calc_Base!W45,Calc_Upside!W45,Calc_Downside!W45)</f>
        <v>12000000</v>
      </c>
      <c r="X29" s="40">
        <f>CHOOSE(ScenarioNo,Calc_Base!X45,Calc_Upside!X45,Calc_Downside!X45)</f>
        <v>0</v>
      </c>
      <c r="Y29" s="40">
        <f>CHOOSE(ScenarioNo,Calc_Base!Y45,Calc_Upside!Y45,Calc_Downside!Y45)</f>
        <v>0</v>
      </c>
      <c r="Z29" s="40">
        <f>CHOOSE(ScenarioNo,Calc_Base!Z45,Calc_Upside!Z45,Calc_Downside!Z45)</f>
        <v>0</v>
      </c>
      <c r="AA29" s="40">
        <f>CHOOSE(ScenarioNo,Calc_Base!AA45,Calc_Upside!AA45,Calc_Downside!AA45)</f>
        <v>0</v>
      </c>
      <c r="AB29" s="40">
        <f>CHOOSE(ScenarioNo,Calc_Base!AB45,Calc_Upside!AB45,Calc_Downside!AB45)</f>
        <v>0</v>
      </c>
      <c r="AC29" s="40">
        <f>CHOOSE(ScenarioNo,Calc_Base!AC45,Calc_Upside!AC45,Calc_Downside!AC45)</f>
        <v>0</v>
      </c>
      <c r="AD29" s="40">
        <f>CHOOSE(ScenarioNo,Calc_Base!AD45,Calc_Upside!AD45,Calc_Downside!AD45)</f>
        <v>0</v>
      </c>
      <c r="AE29" s="40">
        <f>CHOOSE(ScenarioNo,Calc_Base!AE45,Calc_Upside!AE45,Calc_Downside!AE45)</f>
        <v>0</v>
      </c>
      <c r="AF29" s="40">
        <f>CHOOSE(ScenarioNo,Calc_Base!AF45,Calc_Upside!AF45,Calc_Downside!AF45)</f>
        <v>0</v>
      </c>
      <c r="AG29" s="40">
        <f>CHOOSE(ScenarioNo,Calc_Base!AG45,Calc_Upside!AG45,Calc_Downside!AG45)</f>
        <v>0</v>
      </c>
      <c r="AH29" s="40">
        <f>CHOOSE(ScenarioNo,Calc_Base!AH45,Calc_Upside!AH45,Calc_Downside!AH45)</f>
        <v>0</v>
      </c>
      <c r="AI29" s="40">
        <f>CHOOSE(ScenarioNo,Calc_Base!AI45,Calc_Upside!AI45,Calc_Downside!AI45)</f>
        <v>0</v>
      </c>
      <c r="AJ29" s="40">
        <f>CHOOSE(ScenarioNo,Calc_Base!AJ45,Calc_Upside!AJ45,Calc_Downside!AJ45)</f>
        <v>0</v>
      </c>
      <c r="AK29" s="40">
        <f>CHOOSE(ScenarioNo,Calc_Base!AK45,Calc_Upside!AK45,Calc_Downside!AK45)</f>
        <v>0</v>
      </c>
      <c r="AL29" s="40">
        <f>CHOOSE(ScenarioNo,Calc_Base!AL45,Calc_Upside!AL45,Calc_Downside!AL45)</f>
        <v>0</v>
      </c>
      <c r="AM29" s="40">
        <f>CHOOSE(ScenarioNo,Calc_Base!AM45,Calc_Upside!AM45,Calc_Downside!AM45)</f>
        <v>0</v>
      </c>
      <c r="AN29" s="40">
        <f>CHOOSE(ScenarioNo,Calc_Base!AN45,Calc_Upside!AN45,Calc_Downside!AN45)</f>
        <v>0</v>
      </c>
      <c r="AO29" s="40">
        <f>CHOOSE(ScenarioNo,Calc_Base!AO45,Calc_Upside!AO45,Calc_Downside!AO45)</f>
        <v>0</v>
      </c>
      <c r="AP29" s="40">
        <f>CHOOSE(ScenarioNo,Calc_Base!AP45,Calc_Upside!AP45,Calc_Downside!AP45)</f>
        <v>0</v>
      </c>
      <c r="AQ29" s="40">
        <f>CHOOSE(ScenarioNo,Calc_Base!AQ45,Calc_Upside!AQ45,Calc_Downside!AQ45)</f>
        <v>0</v>
      </c>
      <c r="AR29" s="40">
        <f>CHOOSE(ScenarioNo,Calc_Base!AR45,Calc_Upside!AR45,Calc_Downside!AR45)</f>
        <v>0</v>
      </c>
      <c r="AS29" s="40">
        <f>CHOOSE(ScenarioNo,Calc_Base!AS45,Calc_Upside!AS45,Calc_Downside!AS45)</f>
        <v>0</v>
      </c>
      <c r="AT29" s="40">
        <f>CHOOSE(ScenarioNo,Calc_Base!AT45,Calc_Upside!AT45,Calc_Downside!AT45)</f>
        <v>0</v>
      </c>
      <c r="AU29" s="40">
        <f>CHOOSE(ScenarioNo,Calc_Base!AU45,Calc_Upside!AU45,Calc_Downside!AU45)</f>
        <v>0</v>
      </c>
      <c r="AV29" s="40">
        <f>CHOOSE(ScenarioNo,Calc_Base!AV45,Calc_Upside!AV45,Calc_Downside!AV45)</f>
        <v>0</v>
      </c>
      <c r="AW29" s="40">
        <f>CHOOSE(ScenarioNo,Calc_Base!AW45,Calc_Upside!AW45,Calc_Downside!AW45)</f>
        <v>0</v>
      </c>
      <c r="AX29" s="40">
        <f>CHOOSE(ScenarioNo,Calc_Base!AX45,Calc_Upside!AX45,Calc_Downside!AX45)</f>
        <v>0</v>
      </c>
      <c r="AY29" s="40">
        <f>CHOOSE(ScenarioNo,Calc_Base!AY45,Calc_Upside!AY45,Calc_Downside!AY45)</f>
        <v>0</v>
      </c>
      <c r="AZ29" s="40">
        <f>CHOOSE(ScenarioNo,Calc_Base!AZ45,Calc_Upside!AZ45,Calc_Downside!AZ45)</f>
        <v>0</v>
      </c>
      <c r="BA29" s="40">
        <f>CHOOSE(ScenarioNo,Calc_Base!BA45,Calc_Upside!BA45,Calc_Downside!BA45)</f>
        <v>0</v>
      </c>
      <c r="BB29" s="40">
        <f>CHOOSE(ScenarioNo,Calc_Base!BB45,Calc_Upside!BB45,Calc_Downside!BB45)</f>
        <v>0</v>
      </c>
      <c r="BC29" s="40">
        <f>CHOOSE(ScenarioNo,Calc_Base!BC45,Calc_Upside!BC45,Calc_Downside!BC45)</f>
        <v>0</v>
      </c>
      <c r="BD29" s="40">
        <f>CHOOSE(ScenarioNo,Calc_Base!BD45,Calc_Upside!BD45,Calc_Downside!BD45)</f>
        <v>0</v>
      </c>
      <c r="BE29" s="40">
        <f>CHOOSE(ScenarioNo,Calc_Base!BE45,Calc_Upside!BE45,Calc_Downside!BE45)</f>
        <v>0</v>
      </c>
      <c r="BF29" s="40">
        <f>CHOOSE(ScenarioNo,Calc_Base!BF45,Calc_Upside!BF45,Calc_Downside!BF45)</f>
        <v>0</v>
      </c>
      <c r="BG29" s="40">
        <f>CHOOSE(ScenarioNo,Calc_Base!BG45,Calc_Upside!BG45,Calc_Downside!BG45)</f>
        <v>0</v>
      </c>
      <c r="BH29" s="40">
        <f>CHOOSE(ScenarioNo,Calc_Base!BH45,Calc_Upside!BH45,Calc_Downside!BH45)</f>
        <v>0</v>
      </c>
      <c r="BI29" s="40">
        <f>CHOOSE(ScenarioNo,Calc_Base!BI45,Calc_Upside!BI45,Calc_Downside!BI45)</f>
        <v>0</v>
      </c>
      <c r="BJ29" s="40">
        <f>CHOOSE(ScenarioNo,Calc_Base!BJ45,Calc_Upside!BJ45,Calc_Downside!BJ45)</f>
        <v>0</v>
      </c>
      <c r="BK29" s="40">
        <f>CHOOSE(ScenarioNo,Calc_Base!BK45,Calc_Upside!BK45,Calc_Downside!BK45)</f>
        <v>0</v>
      </c>
      <c r="BL29" s="40">
        <f>CHOOSE(ScenarioNo,Calc_Base!BL45,Calc_Upside!BL45,Calc_Downside!BL45)</f>
        <v>0</v>
      </c>
    </row>
    <row r="30" spans="2:64" x14ac:dyDescent="0.35">
      <c r="B30" s="4" t="s">
        <v>300</v>
      </c>
      <c r="C30" s="18" t="s">
        <v>111</v>
      </c>
      <c r="D30" s="41">
        <f>CHOOSE(ScenarioNo,Calc_Base!D46,Calc_Upside!D46,Calc_Downside!D46)</f>
        <v>5943422.0594740147</v>
      </c>
      <c r="E30" s="41">
        <f>CHOOSE(ScenarioNo,Calc_Base!E46,Calc_Upside!E46,Calc_Downside!E46)</f>
        <v>943982.45075814484</v>
      </c>
      <c r="F30" s="41">
        <f>CHOOSE(ScenarioNo,Calc_Base!F46,Calc_Upside!F46,Calc_Downside!F46)</f>
        <v>-62441.555819511377</v>
      </c>
      <c r="G30" s="41">
        <f>CHOOSE(ScenarioNo,Calc_Base!G46,Calc_Upside!G46,Calc_Downside!G46)</f>
        <v>-70133.105531244742</v>
      </c>
      <c r="H30" s="41">
        <f>CHOOSE(ScenarioNo,Calc_Base!H46,Calc_Upside!H46,Calc_Downside!H46)</f>
        <v>-107741.95423898166</v>
      </c>
      <c r="I30" s="41">
        <f>CHOOSE(ScenarioNo,Calc_Base!I46,Calc_Upside!I46,Calc_Downside!I46)</f>
        <v>-107567.47992735935</v>
      </c>
      <c r="J30" s="41">
        <f>CHOOSE(ScenarioNo,Calc_Base!J46,Calc_Upside!J46,Calc_Downside!J46)</f>
        <v>-98692.72839267856</v>
      </c>
      <c r="K30" s="41">
        <f>CHOOSE(ScenarioNo,Calc_Base!K46,Calc_Upside!K46,Calc_Downside!K46)</f>
        <v>-98816.094303169419</v>
      </c>
      <c r="L30" s="41">
        <f>CHOOSE(ScenarioNo,Calc_Base!L46,Calc_Upside!L46,Calc_Downside!L46)</f>
        <v>3825650.0144379586</v>
      </c>
      <c r="M30" s="41">
        <f>CHOOSE(ScenarioNo,Calc_Base!M46,Calc_Upside!M46,Calc_Downside!M46)</f>
        <v>-153281.32598380669</v>
      </c>
      <c r="N30" s="41">
        <f>CHOOSE(ScenarioNo,Calc_Base!N46,Calc_Upside!N46,Calc_Downside!N46)</f>
        <v>-205548.5351300574</v>
      </c>
      <c r="O30" s="41">
        <f>CHOOSE(ScenarioNo,Calc_Base!O46,Calc_Upside!O46,Calc_Downside!O46)</f>
        <v>-202794.5651383556</v>
      </c>
      <c r="P30" s="41">
        <f>CHOOSE(ScenarioNo,Calc_Base!P46,Calc_Upside!P46,Calc_Downside!P46)</f>
        <v>-209894.62156779633</v>
      </c>
      <c r="Q30" s="41">
        <f>CHOOSE(ScenarioNo,Calc_Base!Q46,Calc_Upside!Q46,Calc_Downside!Q46)</f>
        <v>-284275.52956411988</v>
      </c>
      <c r="R30" s="41">
        <f>CHOOSE(ScenarioNo,Calc_Base!R46,Calc_Upside!R46,Calc_Downside!R46)</f>
        <v>-249953.08062553249</v>
      </c>
      <c r="S30" s="41">
        <f>CHOOSE(ScenarioNo,Calc_Base!S46,Calc_Upside!S46,Calc_Downside!S46)</f>
        <v>-248719.5528510414</v>
      </c>
      <c r="T30" s="41">
        <f>CHOOSE(ScenarioNo,Calc_Base!T46,Calc_Upside!T46,Calc_Downside!T46)</f>
        <v>-247428.90113699346</v>
      </c>
      <c r="U30" s="41">
        <f>CHOOSE(ScenarioNo,Calc_Base!U46,Calc_Upside!U46,Calc_Downside!U46)</f>
        <v>-246096.3416080403</v>
      </c>
      <c r="V30" s="41">
        <f>CHOOSE(ScenarioNo,Calc_Base!V46,Calc_Upside!V46,Calc_Downside!V46)</f>
        <v>-244726.16819572257</v>
      </c>
      <c r="W30" s="41">
        <f>CHOOSE(ScenarioNo,Calc_Base!W46,Calc_Upside!W46,Calc_Downside!W46)</f>
        <v>11621605.70921097</v>
      </c>
      <c r="X30" s="41">
        <f>CHOOSE(ScenarioNo,Calc_Base!X46,Calc_Upside!X46,Calc_Downside!X46)</f>
        <v>-236183.5257172116</v>
      </c>
      <c r="Y30" s="41">
        <f>CHOOSE(ScenarioNo,Calc_Base!Y46,Calc_Upside!Y46,Calc_Downside!Y46)</f>
        <v>-234707.24659985723</v>
      </c>
      <c r="Z30" s="41">
        <f>CHOOSE(ScenarioNo,Calc_Base!Z46,Calc_Upside!Z46,Calc_Downside!Z46)</f>
        <v>-233327.46561401407</v>
      </c>
      <c r="AA30" s="41">
        <f>CHOOSE(ScenarioNo,Calc_Base!AA46,Calc_Upside!AA46,Calc_Downside!AA46)</f>
        <v>-231898.91224237959</v>
      </c>
      <c r="AB30" s="41">
        <f>CHOOSE(ScenarioNo,Calc_Base!AB46,Calc_Upside!AB46,Calc_Downside!AB46)</f>
        <v>-256657.62123473358</v>
      </c>
      <c r="AC30" s="41">
        <f>CHOOSE(ScenarioNo,Calc_Base!AC46,Calc_Upside!AC46,Calc_Downside!AC46)</f>
        <v>-289223.91596468916</v>
      </c>
      <c r="AD30" s="41">
        <f>CHOOSE(ScenarioNo,Calc_Base!AD46,Calc_Upside!AD46,Calc_Downside!AD46)</f>
        <v>-284409.5946751436</v>
      </c>
      <c r="AE30" s="41">
        <f>CHOOSE(ScenarioNo,Calc_Base!AE46,Calc_Upside!AE46,Calc_Downside!AE46)</f>
        <v>-279302.37307544594</v>
      </c>
      <c r="AF30" s="41">
        <f>CHOOSE(ScenarioNo,Calc_Base!AF46,Calc_Upside!AF46,Calc_Downside!AF46)</f>
        <v>-273873.8586120322</v>
      </c>
      <c r="AG30" s="41">
        <f>CHOOSE(ScenarioNo,Calc_Base!AG46,Calc_Upside!AG46,Calc_Downside!AG46)</f>
        <v>-268092.08352769347</v>
      </c>
      <c r="AH30" s="41">
        <f>CHOOSE(ScenarioNo,Calc_Base!AH46,Calc_Upside!AH46,Calc_Downside!AH46)</f>
        <v>-261922.61656362488</v>
      </c>
      <c r="AI30" s="41">
        <f>CHOOSE(ScenarioNo,Calc_Base!AI46,Calc_Upside!AI46,Calc_Downside!AI46)</f>
        <v>-255326.84092261808</v>
      </c>
      <c r="AJ30" s="41">
        <f>CHOOSE(ScenarioNo,Calc_Base!AJ46,Calc_Upside!AJ46,Calc_Downside!AJ46)</f>
        <v>-248263.00369092674</v>
      </c>
      <c r="AK30" s="41">
        <f>CHOOSE(ScenarioNo,Calc_Base!AK46,Calc_Upside!AK46,Calc_Downside!AK46)</f>
        <v>-240684.42510928944</v>
      </c>
      <c r="AL30" s="41">
        <f>CHOOSE(ScenarioNo,Calc_Base!AL46,Calc_Upside!AL46,Calc_Downside!AL46)</f>
        <v>-232540.47222512675</v>
      </c>
      <c r="AM30" s="41">
        <f>CHOOSE(ScenarioNo,Calc_Base!AM46,Calc_Upside!AM46,Calc_Downside!AM46)</f>
        <v>-223774.68458130045</v>
      </c>
      <c r="AN30" s="41">
        <f>CHOOSE(ScenarioNo,Calc_Base!AN46,Calc_Upside!AN46,Calc_Downside!AN46)</f>
        <v>-214326.00639586363</v>
      </c>
      <c r="AO30" s="41">
        <f>CHOOSE(ScenarioNo,Calc_Base!AO46,Calc_Upside!AO46,Calc_Downside!AO46)</f>
        <v>-248359.8803706459</v>
      </c>
      <c r="AP30" s="41">
        <f>CHOOSE(ScenarioNo,Calc_Base!AP46,Calc_Upside!AP46,Calc_Downside!AP46)</f>
        <v>-241685.44811089413</v>
      </c>
      <c r="AQ30" s="41">
        <f>CHOOSE(ScenarioNo,Calc_Base!AQ46,Calc_Upside!AQ46,Calc_Downside!AQ46)</f>
        <v>-234510.02933090166</v>
      </c>
      <c r="AR30" s="41">
        <f>CHOOSE(ScenarioNo,Calc_Base!AR46,Calc_Upside!AR46,Calc_Downside!AR46)</f>
        <v>-226791.9238515638</v>
      </c>
      <c r="AS30" s="41">
        <f>CHOOSE(ScenarioNo,Calc_Base!AS46,Calc_Upside!AS46,Calc_Downside!AS46)</f>
        <v>-218485.57970639149</v>
      </c>
      <c r="AT30" s="41">
        <f>CHOOSE(ScenarioNo,Calc_Base!AT46,Calc_Upside!AT46,Calc_Downside!AT46)</f>
        <v>-209541.21693417535</v>
      </c>
      <c r="AU30" s="41">
        <f>CHOOSE(ScenarioNo,Calc_Base!AU46,Calc_Upside!AU46,Calc_Downside!AU46)</f>
        <v>-199904.41360307115</v>
      </c>
      <c r="AV30" s="41">
        <f>CHOOSE(ScenarioNo,Calc_Base!AV46,Calc_Upside!AV46,Calc_Downside!AV46)</f>
        <v>-189515.65022392382</v>
      </c>
      <c r="AW30" s="41">
        <f>CHOOSE(ScenarioNo,Calc_Base!AW46,Calc_Upside!AW46,Calc_Downside!AW46)</f>
        <v>-178309.8083172866</v>
      </c>
      <c r="AX30" s="41">
        <f>CHOOSE(ScenarioNo,Calc_Base!AX46,Calc_Upside!AX46,Calc_Downside!AX46)</f>
        <v>-166215.61846483743</v>
      </c>
      <c r="AY30" s="41">
        <f>CHOOSE(ScenarioNo,Calc_Base!AY46,Calc_Upside!AY46,Calc_Downside!AY46)</f>
        <v>-153155.0526975863</v>
      </c>
      <c r="AZ30" s="41">
        <f>CHOOSE(ScenarioNo,Calc_Base!AZ46,Calc_Upside!AZ46,Calc_Downside!AZ46)</f>
        <v>-139042.65554582662</v>
      </c>
      <c r="BA30" s="41">
        <f>CHOOSE(ScenarioNo,Calc_Base!BA46,Calc_Upside!BA46,Calc_Downside!BA46)</f>
        <v>-139301.59455562517</v>
      </c>
      <c r="BB30" s="41">
        <f>CHOOSE(ScenarioNo,Calc_Base!BB46,Calc_Upside!BB46,Calc_Downside!BB46)</f>
        <v>-129689.21023302567</v>
      </c>
      <c r="BC30" s="41">
        <f>CHOOSE(ScenarioNo,Calc_Base!BC46,Calc_Upside!BC46,Calc_Downside!BC46)</f>
        <v>-119672.89651778668</v>
      </c>
      <c r="BD30" s="41">
        <f>CHOOSE(ScenarioNo,Calc_Base!BD46,Calc_Upside!BD46,Calc_Downside!BD46)</f>
        <v>-109236.27563244755</v>
      </c>
      <c r="BE30" s="41">
        <f>CHOOSE(ScenarioNo,Calc_Base!BE46,Calc_Upside!BE46,Calc_Downside!BE46)</f>
        <v>-98362.299260530432</v>
      </c>
      <c r="BF30" s="41">
        <f>CHOOSE(ScenarioNo,Calc_Base!BF46,Calc_Upside!BF46,Calc_Downside!BF46)</f>
        <v>-87033.220795991219</v>
      </c>
      <c r="BG30" s="41">
        <f>CHOOSE(ScenarioNo,Calc_Base!BG46,Calc_Upside!BG46,Calc_Downside!BG46)</f>
        <v>-75230.566432294494</v>
      </c>
      <c r="BH30" s="41">
        <f>CHOOSE(ScenarioNo,Calc_Base!BH46,Calc_Upside!BH46,Calc_Downside!BH46)</f>
        <v>-62935.105042121751</v>
      </c>
      <c r="BI30" s="41">
        <f>CHOOSE(ScenarioNo,Calc_Base!BI46,Calc_Upside!BI46,Calc_Downside!BI46)</f>
        <v>-50126.816796632338</v>
      </c>
      <c r="BJ30" s="41">
        <f>CHOOSE(ScenarioNo,Calc_Base!BJ46,Calc_Upside!BJ46,Calc_Downside!BJ46)</f>
        <v>-36784.860471022148</v>
      </c>
      <c r="BK30" s="41">
        <f>CHOOSE(ScenarioNo,Calc_Base!BK46,Calc_Upside!BK46,Calc_Downside!BK46)</f>
        <v>-22887.539380853465</v>
      </c>
      <c r="BL30" s="41">
        <f>CHOOSE(ScenarioNo,Calc_Base!BL46,Calc_Upside!BL46,Calc_Downside!BL46)</f>
        <v>-8412.265891261648</v>
      </c>
    </row>
    <row r="31" spans="2:64" x14ac:dyDescent="0.35">
      <c r="B31" s="3" t="s">
        <v>301</v>
      </c>
      <c r="C31" s="18" t="s">
        <v>111</v>
      </c>
      <c r="D31" s="40">
        <f>CHOOSE(ScenarioNo,Calc_Base!D47,Calc_Upside!D47,Calc_Downside!D47)</f>
        <v>25000</v>
      </c>
      <c r="E31" s="40">
        <f>CHOOSE(ScenarioNo,Calc_Base!E47,Calc_Upside!E47,Calc_Downside!E47)</f>
        <v>25000</v>
      </c>
      <c r="F31" s="40">
        <f>CHOOSE(ScenarioNo,Calc_Base!F47,Calc_Upside!F47,Calc_Downside!F47)</f>
        <v>968982.45075814484</v>
      </c>
      <c r="G31" s="40">
        <f>CHOOSE(ScenarioNo,Calc_Base!G47,Calc_Upside!G47,Calc_Downside!G47)</f>
        <v>906540.89493863343</v>
      </c>
      <c r="H31" s="40">
        <f>CHOOSE(ScenarioNo,Calc_Base!H47,Calc_Upside!H47,Calc_Downside!H47)</f>
        <v>836407.78940738866</v>
      </c>
      <c r="I31" s="40">
        <f>CHOOSE(ScenarioNo,Calc_Base!I47,Calc_Upside!I47,Calc_Downside!I47)</f>
        <v>728665.83516840695</v>
      </c>
      <c r="J31" s="40">
        <f>CHOOSE(ScenarioNo,Calc_Base!J47,Calc_Upside!J47,Calc_Downside!J47)</f>
        <v>621098.35524104757</v>
      </c>
      <c r="K31" s="40">
        <f>CHOOSE(ScenarioNo,Calc_Base!K47,Calc_Upside!K47,Calc_Downside!K47)</f>
        <v>522405.62684836902</v>
      </c>
      <c r="L31" s="40">
        <f>CHOOSE(ScenarioNo,Calc_Base!L47,Calc_Upside!L47,Calc_Downside!L47)</f>
        <v>423589.53254519962</v>
      </c>
      <c r="M31" s="40">
        <f>CHOOSE(ScenarioNo,Calc_Base!M47,Calc_Upside!M47,Calc_Downside!M47)</f>
        <v>4249239.5469831582</v>
      </c>
      <c r="N31" s="40">
        <f>CHOOSE(ScenarioNo,Calc_Base!N47,Calc_Upside!N47,Calc_Downside!N47)</f>
        <v>4095958.2209993517</v>
      </c>
      <c r="O31" s="40">
        <f>CHOOSE(ScenarioNo,Calc_Base!O47,Calc_Upside!O47,Calc_Downside!O47)</f>
        <v>3890409.6858692942</v>
      </c>
      <c r="P31" s="40">
        <f>CHOOSE(ScenarioNo,Calc_Base!P47,Calc_Upside!P47,Calc_Downside!P47)</f>
        <v>3687615.1207309384</v>
      </c>
      <c r="Q31" s="40">
        <f>CHOOSE(ScenarioNo,Calc_Base!Q47,Calc_Upside!Q47,Calc_Downside!Q47)</f>
        <v>3477720.4991631419</v>
      </c>
      <c r="R31" s="40">
        <f>CHOOSE(ScenarioNo,Calc_Base!R47,Calc_Upside!R47,Calc_Downside!R47)</f>
        <v>3193444.9695990221</v>
      </c>
      <c r="S31" s="40">
        <f>CHOOSE(ScenarioNo,Calc_Base!S47,Calc_Upside!S47,Calc_Downside!S47)</f>
        <v>2943491.8889734894</v>
      </c>
      <c r="T31" s="40">
        <f>CHOOSE(ScenarioNo,Calc_Base!T47,Calc_Upside!T47,Calc_Downside!T47)</f>
        <v>2694772.3361224481</v>
      </c>
      <c r="U31" s="40">
        <f>CHOOSE(ScenarioNo,Calc_Base!U47,Calc_Upside!U47,Calc_Downside!U47)</f>
        <v>2447343.4349854547</v>
      </c>
      <c r="V31" s="40">
        <f>CHOOSE(ScenarioNo,Calc_Base!V47,Calc_Upside!V47,Calc_Downside!V47)</f>
        <v>2201247.0933774142</v>
      </c>
      <c r="W31" s="40">
        <f>CHOOSE(ScenarioNo,Calc_Base!W47,Calc_Upside!W47,Calc_Downside!W47)</f>
        <v>1956520.9251816915</v>
      </c>
      <c r="X31" s="40">
        <f>CHOOSE(ScenarioNo,Calc_Base!X47,Calc_Upside!X47,Calc_Downside!X47)</f>
        <v>13578126.63439266</v>
      </c>
      <c r="Y31" s="40">
        <f>CHOOSE(ScenarioNo,Calc_Base!Y47,Calc_Upside!Y47,Calc_Downside!Y47)</f>
        <v>13341943.108675448</v>
      </c>
      <c r="Z31" s="40">
        <f>CHOOSE(ScenarioNo,Calc_Base!Z47,Calc_Upside!Z47,Calc_Downside!Z47)</f>
        <v>13107235.862075591</v>
      </c>
      <c r="AA31" s="40">
        <f>CHOOSE(ScenarioNo,Calc_Base!AA47,Calc_Upside!AA47,Calc_Downside!AA47)</f>
        <v>12873908.396461578</v>
      </c>
      <c r="AB31" s="40">
        <f>CHOOSE(ScenarioNo,Calc_Base!AB47,Calc_Upside!AB47,Calc_Downside!AB47)</f>
        <v>12642009.484219199</v>
      </c>
      <c r="AC31" s="40">
        <f>CHOOSE(ScenarioNo,Calc_Base!AC47,Calc_Upside!AC47,Calc_Downside!AC47)</f>
        <v>12385351.862984465</v>
      </c>
      <c r="AD31" s="40">
        <f>CHOOSE(ScenarioNo,Calc_Base!AD47,Calc_Upside!AD47,Calc_Downside!AD47)</f>
        <v>12096127.947019776</v>
      </c>
      <c r="AE31" s="40">
        <f>CHOOSE(ScenarioNo,Calc_Base!AE47,Calc_Upside!AE47,Calc_Downside!AE47)</f>
        <v>11811718.352344632</v>
      </c>
      <c r="AF31" s="40">
        <f>CHOOSE(ScenarioNo,Calc_Base!AF47,Calc_Upside!AF47,Calc_Downside!AF47)</f>
        <v>11532415.979269186</v>
      </c>
      <c r="AG31" s="40">
        <f>CHOOSE(ScenarioNo,Calc_Base!AG47,Calc_Upside!AG47,Calc_Downside!AG47)</f>
        <v>11258542.120657153</v>
      </c>
      <c r="AH31" s="40">
        <f>CHOOSE(ScenarioNo,Calc_Base!AH47,Calc_Upside!AH47,Calc_Downside!AH47)</f>
        <v>10990450.03712946</v>
      </c>
      <c r="AI31" s="40">
        <f>CHOOSE(ScenarioNo,Calc_Base!AI47,Calc_Upside!AI47,Calc_Downside!AI47)</f>
        <v>10728527.420565834</v>
      </c>
      <c r="AJ31" s="40">
        <f>CHOOSE(ScenarioNo,Calc_Base!AJ47,Calc_Upside!AJ47,Calc_Downside!AJ47)</f>
        <v>10473200.579643216</v>
      </c>
      <c r="AK31" s="40">
        <f>CHOOSE(ScenarioNo,Calc_Base!AK47,Calc_Upside!AK47,Calc_Downside!AK47)</f>
        <v>10224937.57595229</v>
      </c>
      <c r="AL31" s="40">
        <f>CHOOSE(ScenarioNo,Calc_Base!AL47,Calc_Upside!AL47,Calc_Downside!AL47)</f>
        <v>9984253.150843</v>
      </c>
      <c r="AM31" s="40">
        <f>CHOOSE(ScenarioNo,Calc_Base!AM47,Calc_Upside!AM47,Calc_Downside!AM47)</f>
        <v>9751712.6786178742</v>
      </c>
      <c r="AN31" s="40">
        <f>CHOOSE(ScenarioNo,Calc_Base!AN47,Calc_Upside!AN47,Calc_Downside!AN47)</f>
        <v>9527937.9940365739</v>
      </c>
      <c r="AO31" s="40">
        <f>CHOOSE(ScenarioNo,Calc_Base!AO47,Calc_Upside!AO47,Calc_Downside!AO47)</f>
        <v>9313611.9876407105</v>
      </c>
      <c r="AP31" s="40">
        <f>CHOOSE(ScenarioNo,Calc_Base!AP47,Calc_Upside!AP47,Calc_Downside!AP47)</f>
        <v>9065252.1072700638</v>
      </c>
      <c r="AQ31" s="40">
        <f>CHOOSE(ScenarioNo,Calc_Base!AQ47,Calc_Upside!AQ47,Calc_Downside!AQ47)</f>
        <v>8823566.6591591705</v>
      </c>
      <c r="AR31" s="40">
        <f>CHOOSE(ScenarioNo,Calc_Base!AR47,Calc_Upside!AR47,Calc_Downside!AR47)</f>
        <v>8589056.6298282687</v>
      </c>
      <c r="AS31" s="40">
        <f>CHOOSE(ScenarioNo,Calc_Base!AS47,Calc_Upside!AS47,Calc_Downside!AS47)</f>
        <v>8362264.7059767051</v>
      </c>
      <c r="AT31" s="40">
        <f>CHOOSE(ScenarioNo,Calc_Base!AT47,Calc_Upside!AT47,Calc_Downside!AT47)</f>
        <v>8143779.1262703137</v>
      </c>
      <c r="AU31" s="40">
        <f>CHOOSE(ScenarioNo,Calc_Base!AU47,Calc_Upside!AU47,Calc_Downside!AU47)</f>
        <v>7934237.9093361385</v>
      </c>
      <c r="AV31" s="40">
        <f>CHOOSE(ScenarioNo,Calc_Base!AV47,Calc_Upside!AV47,Calc_Downside!AV47)</f>
        <v>7734333.4957330674</v>
      </c>
      <c r="AW31" s="40">
        <f>CHOOSE(ScenarioNo,Calc_Base!AW47,Calc_Upside!AW47,Calc_Downside!AW47)</f>
        <v>7544817.8455091435</v>
      </c>
      <c r="AX31" s="40">
        <f>CHOOSE(ScenarioNo,Calc_Base!AX47,Calc_Upside!AX47,Calc_Downside!AX47)</f>
        <v>7366508.0371918567</v>
      </c>
      <c r="AY31" s="40">
        <f>CHOOSE(ScenarioNo,Calc_Base!AY47,Calc_Upside!AY47,Calc_Downside!AY47)</f>
        <v>7200292.4187270189</v>
      </c>
      <c r="AZ31" s="40">
        <f>CHOOSE(ScenarioNo,Calc_Base!AZ47,Calc_Upside!AZ47,Calc_Downside!AZ47)</f>
        <v>7047137.366029433</v>
      </c>
      <c r="BA31" s="40">
        <f>CHOOSE(ScenarioNo,Calc_Base!BA47,Calc_Upside!BA47,Calc_Downside!BA47)</f>
        <v>6908094.710483606</v>
      </c>
      <c r="BB31" s="40">
        <f>CHOOSE(ScenarioNo,Calc_Base!BB47,Calc_Upside!BB47,Calc_Downside!BB47)</f>
        <v>6768793.1159279812</v>
      </c>
      <c r="BC31" s="40">
        <f>CHOOSE(ScenarioNo,Calc_Base!BC47,Calc_Upside!BC47,Calc_Downside!BC47)</f>
        <v>6639103.905694956</v>
      </c>
      <c r="BD31" s="40">
        <f>CHOOSE(ScenarioNo,Calc_Base!BD47,Calc_Upside!BD47,Calc_Downside!BD47)</f>
        <v>6519431.0091771688</v>
      </c>
      <c r="BE31" s="40">
        <f>CHOOSE(ScenarioNo,Calc_Base!BE47,Calc_Upside!BE47,Calc_Downside!BE47)</f>
        <v>6410194.7335447213</v>
      </c>
      <c r="BF31" s="40">
        <f>CHOOSE(ScenarioNo,Calc_Base!BF47,Calc_Upside!BF47,Calc_Downside!BF47)</f>
        <v>6311832.4342841906</v>
      </c>
      <c r="BG31" s="40">
        <f>CHOOSE(ScenarioNo,Calc_Base!BG47,Calc_Upside!BG47,Calc_Downside!BG47)</f>
        <v>6224799.2134881997</v>
      </c>
      <c r="BH31" s="40">
        <f>CHOOSE(ScenarioNo,Calc_Base!BH47,Calc_Upside!BH47,Calc_Downside!BH47)</f>
        <v>6149568.6470559053</v>
      </c>
      <c r="BI31" s="40">
        <f>CHOOSE(ScenarioNo,Calc_Base!BI47,Calc_Upside!BI47,Calc_Downside!BI47)</f>
        <v>6086633.5420137839</v>
      </c>
      <c r="BJ31" s="40">
        <f>CHOOSE(ScenarioNo,Calc_Base!BJ47,Calc_Upside!BJ47,Calc_Downside!BJ47)</f>
        <v>6036506.7252171515</v>
      </c>
      <c r="BK31" s="40">
        <f>CHOOSE(ScenarioNo,Calc_Base!BK47,Calc_Upside!BK47,Calc_Downside!BK47)</f>
        <v>5999721.8647461291</v>
      </c>
      <c r="BL31" s="40">
        <f>CHOOSE(ScenarioNo,Calc_Base!BL47,Calc_Upside!BL47,Calc_Downside!BL47)</f>
        <v>5976834.3253652761</v>
      </c>
    </row>
    <row r="32" spans="2:64" x14ac:dyDescent="0.35">
      <c r="B32" s="4" t="s">
        <v>302</v>
      </c>
      <c r="C32" s="18" t="s">
        <v>111</v>
      </c>
      <c r="D32" s="41">
        <f>CHOOSE(ScenarioNo,Calc_Base!D48,Calc_Upside!D48,Calc_Downside!D48)</f>
        <v>5968422.0594740147</v>
      </c>
      <c r="E32" s="41">
        <f>CHOOSE(ScenarioNo,Calc_Base!E48,Calc_Upside!E48,Calc_Downside!E48)</f>
        <v>968982.45075814484</v>
      </c>
      <c r="F32" s="41">
        <f>CHOOSE(ScenarioNo,Calc_Base!F48,Calc_Upside!F48,Calc_Downside!F48)</f>
        <v>906540.89493863343</v>
      </c>
      <c r="G32" s="41">
        <f>CHOOSE(ScenarioNo,Calc_Base!G48,Calc_Upside!G48,Calc_Downside!G48)</f>
        <v>836407.78940738866</v>
      </c>
      <c r="H32" s="41">
        <f>CHOOSE(ScenarioNo,Calc_Base!H48,Calc_Upside!H48,Calc_Downside!H48)</f>
        <v>728665.83516840695</v>
      </c>
      <c r="I32" s="41">
        <f>CHOOSE(ScenarioNo,Calc_Base!I48,Calc_Upside!I48,Calc_Downside!I48)</f>
        <v>621098.35524104757</v>
      </c>
      <c r="J32" s="41">
        <f>CHOOSE(ScenarioNo,Calc_Base!J48,Calc_Upside!J48,Calc_Downside!J48)</f>
        <v>522405.62684836902</v>
      </c>
      <c r="K32" s="41">
        <f>CHOOSE(ScenarioNo,Calc_Base!K48,Calc_Upside!K48,Calc_Downside!K48)</f>
        <v>423589.53254519962</v>
      </c>
      <c r="L32" s="41">
        <f>CHOOSE(ScenarioNo,Calc_Base!L48,Calc_Upside!L48,Calc_Downside!L48)</f>
        <v>4249239.5469831582</v>
      </c>
      <c r="M32" s="41">
        <f>CHOOSE(ScenarioNo,Calc_Base!M48,Calc_Upside!M48,Calc_Downside!M48)</f>
        <v>4095958.2209993517</v>
      </c>
      <c r="N32" s="41">
        <f>CHOOSE(ScenarioNo,Calc_Base!N48,Calc_Upside!N48,Calc_Downside!N48)</f>
        <v>3890409.6858692942</v>
      </c>
      <c r="O32" s="41">
        <f>CHOOSE(ScenarioNo,Calc_Base!O48,Calc_Upside!O48,Calc_Downside!O48)</f>
        <v>3687615.1207309384</v>
      </c>
      <c r="P32" s="41">
        <f>CHOOSE(ScenarioNo,Calc_Base!P48,Calc_Upside!P48,Calc_Downside!P48)</f>
        <v>3477720.4991631419</v>
      </c>
      <c r="Q32" s="41">
        <f>CHOOSE(ScenarioNo,Calc_Base!Q48,Calc_Upside!Q48,Calc_Downside!Q48)</f>
        <v>3193444.9695990221</v>
      </c>
      <c r="R32" s="41">
        <f>CHOOSE(ScenarioNo,Calc_Base!R48,Calc_Upside!R48,Calc_Downside!R48)</f>
        <v>2943491.8889734894</v>
      </c>
      <c r="S32" s="41">
        <f>CHOOSE(ScenarioNo,Calc_Base!S48,Calc_Upside!S48,Calc_Downside!S48)</f>
        <v>2694772.3361224481</v>
      </c>
      <c r="T32" s="41">
        <f>CHOOSE(ScenarioNo,Calc_Base!T48,Calc_Upside!T48,Calc_Downside!T48)</f>
        <v>2447343.4349854547</v>
      </c>
      <c r="U32" s="41">
        <f>CHOOSE(ScenarioNo,Calc_Base!U48,Calc_Upside!U48,Calc_Downside!U48)</f>
        <v>2201247.0933774142</v>
      </c>
      <c r="V32" s="41">
        <f>CHOOSE(ScenarioNo,Calc_Base!V48,Calc_Upside!V48,Calc_Downside!V48)</f>
        <v>1956520.9251816915</v>
      </c>
      <c r="W32" s="41">
        <f>CHOOSE(ScenarioNo,Calc_Base!W48,Calc_Upside!W48,Calc_Downside!W48)</f>
        <v>13578126.63439266</v>
      </c>
      <c r="X32" s="41">
        <f>CHOOSE(ScenarioNo,Calc_Base!X48,Calc_Upside!X48,Calc_Downside!X48)</f>
        <v>13341943.108675448</v>
      </c>
      <c r="Y32" s="41">
        <f>CHOOSE(ScenarioNo,Calc_Base!Y48,Calc_Upside!Y48,Calc_Downside!Y48)</f>
        <v>13107235.862075591</v>
      </c>
      <c r="Z32" s="41">
        <f>CHOOSE(ScenarioNo,Calc_Base!Z48,Calc_Upside!Z48,Calc_Downside!Z48)</f>
        <v>12873908.396461578</v>
      </c>
      <c r="AA32" s="41">
        <f>CHOOSE(ScenarioNo,Calc_Base!AA48,Calc_Upside!AA48,Calc_Downside!AA48)</f>
        <v>12642009.484219199</v>
      </c>
      <c r="AB32" s="41">
        <f>CHOOSE(ScenarioNo,Calc_Base!AB48,Calc_Upside!AB48,Calc_Downside!AB48)</f>
        <v>12385351.862984465</v>
      </c>
      <c r="AC32" s="41">
        <f>CHOOSE(ScenarioNo,Calc_Base!AC48,Calc_Upside!AC48,Calc_Downside!AC48)</f>
        <v>12096127.947019776</v>
      </c>
      <c r="AD32" s="41">
        <f>CHOOSE(ScenarioNo,Calc_Base!AD48,Calc_Upside!AD48,Calc_Downside!AD48)</f>
        <v>11811718.352344632</v>
      </c>
      <c r="AE32" s="41">
        <f>CHOOSE(ScenarioNo,Calc_Base!AE48,Calc_Upside!AE48,Calc_Downside!AE48)</f>
        <v>11532415.979269186</v>
      </c>
      <c r="AF32" s="41">
        <f>CHOOSE(ScenarioNo,Calc_Base!AF48,Calc_Upside!AF48,Calc_Downside!AF48)</f>
        <v>11258542.120657153</v>
      </c>
      <c r="AG32" s="41">
        <f>CHOOSE(ScenarioNo,Calc_Base!AG48,Calc_Upside!AG48,Calc_Downside!AG48)</f>
        <v>10990450.03712946</v>
      </c>
      <c r="AH32" s="41">
        <f>CHOOSE(ScenarioNo,Calc_Base!AH48,Calc_Upside!AH48,Calc_Downside!AH48)</f>
        <v>10728527.420565834</v>
      </c>
      <c r="AI32" s="41">
        <f>CHOOSE(ScenarioNo,Calc_Base!AI48,Calc_Upside!AI48,Calc_Downside!AI48)</f>
        <v>10473200.579643216</v>
      </c>
      <c r="AJ32" s="41">
        <f>CHOOSE(ScenarioNo,Calc_Base!AJ48,Calc_Upside!AJ48,Calc_Downside!AJ48)</f>
        <v>10224937.57595229</v>
      </c>
      <c r="AK32" s="41">
        <f>CHOOSE(ScenarioNo,Calc_Base!AK48,Calc_Upside!AK48,Calc_Downside!AK48)</f>
        <v>9984253.150843</v>
      </c>
      <c r="AL32" s="41">
        <f>CHOOSE(ScenarioNo,Calc_Base!AL48,Calc_Upside!AL48,Calc_Downside!AL48)</f>
        <v>9751712.6786178742</v>
      </c>
      <c r="AM32" s="41">
        <f>CHOOSE(ScenarioNo,Calc_Base!AM48,Calc_Upside!AM48,Calc_Downside!AM48)</f>
        <v>9527937.9940365739</v>
      </c>
      <c r="AN32" s="41">
        <f>CHOOSE(ScenarioNo,Calc_Base!AN48,Calc_Upside!AN48,Calc_Downside!AN48)</f>
        <v>9313611.9876407105</v>
      </c>
      <c r="AO32" s="41">
        <f>CHOOSE(ScenarioNo,Calc_Base!AO48,Calc_Upside!AO48,Calc_Downside!AO48)</f>
        <v>9065252.1072700638</v>
      </c>
      <c r="AP32" s="41">
        <f>CHOOSE(ScenarioNo,Calc_Base!AP48,Calc_Upside!AP48,Calc_Downside!AP48)</f>
        <v>8823566.6591591705</v>
      </c>
      <c r="AQ32" s="41">
        <f>CHOOSE(ScenarioNo,Calc_Base!AQ48,Calc_Upside!AQ48,Calc_Downside!AQ48)</f>
        <v>8589056.6298282687</v>
      </c>
      <c r="AR32" s="41">
        <f>CHOOSE(ScenarioNo,Calc_Base!AR48,Calc_Upside!AR48,Calc_Downside!AR48)</f>
        <v>8362264.7059767051</v>
      </c>
      <c r="AS32" s="41">
        <f>CHOOSE(ScenarioNo,Calc_Base!AS48,Calc_Upside!AS48,Calc_Downside!AS48)</f>
        <v>8143779.1262703137</v>
      </c>
      <c r="AT32" s="41">
        <f>CHOOSE(ScenarioNo,Calc_Base!AT48,Calc_Upside!AT48,Calc_Downside!AT48)</f>
        <v>7934237.9093361385</v>
      </c>
      <c r="AU32" s="41">
        <f>CHOOSE(ScenarioNo,Calc_Base!AU48,Calc_Upside!AU48,Calc_Downside!AU48)</f>
        <v>7734333.4957330674</v>
      </c>
      <c r="AV32" s="41">
        <f>CHOOSE(ScenarioNo,Calc_Base!AV48,Calc_Upside!AV48,Calc_Downside!AV48)</f>
        <v>7544817.8455091435</v>
      </c>
      <c r="AW32" s="41">
        <f>CHOOSE(ScenarioNo,Calc_Base!AW48,Calc_Upside!AW48,Calc_Downside!AW48)</f>
        <v>7366508.0371918567</v>
      </c>
      <c r="AX32" s="41">
        <f>CHOOSE(ScenarioNo,Calc_Base!AX48,Calc_Upside!AX48,Calc_Downside!AX48)</f>
        <v>7200292.4187270189</v>
      </c>
      <c r="AY32" s="41">
        <f>CHOOSE(ScenarioNo,Calc_Base!AY48,Calc_Upside!AY48,Calc_Downside!AY48)</f>
        <v>7047137.366029433</v>
      </c>
      <c r="AZ32" s="41">
        <f>CHOOSE(ScenarioNo,Calc_Base!AZ48,Calc_Upside!AZ48,Calc_Downside!AZ48)</f>
        <v>6908094.710483606</v>
      </c>
      <c r="BA32" s="41">
        <f>CHOOSE(ScenarioNo,Calc_Base!BA48,Calc_Upside!BA48,Calc_Downside!BA48)</f>
        <v>6768793.1159279812</v>
      </c>
      <c r="BB32" s="41">
        <f>CHOOSE(ScenarioNo,Calc_Base!BB48,Calc_Upside!BB48,Calc_Downside!BB48)</f>
        <v>6639103.905694956</v>
      </c>
      <c r="BC32" s="41">
        <f>CHOOSE(ScenarioNo,Calc_Base!BC48,Calc_Upside!BC48,Calc_Downside!BC48)</f>
        <v>6519431.0091771688</v>
      </c>
      <c r="BD32" s="41">
        <f>CHOOSE(ScenarioNo,Calc_Base!BD48,Calc_Upside!BD48,Calc_Downside!BD48)</f>
        <v>6410194.7335447213</v>
      </c>
      <c r="BE32" s="41">
        <f>CHOOSE(ScenarioNo,Calc_Base!BE48,Calc_Upside!BE48,Calc_Downside!BE48)</f>
        <v>6311832.4342841906</v>
      </c>
      <c r="BF32" s="41">
        <f>CHOOSE(ScenarioNo,Calc_Base!BF48,Calc_Upside!BF48,Calc_Downside!BF48)</f>
        <v>6224799.2134881997</v>
      </c>
      <c r="BG32" s="41">
        <f>CHOOSE(ScenarioNo,Calc_Base!BG48,Calc_Upside!BG48,Calc_Downside!BG48)</f>
        <v>6149568.6470559053</v>
      </c>
      <c r="BH32" s="41">
        <f>CHOOSE(ScenarioNo,Calc_Base!BH48,Calc_Upside!BH48,Calc_Downside!BH48)</f>
        <v>6086633.5420137839</v>
      </c>
      <c r="BI32" s="41">
        <f>CHOOSE(ScenarioNo,Calc_Base!BI48,Calc_Upside!BI48,Calc_Downside!BI48)</f>
        <v>6036506.7252171515</v>
      </c>
      <c r="BJ32" s="41">
        <f>CHOOSE(ScenarioNo,Calc_Base!BJ48,Calc_Upside!BJ48,Calc_Downside!BJ48)</f>
        <v>5999721.8647461291</v>
      </c>
      <c r="BK32" s="41">
        <f>CHOOSE(ScenarioNo,Calc_Base!BK48,Calc_Upside!BK48,Calc_Downside!BK48)</f>
        <v>5976834.3253652761</v>
      </c>
      <c r="BL32" s="41">
        <f>CHOOSE(ScenarioNo,Calc_Base!BL48,Calc_Upside!BL48,Calc_Downside!BL48)</f>
        <v>5968422.0594740147</v>
      </c>
    </row>
    <row r="33" spans="2:64" x14ac:dyDescent="0.35">
      <c r="B33" s="16" t="s">
        <v>303</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row>
    <row r="34" spans="2:64" x14ac:dyDescent="0.35">
      <c r="B34" s="3" t="s">
        <v>160</v>
      </c>
      <c r="C34" s="18" t="s">
        <v>160</v>
      </c>
      <c r="D34" s="42">
        <f>CHOOSE(ScenarioNo,Calc_Base!D25,Calc_Upside!D25,Calc_Downside!D25)</f>
        <v>14.25</v>
      </c>
      <c r="E34" s="42">
        <f>CHOOSE(ScenarioNo,Calc_Base!E25,Calc_Upside!E25,Calc_Downside!E25)</f>
        <v>2.9999841153840001</v>
      </c>
      <c r="F34" s="42">
        <f>CHOOSE(ScenarioNo,Calc_Base!F25,Calc_Upside!F25,Calc_Downside!F25)</f>
        <v>4.0000481538480006</v>
      </c>
      <c r="G34" s="42">
        <f>CHOOSE(ScenarioNo,Calc_Base!G25,Calc_Upside!G25,Calc_Downside!G25)</f>
        <v>5.000008192308</v>
      </c>
      <c r="H34" s="42">
        <f>CHOOSE(ScenarioNo,Calc_Base!H25,Calc_Upside!H25,Calc_Downside!H25)</f>
        <v>7.0000322692320012</v>
      </c>
      <c r="I34" s="42">
        <f>CHOOSE(ScenarioNo,Calc_Base!I25,Calc_Upside!I25,Calc_Downside!I25)</f>
        <v>7.9999923076920005</v>
      </c>
      <c r="J34" s="42">
        <f>CHOOSE(ScenarioNo,Calc_Base!J25,Calc_Upside!J25,Calc_Downside!J25)</f>
        <v>7.9999923076920005</v>
      </c>
      <c r="K34" s="42">
        <f>CHOOSE(ScenarioNo,Calc_Base!K25,Calc_Upside!K25,Calc_Downside!K25)</f>
        <v>7.9999923076920005</v>
      </c>
      <c r="L34" s="42">
        <f>CHOOSE(ScenarioNo,Calc_Base!L25,Calc_Upside!L25,Calc_Downside!L25)</f>
        <v>10.000016384616</v>
      </c>
      <c r="M34" s="42">
        <f>CHOOSE(ScenarioNo,Calc_Base!M25,Calc_Upside!M25,Calc_Downside!M25)</f>
        <v>12.000040461540001</v>
      </c>
      <c r="N34" s="42">
        <f>CHOOSE(ScenarioNo,Calc_Base!N25,Calc_Upside!N25,Calc_Downside!N25)</f>
        <v>13.000000500000001</v>
      </c>
      <c r="O34" s="42">
        <f>CHOOSE(ScenarioNo,Calc_Base!O25,Calc_Upside!O25,Calc_Downside!O25)</f>
        <v>13.000000500000001</v>
      </c>
      <c r="P34" s="42">
        <f>CHOOSE(ScenarioNo,Calc_Base!P25,Calc_Upside!P25,Calc_Downside!P25)</f>
        <v>12.999896499996</v>
      </c>
      <c r="Q34" s="42">
        <f>CHOOSE(ScenarioNo,Calc_Base!Q25,Calc_Upside!Q25,Calc_Downside!Q25)</f>
        <v>13.999999680000002</v>
      </c>
      <c r="R34" s="42">
        <f>CHOOSE(ScenarioNo,Calc_Base!R25,Calc_Upside!R25,Calc_Downside!R25)</f>
        <v>13.999999680000002</v>
      </c>
      <c r="S34" s="42">
        <f>CHOOSE(ScenarioNo,Calc_Base!S25,Calc_Upside!S25,Calc_Downside!S25)</f>
        <v>13.999999680000002</v>
      </c>
      <c r="T34" s="42">
        <f>CHOOSE(ScenarioNo,Calc_Base!T25,Calc_Upside!T25,Calc_Downside!T25)</f>
        <v>13.999999680000002</v>
      </c>
      <c r="U34" s="42">
        <f>CHOOSE(ScenarioNo,Calc_Base!U25,Calc_Upside!U25,Calc_Downside!U25)</f>
        <v>13.999999680000002</v>
      </c>
      <c r="V34" s="42">
        <f>CHOOSE(ScenarioNo,Calc_Base!V25,Calc_Upside!V25,Calc_Downside!V25)</f>
        <v>13.999999680000002</v>
      </c>
      <c r="W34" s="42">
        <f>CHOOSE(ScenarioNo,Calc_Base!W25,Calc_Upside!W25,Calc_Downside!W25)</f>
        <v>14.999949657144001</v>
      </c>
      <c r="X34" s="42">
        <f>CHOOSE(ScenarioNo,Calc_Base!X25,Calc_Upside!X25,Calc_Downside!X25)</f>
        <v>14.999949657144001</v>
      </c>
      <c r="Y34" s="42">
        <f>CHOOSE(ScenarioNo,Calc_Base!Y25,Calc_Upside!Y25,Calc_Downside!Y25)</f>
        <v>14.999949657144001</v>
      </c>
      <c r="Z34" s="42">
        <f>CHOOSE(ScenarioNo,Calc_Base!Z25,Calc_Upside!Z25,Calc_Downside!Z25)</f>
        <v>14.999949657144001</v>
      </c>
      <c r="AA34" s="42">
        <f>CHOOSE(ScenarioNo,Calc_Base!AA25,Calc_Upside!AA25,Calc_Downside!AA25)</f>
        <v>14.999949657144001</v>
      </c>
      <c r="AB34" s="42">
        <f>CHOOSE(ScenarioNo,Calc_Base!AB25,Calc_Upside!AB25,Calc_Downside!AB25)</f>
        <v>16.000249634279999</v>
      </c>
      <c r="AC34" s="42">
        <f>CHOOSE(ScenarioNo,Calc_Base!AC25,Calc_Upside!AC25,Calc_Downside!AC25)</f>
        <v>16</v>
      </c>
      <c r="AD34" s="42">
        <f>CHOOSE(ScenarioNo,Calc_Base!AD25,Calc_Upside!AD25,Calc_Downside!AD25)</f>
        <v>16</v>
      </c>
      <c r="AE34" s="42">
        <f>CHOOSE(ScenarioNo,Calc_Base!AE25,Calc_Upside!AE25,Calc_Downside!AE25)</f>
        <v>16</v>
      </c>
      <c r="AF34" s="42">
        <f>CHOOSE(ScenarioNo,Calc_Base!AF25,Calc_Upside!AF25,Calc_Downside!AF25)</f>
        <v>16</v>
      </c>
      <c r="AG34" s="42">
        <f>CHOOSE(ScenarioNo,Calc_Base!AG25,Calc_Upside!AG25,Calc_Downside!AG25)</f>
        <v>16</v>
      </c>
      <c r="AH34" s="42">
        <f>CHOOSE(ScenarioNo,Calc_Base!AH25,Calc_Upside!AH25,Calc_Downside!AH25)</f>
        <v>16</v>
      </c>
      <c r="AI34" s="42">
        <f>CHOOSE(ScenarioNo,Calc_Base!AI25,Calc_Upside!AI25,Calc_Downside!AI25)</f>
        <v>16</v>
      </c>
      <c r="AJ34" s="42">
        <f>CHOOSE(ScenarioNo,Calc_Base!AJ25,Calc_Upside!AJ25,Calc_Downside!AJ25)</f>
        <v>16</v>
      </c>
      <c r="AK34" s="42">
        <f>CHOOSE(ScenarioNo,Calc_Base!AK25,Calc_Upside!AK25,Calc_Downside!AK25)</f>
        <v>16</v>
      </c>
      <c r="AL34" s="42">
        <f>CHOOSE(ScenarioNo,Calc_Base!AL25,Calc_Upside!AL25,Calc_Downside!AL25)</f>
        <v>16</v>
      </c>
      <c r="AM34" s="42">
        <f>CHOOSE(ScenarioNo,Calc_Base!AM25,Calc_Upside!AM25,Calc_Downside!AM25)</f>
        <v>16</v>
      </c>
      <c r="AN34" s="42">
        <f>CHOOSE(ScenarioNo,Calc_Base!AN25,Calc_Upside!AN25,Calc_Downside!AN25)</f>
        <v>16</v>
      </c>
      <c r="AO34" s="42">
        <f>CHOOSE(ScenarioNo,Calc_Base!AO25,Calc_Upside!AO25,Calc_Downside!AO25)</f>
        <v>16</v>
      </c>
      <c r="AP34" s="42">
        <f>CHOOSE(ScenarioNo,Calc_Base!AP25,Calc_Upside!AP25,Calc_Downside!AP25)</f>
        <v>16</v>
      </c>
      <c r="AQ34" s="42">
        <f>CHOOSE(ScenarioNo,Calc_Base!AQ25,Calc_Upside!AQ25,Calc_Downside!AQ25)</f>
        <v>16</v>
      </c>
      <c r="AR34" s="42">
        <f>CHOOSE(ScenarioNo,Calc_Base!AR25,Calc_Upside!AR25,Calc_Downside!AR25)</f>
        <v>16</v>
      </c>
      <c r="AS34" s="42">
        <f>CHOOSE(ScenarioNo,Calc_Base!AS25,Calc_Upside!AS25,Calc_Downside!AS25)</f>
        <v>16</v>
      </c>
      <c r="AT34" s="42">
        <f>CHOOSE(ScenarioNo,Calc_Base!AT25,Calc_Upside!AT25,Calc_Downside!AT25)</f>
        <v>16</v>
      </c>
      <c r="AU34" s="42">
        <f>CHOOSE(ScenarioNo,Calc_Base!AU25,Calc_Upside!AU25,Calc_Downside!AU25)</f>
        <v>16</v>
      </c>
      <c r="AV34" s="42">
        <f>CHOOSE(ScenarioNo,Calc_Base!AV25,Calc_Upside!AV25,Calc_Downside!AV25)</f>
        <v>16</v>
      </c>
      <c r="AW34" s="42">
        <f>CHOOSE(ScenarioNo,Calc_Base!AW25,Calc_Upside!AW25,Calc_Downside!AW25)</f>
        <v>16</v>
      </c>
      <c r="AX34" s="42">
        <f>CHOOSE(ScenarioNo,Calc_Base!AX25,Calc_Upside!AX25,Calc_Downside!AX25)</f>
        <v>16</v>
      </c>
      <c r="AY34" s="42">
        <f>CHOOSE(ScenarioNo,Calc_Base!AY25,Calc_Upside!AY25,Calc_Downside!AY25)</f>
        <v>16</v>
      </c>
      <c r="AZ34" s="42">
        <f>CHOOSE(ScenarioNo,Calc_Base!AZ25,Calc_Upside!AZ25,Calc_Downside!AZ25)</f>
        <v>16</v>
      </c>
      <c r="BA34" s="42">
        <f>CHOOSE(ScenarioNo,Calc_Base!BA25,Calc_Upside!BA25,Calc_Downside!BA25)</f>
        <v>16</v>
      </c>
      <c r="BB34" s="42">
        <f>CHOOSE(ScenarioNo,Calc_Base!BB25,Calc_Upside!BB25,Calc_Downside!BB25)</f>
        <v>16</v>
      </c>
      <c r="BC34" s="42">
        <f>CHOOSE(ScenarioNo,Calc_Base!BC25,Calc_Upside!BC25,Calc_Downside!BC25)</f>
        <v>16</v>
      </c>
      <c r="BD34" s="42">
        <f>CHOOSE(ScenarioNo,Calc_Base!BD25,Calc_Upside!BD25,Calc_Downside!BD25)</f>
        <v>16</v>
      </c>
      <c r="BE34" s="42">
        <f>CHOOSE(ScenarioNo,Calc_Base!BE25,Calc_Upside!BE25,Calc_Downside!BE25)</f>
        <v>16</v>
      </c>
      <c r="BF34" s="42">
        <f>CHOOSE(ScenarioNo,Calc_Base!BF25,Calc_Upside!BF25,Calc_Downside!BF25)</f>
        <v>16</v>
      </c>
      <c r="BG34" s="42">
        <f>CHOOSE(ScenarioNo,Calc_Base!BG25,Calc_Upside!BG25,Calc_Downside!BG25)</f>
        <v>16</v>
      </c>
      <c r="BH34" s="42">
        <f>CHOOSE(ScenarioNo,Calc_Base!BH25,Calc_Upside!BH25,Calc_Downside!BH25)</f>
        <v>16</v>
      </c>
      <c r="BI34" s="42">
        <f>CHOOSE(ScenarioNo,Calc_Base!BI25,Calc_Upside!BI25,Calc_Downside!BI25)</f>
        <v>16</v>
      </c>
      <c r="BJ34" s="42">
        <f>CHOOSE(ScenarioNo,Calc_Base!BJ25,Calc_Upside!BJ25,Calc_Downside!BJ25)</f>
        <v>16</v>
      </c>
      <c r="BK34" s="42">
        <f>CHOOSE(ScenarioNo,Calc_Base!BK25,Calc_Upside!BK25,Calc_Downside!BK25)</f>
        <v>16</v>
      </c>
      <c r="BL34" s="42">
        <f>CHOOSE(ScenarioNo,Calc_Base!BL25,Calc_Upside!BL25,Calc_Downside!BL25)</f>
        <v>16</v>
      </c>
    </row>
    <row r="35" spans="2:64" x14ac:dyDescent="0.35">
      <c r="B35" s="3" t="s">
        <v>304</v>
      </c>
      <c r="C35" s="18" t="s">
        <v>111</v>
      </c>
      <c r="D35" s="40">
        <f>CHOOSE(ScenarioNo,Calc_Base!D50,Calc_Upside!D50,Calc_Downside!D50)</f>
        <v>11056577.940525986</v>
      </c>
      <c r="E35" s="40">
        <f>CHOOSE(ScenarioNo,Calc_Base!E50,Calc_Upside!E50,Calc_Downside!E50)</f>
        <v>56017.54924185518</v>
      </c>
      <c r="F35" s="40">
        <f>CHOOSE(ScenarioNo,Calc_Base!F50,Calc_Upside!F50,Calc_Downside!F50)</f>
        <v>62441.555819511377</v>
      </c>
      <c r="G35" s="40">
        <f>CHOOSE(ScenarioNo,Calc_Base!G50,Calc_Upside!G50,Calc_Downside!G50)</f>
        <v>70133.105531244742</v>
      </c>
      <c r="H35" s="40">
        <f>CHOOSE(ScenarioNo,Calc_Base!H50,Calc_Upside!H50,Calc_Downside!H50)</f>
        <v>107741.95423898166</v>
      </c>
      <c r="I35" s="40">
        <f>CHOOSE(ScenarioNo,Calc_Base!I50,Calc_Upside!I50,Calc_Downside!I50)</f>
        <v>107567.47992735935</v>
      </c>
      <c r="J35" s="40">
        <f>CHOOSE(ScenarioNo,Calc_Base!J50,Calc_Upside!J50,Calc_Downside!J50)</f>
        <v>98692.72839267856</v>
      </c>
      <c r="K35" s="40">
        <f>CHOOSE(ScenarioNo,Calc_Base!K50,Calc_Upside!K50,Calc_Downside!K50)</f>
        <v>98816.094303169419</v>
      </c>
      <c r="L35" s="40">
        <f>CHOOSE(ScenarioNo,Calc_Base!L50,Calc_Upside!L50,Calc_Downside!L50)</f>
        <v>174349.98556204123</v>
      </c>
      <c r="M35" s="40">
        <f>CHOOSE(ScenarioNo,Calc_Base!M50,Calc_Upside!M50,Calc_Downside!M50)</f>
        <v>153281.32598380669</v>
      </c>
      <c r="N35" s="40">
        <f>CHOOSE(ScenarioNo,Calc_Base!N50,Calc_Upside!N50,Calc_Downside!N50)</f>
        <v>205548.5351300574</v>
      </c>
      <c r="O35" s="40">
        <f>CHOOSE(ScenarioNo,Calc_Base!O50,Calc_Upside!O50,Calc_Downside!O50)</f>
        <v>202794.5651383556</v>
      </c>
      <c r="P35" s="40">
        <f>CHOOSE(ScenarioNo,Calc_Base!P50,Calc_Upside!P50,Calc_Downside!P50)</f>
        <v>209894.62156779633</v>
      </c>
      <c r="Q35" s="40">
        <f>CHOOSE(ScenarioNo,Calc_Base!Q50,Calc_Upside!Q50,Calc_Downside!Q50)</f>
        <v>284275.52956411988</v>
      </c>
      <c r="R35" s="40">
        <f>CHOOSE(ScenarioNo,Calc_Base!R50,Calc_Upside!R50,Calc_Downside!R50)</f>
        <v>249953.08062553249</v>
      </c>
      <c r="S35" s="40">
        <f>CHOOSE(ScenarioNo,Calc_Base!S50,Calc_Upside!S50,Calc_Downside!S50)</f>
        <v>248719.5528510414</v>
      </c>
      <c r="T35" s="40">
        <f>CHOOSE(ScenarioNo,Calc_Base!T50,Calc_Upside!T50,Calc_Downside!T50)</f>
        <v>247428.90113699346</v>
      </c>
      <c r="U35" s="40">
        <f>CHOOSE(ScenarioNo,Calc_Base!U50,Calc_Upside!U50,Calc_Downside!U50)</f>
        <v>246096.3416080403</v>
      </c>
      <c r="V35" s="40">
        <f>CHOOSE(ScenarioNo,Calc_Base!V50,Calc_Upside!V50,Calc_Downside!V50)</f>
        <v>244726.16819572257</v>
      </c>
      <c r="W35" s="40">
        <f>CHOOSE(ScenarioNo,Calc_Base!W50,Calc_Upside!W50,Calc_Downside!W50)</f>
        <v>378394.29078902962</v>
      </c>
      <c r="X35" s="40">
        <f>CHOOSE(ScenarioNo,Calc_Base!X50,Calc_Upside!X50,Calc_Downside!X50)</f>
        <v>236183.5257172116</v>
      </c>
      <c r="Y35" s="40">
        <f>CHOOSE(ScenarioNo,Calc_Base!Y50,Calc_Upside!Y50,Calc_Downside!Y50)</f>
        <v>234707.24659985723</v>
      </c>
      <c r="Z35" s="40">
        <f>CHOOSE(ScenarioNo,Calc_Base!Z50,Calc_Upside!Z50,Calc_Downside!Z50)</f>
        <v>233327.46561401407</v>
      </c>
      <c r="AA35" s="40">
        <f>CHOOSE(ScenarioNo,Calc_Base!AA50,Calc_Upside!AA50,Calc_Downside!AA50)</f>
        <v>231898.91224237959</v>
      </c>
      <c r="AB35" s="40">
        <f>CHOOSE(ScenarioNo,Calc_Base!AB50,Calc_Upside!AB50,Calc_Downside!AB50)</f>
        <v>256657.62123473358</v>
      </c>
      <c r="AC35" s="40">
        <f>CHOOSE(ScenarioNo,Calc_Base!AC50,Calc_Upside!AC50,Calc_Downside!AC50)</f>
        <v>289223.91596468916</v>
      </c>
      <c r="AD35" s="40">
        <f>CHOOSE(ScenarioNo,Calc_Base!AD50,Calc_Upside!AD50,Calc_Downside!AD50)</f>
        <v>284409.5946751436</v>
      </c>
      <c r="AE35" s="40">
        <f>CHOOSE(ScenarioNo,Calc_Base!AE50,Calc_Upside!AE50,Calc_Downside!AE50)</f>
        <v>279302.37307544594</v>
      </c>
      <c r="AF35" s="40">
        <f>CHOOSE(ScenarioNo,Calc_Base!AF50,Calc_Upside!AF50,Calc_Downside!AF50)</f>
        <v>273873.8586120322</v>
      </c>
      <c r="AG35" s="40">
        <f>CHOOSE(ScenarioNo,Calc_Base!AG50,Calc_Upside!AG50,Calc_Downside!AG50)</f>
        <v>268092.08352769347</v>
      </c>
      <c r="AH35" s="40">
        <f>CHOOSE(ScenarioNo,Calc_Base!AH50,Calc_Upside!AH50,Calc_Downside!AH50)</f>
        <v>261922.61656362488</v>
      </c>
      <c r="AI35" s="40">
        <f>CHOOSE(ScenarioNo,Calc_Base!AI50,Calc_Upside!AI50,Calc_Downside!AI50)</f>
        <v>255326.84092261808</v>
      </c>
      <c r="AJ35" s="40">
        <f>CHOOSE(ScenarioNo,Calc_Base!AJ50,Calc_Upside!AJ50,Calc_Downside!AJ50)</f>
        <v>248263.00369092674</v>
      </c>
      <c r="AK35" s="40">
        <f>CHOOSE(ScenarioNo,Calc_Base!AK50,Calc_Upside!AK50,Calc_Downside!AK50)</f>
        <v>240684.42510928944</v>
      </c>
      <c r="AL35" s="40">
        <f>CHOOSE(ScenarioNo,Calc_Base!AL50,Calc_Upside!AL50,Calc_Downside!AL50)</f>
        <v>232540.47222512675</v>
      </c>
      <c r="AM35" s="40">
        <f>CHOOSE(ScenarioNo,Calc_Base!AM50,Calc_Upside!AM50,Calc_Downside!AM50)</f>
        <v>223774.68458130045</v>
      </c>
      <c r="AN35" s="40">
        <f>CHOOSE(ScenarioNo,Calc_Base!AN50,Calc_Upside!AN50,Calc_Downside!AN50)</f>
        <v>214326.00639586363</v>
      </c>
      <c r="AO35" s="40">
        <f>CHOOSE(ScenarioNo,Calc_Base!AO50,Calc_Upside!AO50,Calc_Downside!AO50)</f>
        <v>248359.8803706459</v>
      </c>
      <c r="AP35" s="40">
        <f>CHOOSE(ScenarioNo,Calc_Base!AP50,Calc_Upside!AP50,Calc_Downside!AP50)</f>
        <v>241685.44811089413</v>
      </c>
      <c r="AQ35" s="40">
        <f>CHOOSE(ScenarioNo,Calc_Base!AQ50,Calc_Upside!AQ50,Calc_Downside!AQ50)</f>
        <v>234510.02933090166</v>
      </c>
      <c r="AR35" s="40">
        <f>CHOOSE(ScenarioNo,Calc_Base!AR50,Calc_Upside!AR50,Calc_Downside!AR50)</f>
        <v>226791.9238515638</v>
      </c>
      <c r="AS35" s="40">
        <f>CHOOSE(ScenarioNo,Calc_Base!AS50,Calc_Upside!AS50,Calc_Downside!AS50)</f>
        <v>218485.57970639149</v>
      </c>
      <c r="AT35" s="40">
        <f>CHOOSE(ScenarioNo,Calc_Base!AT50,Calc_Upside!AT50,Calc_Downside!AT50)</f>
        <v>209541.21693417535</v>
      </c>
      <c r="AU35" s="40">
        <f>CHOOSE(ScenarioNo,Calc_Base!AU50,Calc_Upside!AU50,Calc_Downside!AU50)</f>
        <v>199904.41360307115</v>
      </c>
      <c r="AV35" s="40">
        <f>CHOOSE(ScenarioNo,Calc_Base!AV50,Calc_Upside!AV50,Calc_Downside!AV50)</f>
        <v>189515.65022392382</v>
      </c>
      <c r="AW35" s="40">
        <f>CHOOSE(ScenarioNo,Calc_Base!AW50,Calc_Upside!AW50,Calc_Downside!AW50)</f>
        <v>178309.8083172866</v>
      </c>
      <c r="AX35" s="40">
        <f>CHOOSE(ScenarioNo,Calc_Base!AX50,Calc_Upside!AX50,Calc_Downside!AX50)</f>
        <v>166215.61846483743</v>
      </c>
      <c r="AY35" s="40">
        <f>CHOOSE(ScenarioNo,Calc_Base!AY50,Calc_Upside!AY50,Calc_Downside!AY50)</f>
        <v>153155.0526975863</v>
      </c>
      <c r="AZ35" s="40">
        <f>CHOOSE(ScenarioNo,Calc_Base!AZ50,Calc_Upside!AZ50,Calc_Downside!AZ50)</f>
        <v>139042.65554582662</v>
      </c>
      <c r="BA35" s="40">
        <f>CHOOSE(ScenarioNo,Calc_Base!BA50,Calc_Upside!BA50,Calc_Downside!BA50)</f>
        <v>139301.59455562517</v>
      </c>
      <c r="BB35" s="40">
        <f>CHOOSE(ScenarioNo,Calc_Base!BB50,Calc_Upside!BB50,Calc_Downside!BB50)</f>
        <v>129689.21023302567</v>
      </c>
      <c r="BC35" s="40">
        <f>CHOOSE(ScenarioNo,Calc_Base!BC50,Calc_Upside!BC50,Calc_Downside!BC50)</f>
        <v>119672.89651778668</v>
      </c>
      <c r="BD35" s="40">
        <f>CHOOSE(ScenarioNo,Calc_Base!BD50,Calc_Upside!BD50,Calc_Downside!BD50)</f>
        <v>109236.27563244755</v>
      </c>
      <c r="BE35" s="40">
        <f>CHOOSE(ScenarioNo,Calc_Base!BE50,Calc_Upside!BE50,Calc_Downside!BE50)</f>
        <v>98362.299260530432</v>
      </c>
      <c r="BF35" s="40">
        <f>CHOOSE(ScenarioNo,Calc_Base!BF50,Calc_Upside!BF50,Calc_Downside!BF50)</f>
        <v>87033.220795991219</v>
      </c>
      <c r="BG35" s="40">
        <f>CHOOSE(ScenarioNo,Calc_Base!BG50,Calc_Upside!BG50,Calc_Downside!BG50)</f>
        <v>75230.566432294494</v>
      </c>
      <c r="BH35" s="40">
        <f>CHOOSE(ScenarioNo,Calc_Base!BH50,Calc_Upside!BH50,Calc_Downside!BH50)</f>
        <v>62935.105042121751</v>
      </c>
      <c r="BI35" s="40">
        <f>CHOOSE(ScenarioNo,Calc_Base!BI50,Calc_Upside!BI50,Calc_Downside!BI50)</f>
        <v>50126.816796632338</v>
      </c>
      <c r="BJ35" s="40">
        <f>CHOOSE(ScenarioNo,Calc_Base!BJ50,Calc_Upside!BJ50,Calc_Downside!BJ50)</f>
        <v>36784.860471022148</v>
      </c>
      <c r="BK35" s="40">
        <f>CHOOSE(ScenarioNo,Calc_Base!BK50,Calc_Upside!BK50,Calc_Downside!BK50)</f>
        <v>22887.539380853465</v>
      </c>
      <c r="BL35" s="40">
        <f>CHOOSE(ScenarioNo,Calc_Base!BL50,Calc_Upside!BL50,Calc_Downside!BL50)</f>
        <v>8412.265891261648</v>
      </c>
    </row>
    <row r="36" spans="2:64" x14ac:dyDescent="0.35">
      <c r="B36" s="3" t="s">
        <v>305</v>
      </c>
      <c r="C36" s="18" t="s">
        <v>306</v>
      </c>
      <c r="D36" s="43">
        <f>CHOOSE(ScenarioNo,Calc_Base!D52,Calc_Upside!D52,Calc_Downside!D52)</f>
        <v>262.98529900951809</v>
      </c>
      <c r="E36" s="43">
        <f>CHOOSE(ScenarioNo,Calc_Base!E52,Calc_Upside!E52,Calc_Downside!E52)</f>
        <v>17.297837264793095</v>
      </c>
      <c r="F36" s="43">
        <f>CHOOSE(ScenarioNo,Calc_Base!F52,Calc_Upside!F52,Calc_Downside!F52)</f>
        <v>15.305550290440046</v>
      </c>
      <c r="G36" s="43">
        <f>CHOOSE(ScenarioNo,Calc_Base!G52,Calc_Upside!G52,Calc_Downside!G52)</f>
        <v>13.305021243122715</v>
      </c>
      <c r="H36" s="43">
        <f>CHOOSE(ScenarioNo,Calc_Base!H52,Calc_Upside!H52,Calc_Downside!H52)</f>
        <v>9.0963227829285778</v>
      </c>
      <c r="I36" s="43">
        <f>CHOOSE(ScenarioNo,Calc_Base!I52,Calc_Upside!I52,Calc_Downside!I52)</f>
        <v>6.5277413370033237</v>
      </c>
      <c r="J36" s="43">
        <f>CHOOSE(ScenarioNo,Calc_Base!J52,Calc_Upside!J52,Calc_Downside!J52)</f>
        <v>4.9911021878727801</v>
      </c>
      <c r="K36" s="43">
        <f>CHOOSE(ScenarioNo,Calc_Base!K52,Calc_Upside!K52,Calc_Downside!K52)</f>
        <v>4.165412346710835</v>
      </c>
      <c r="L36" s="43">
        <f>CHOOSE(ScenarioNo,Calc_Base!L52,Calc_Upside!L52,Calc_Downside!L52)</f>
        <v>34.28107216465007</v>
      </c>
      <c r="M36" s="43">
        <f>CHOOSE(ScenarioNo,Calc_Base!M52,Calc_Upside!M52,Calc_Downside!M52)</f>
        <v>28.814513805129227</v>
      </c>
      <c r="N36" s="43">
        <f>CHOOSE(ScenarioNo,Calc_Base!N52,Calc_Upside!N52,Calc_Downside!N52)</f>
        <v>21.889854109024995</v>
      </c>
      <c r="O36" s="43">
        <f>CHOOSE(ScenarioNo,Calc_Base!O52,Calc_Upside!O52,Calc_Downside!O52)</f>
        <v>19.697941978799555</v>
      </c>
      <c r="P36" s="43">
        <f>CHOOSE(ScenarioNo,Calc_Base!P52,Calc_Upside!P52,Calc_Downside!P52)</f>
        <v>16.875646905695444</v>
      </c>
      <c r="Q36" s="43">
        <f>CHOOSE(ScenarioNo,Calc_Base!Q52,Calc_Upside!Q52,Calc_Downside!Q52)</f>
        <v>13.74579614311776</v>
      </c>
      <c r="R36" s="43">
        <f>CHOOSE(ScenarioNo,Calc_Base!R52,Calc_Upside!R52,Calc_Downside!R52)</f>
        <v>11.866953335222322</v>
      </c>
      <c r="S36" s="43">
        <f>CHOOSE(ScenarioNo,Calc_Base!S52,Calc_Upside!S52,Calc_Downside!S52)</f>
        <v>10.325481800698933</v>
      </c>
      <c r="T36" s="43">
        <f>CHOOSE(ScenarioNo,Calc_Base!T52,Calc_Upside!T52,Calc_Downside!T52)</f>
        <v>9.8405243312615145</v>
      </c>
      <c r="U36" s="43">
        <f>CHOOSE(ScenarioNo,Calc_Base!U52,Calc_Upside!U52,Calc_Downside!U52)</f>
        <v>8.8969856296923862</v>
      </c>
      <c r="V36" s="43">
        <f>CHOOSE(ScenarioNo,Calc_Base!V52,Calc_Upside!V52,Calc_Downside!V52)</f>
        <v>7.9506285915057999</v>
      </c>
      <c r="W36" s="43">
        <f>CHOOSE(ScenarioNo,Calc_Base!W52,Calc_Upside!W52,Calc_Downside!W52)</f>
        <v>46.863314049380726</v>
      </c>
      <c r="X36" s="43">
        <f>CHOOSE(ScenarioNo,Calc_Base!X52,Calc_Upside!X52,Calc_Downside!X52)</f>
        <v>46.579359619644585</v>
      </c>
      <c r="Y36" s="43">
        <f>CHOOSE(ScenarioNo,Calc_Base!Y52,Calc_Upside!Y52,Calc_Downside!Y52)</f>
        <v>46.299775298549477</v>
      </c>
      <c r="Z36" s="43">
        <f>CHOOSE(ScenarioNo,Calc_Base!Z52,Calc_Upside!Z52,Calc_Downside!Z52)</f>
        <v>54.843403804552388</v>
      </c>
      <c r="AA36" s="43">
        <f>CHOOSE(ScenarioNo,Calc_Base!AA52,Calc_Upside!AA52,Calc_Downside!AA52)</f>
        <v>54.185178604786614</v>
      </c>
      <c r="AB36" s="43">
        <f>CHOOSE(ScenarioNo,Calc_Base!AB52,Calc_Upside!AB52,Calc_Downside!AB52)</f>
        <v>51.470950506915152</v>
      </c>
      <c r="AC36" s="43">
        <f>CHOOSE(ScenarioNo,Calc_Base!AC52,Calc_Upside!AC52,Calc_Downside!AC52)</f>
        <v>46.656333245587213</v>
      </c>
      <c r="AD36" s="43">
        <f>CHOOSE(ScenarioNo,Calc_Base!AD52,Calc_Upside!AD52,Calc_Downside!AD52)</f>
        <v>42.677988113676683</v>
      </c>
      <c r="AE36" s="43">
        <f>CHOOSE(ScenarioNo,Calc_Base!AE52,Calc_Upside!AE52,Calc_Downside!AE52)</f>
        <v>40.562542388422457</v>
      </c>
      <c r="AF36" s="43">
        <f>CHOOSE(ScenarioNo,Calc_Base!AF52,Calc_Upside!AF52,Calc_Downside!AF52)</f>
        <v>40.324973631238052</v>
      </c>
      <c r="AG36" s="43">
        <f>CHOOSE(ScenarioNo,Calc_Base!AG52,Calc_Upside!AG52,Calc_Downside!AG52)</f>
        <v>40.146867352054016</v>
      </c>
      <c r="AH36" s="43">
        <f>CHOOSE(ScenarioNo,Calc_Base!AH52,Calc_Upside!AH52,Calc_Downside!AH52)</f>
        <v>40.037368256132332</v>
      </c>
      <c r="AI36" s="43">
        <f>CHOOSE(ScenarioNo,Calc_Base!AI52,Calc_Upside!AI52,Calc_Downside!AI52)</f>
        <v>40.007563713444377</v>
      </c>
      <c r="AJ36" s="43">
        <f>CHOOSE(ScenarioNo,Calc_Base!AJ52,Calc_Upside!AJ52,Calc_Downside!AJ52)</f>
        <v>40.070951530542764</v>
      </c>
      <c r="AK36" s="43">
        <f>CHOOSE(ScenarioNo,Calc_Base!AK52,Calc_Upside!AK52,Calc_Downside!AK52)</f>
        <v>40.244249560962693</v>
      </c>
      <c r="AL36" s="43">
        <f>CHOOSE(ScenarioNo,Calc_Base!AL52,Calc_Upside!AL52,Calc_Downside!AL52)</f>
        <v>40.548341828432143</v>
      </c>
      <c r="AM36" s="43">
        <f>CHOOSE(ScenarioNo,Calc_Base!AM52,Calc_Upside!AM52,Calc_Downside!AM52)</f>
        <v>41.009800757048616</v>
      </c>
      <c r="AN36" s="43">
        <f>CHOOSE(ScenarioNo,Calc_Base!AN52,Calc_Upside!AN52,Calc_Downside!AN52)</f>
        <v>41.662870542430625</v>
      </c>
      <c r="AO36" s="43">
        <f>CHOOSE(ScenarioNo,Calc_Base!AO52,Calc_Upside!AO52,Calc_Downside!AO52)</f>
        <v>39.617361079331211</v>
      </c>
      <c r="AP36" s="43">
        <f>CHOOSE(ScenarioNo,Calc_Base!AP52,Calc_Upside!AP52,Calc_Downside!AP52)</f>
        <v>37.5806036770147</v>
      </c>
      <c r="AQ36" s="43">
        <f>CHOOSE(ScenarioNo,Calc_Base!AQ52,Calc_Upside!AQ52,Calc_Downside!AQ52)</f>
        <v>35.562734595297677</v>
      </c>
      <c r="AR36" s="43">
        <f>CHOOSE(ScenarioNo,Calc_Base!AR52,Calc_Upside!AR52,Calc_Downside!AR52)</f>
        <v>35.685979680112773</v>
      </c>
      <c r="AS36" s="43">
        <f>CHOOSE(ScenarioNo,Calc_Base!AS52,Calc_Upside!AS52,Calc_Downside!AS52)</f>
        <v>35.939666729377024</v>
      </c>
      <c r="AT36" s="43">
        <f>CHOOSE(ScenarioNo,Calc_Base!AT52,Calc_Upside!AT52,Calc_Downside!AT52)</f>
        <v>36.350081302073079</v>
      </c>
      <c r="AU36" s="43">
        <f>CHOOSE(ScenarioNo,Calc_Base!AU52,Calc_Upside!AU52,Calc_Downside!AU52)</f>
        <v>36.951500592232726</v>
      </c>
      <c r="AV36" s="43">
        <f>CHOOSE(ScenarioNo,Calc_Base!AV52,Calc_Upside!AV52,Calc_Downside!AV52)</f>
        <v>37.789510379975106</v>
      </c>
      <c r="AW36" s="43">
        <f>CHOOSE(ScenarioNo,Calc_Base!AW52,Calc_Upside!AW52,Calc_Downside!AW52)</f>
        <v>38.926125250565015</v>
      </c>
      <c r="AX36" s="43">
        <f>CHOOSE(ScenarioNo,Calc_Base!AX52,Calc_Upside!AX52,Calc_Downside!AX52)</f>
        <v>40.447969615521608</v>
      </c>
      <c r="AY36" s="43">
        <f>CHOOSE(ScenarioNo,Calc_Base!AY52,Calc_Upside!AY52,Calc_Downside!AY52)</f>
        <v>42.479890149981664</v>
      </c>
      <c r="AZ36" s="43">
        <f>CHOOSE(ScenarioNo,Calc_Base!AZ52,Calc_Upside!AZ52,Calc_Downside!AZ52)</f>
        <v>45.208729598388075</v>
      </c>
      <c r="BA36" s="43">
        <f>CHOOSE(ScenarioNo,Calc_Base!BA52,Calc_Upside!BA52,Calc_Downside!BA52)</f>
        <v>47.06005135132564</v>
      </c>
      <c r="BB36" s="43">
        <f>CHOOSE(ScenarioNo,Calc_Base!BB52,Calc_Upside!BB52,Calc_Downside!BB52)</f>
        <v>48.812937303617311</v>
      </c>
      <c r="BC36" s="43">
        <f>CHOOSE(ScenarioNo,Calc_Base!BC52,Calc_Upside!BC52,Calc_Downside!BC52)</f>
        <v>50.321892581656329</v>
      </c>
      <c r="BD36" s="43">
        <f>CHOOSE(ScenarioNo,Calc_Base!BD52,Calc_Upside!BD52,Calc_Downside!BD52)</f>
        <v>53.627080169260374</v>
      </c>
      <c r="BE36" s="43">
        <f>CHOOSE(ScenarioNo,Calc_Base!BE52,Calc_Upside!BE52,Calc_Downside!BE52)</f>
        <v>57.858686005314127</v>
      </c>
      <c r="BF36" s="43">
        <f>CHOOSE(ScenarioNo,Calc_Base!BF52,Calc_Upside!BF52,Calc_Downside!BF52)</f>
        <v>63.382153296782676</v>
      </c>
      <c r="BG36" s="43">
        <f>CHOOSE(ScenarioNo,Calc_Base!BG52,Calc_Upside!BG52,Calc_Downside!BG52)</f>
        <v>70.7861066008808</v>
      </c>
      <c r="BH36" s="43">
        <f>CHOOSE(ScenarioNo,Calc_Base!BH52,Calc_Upside!BH52,Calc_Downside!BH52)</f>
        <v>81.083438919032446</v>
      </c>
      <c r="BI36" s="43">
        <f>CHOOSE(ScenarioNo,Calc_Base!BI52,Calc_Upside!BI52,Calc_Downside!BI52)</f>
        <v>96.1776029513331</v>
      </c>
      <c r="BJ36" s="43">
        <f>CHOOSE(ScenarioNo,Calc_Base!BJ52,Calc_Upside!BJ52,Calc_Downside!BJ52)</f>
        <v>120.11713109080283</v>
      </c>
      <c r="BK36" s="43">
        <f>CHOOSE(ScenarioNo,Calc_Base!BK52,Calc_Upside!BK52,Calc_Downside!BK52)</f>
        <v>163.30264935764899</v>
      </c>
      <c r="BL36" s="43">
        <f>CHOOSE(ScenarioNo,Calc_Base!BL52,Calc_Upside!BL52,Calc_Downside!BL52)</f>
        <v>262.98529900951809</v>
      </c>
    </row>
  </sheetData>
  <pageMargins left="0.4" right="0.4" top="0.5" bottom="0.5" header="0.5" footer="0.5"/>
  <pageSetup paperSize="9"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03864"/>
    <pageSetUpPr fitToPage="1"/>
  </sheetPr>
  <dimension ref="B1:I111"/>
  <sheetViews>
    <sheetView showGridLines="0" workbookViewId="0"/>
  </sheetViews>
  <sheetFormatPr defaultRowHeight="14.5" x14ac:dyDescent="0.35"/>
  <cols>
    <col min="1" max="1" width="2" customWidth="1"/>
    <col min="2" max="2" width="44" customWidth="1"/>
    <col min="3" max="3" width="9" customWidth="1"/>
    <col min="4" max="8" width="15" customWidth="1"/>
    <col min="9" max="9" width="16" customWidth="1"/>
  </cols>
  <sheetData>
    <row r="1" spans="2:9" ht="20" x14ac:dyDescent="0.4">
      <c r="B1" s="11" t="s">
        <v>307</v>
      </c>
    </row>
    <row r="2" spans="2:9" x14ac:dyDescent="0.35">
      <c r="B2" s="9" t="s">
        <v>95</v>
      </c>
    </row>
    <row r="3" spans="2:9" x14ac:dyDescent="0.35">
      <c r="B3" s="9" t="s">
        <v>308</v>
      </c>
    </row>
    <row r="5" spans="2:9" x14ac:dyDescent="0.35">
      <c r="B5" s="2" t="str">
        <f>"Scenario shown: "&amp;INDEX(Inputs!$D$8:$F$8,1,ScenarioNo)</f>
        <v>Scenario shown: Base</v>
      </c>
    </row>
    <row r="6" spans="2:9" x14ac:dyDescent="0.35">
      <c r="B6" s="14" t="s">
        <v>281</v>
      </c>
      <c r="C6" s="15" t="s">
        <v>102</v>
      </c>
      <c r="D6" s="15" t="s">
        <v>141</v>
      </c>
      <c r="E6" s="15" t="s">
        <v>142</v>
      </c>
      <c r="F6" s="15" t="s">
        <v>143</v>
      </c>
      <c r="G6" s="15" t="s">
        <v>144</v>
      </c>
      <c r="H6" s="15" t="s">
        <v>145</v>
      </c>
      <c r="I6" s="15" t="s">
        <v>309</v>
      </c>
    </row>
    <row r="7" spans="2:9" x14ac:dyDescent="0.35">
      <c r="B7" s="3" t="s">
        <v>147</v>
      </c>
      <c r="C7" s="18" t="s">
        <v>111</v>
      </c>
      <c r="D7" s="44">
        <f t="shared" ref="D7:I10" si="0">CHOOSE(ScenarioNo,D34,D61,D88)</f>
        <v>5880.89</v>
      </c>
      <c r="E7" s="44">
        <f t="shared" si="0"/>
        <v>148157.51999999999</v>
      </c>
      <c r="F7" s="44">
        <f t="shared" si="0"/>
        <v>439186.00043183088</v>
      </c>
      <c r="G7" s="44">
        <f t="shared" si="0"/>
        <v>837626.02041275729</v>
      </c>
      <c r="H7" s="44">
        <f t="shared" si="0"/>
        <v>1255255.4492610302</v>
      </c>
      <c r="I7" s="44">
        <f t="shared" si="0"/>
        <v>2686105.8801056184</v>
      </c>
    </row>
    <row r="8" spans="2:9" x14ac:dyDescent="0.35">
      <c r="B8" s="3" t="s">
        <v>149</v>
      </c>
      <c r="C8" s="18" t="s">
        <v>111</v>
      </c>
      <c r="D8" s="44">
        <f t="shared" si="0"/>
        <v>0</v>
      </c>
      <c r="E8" s="44">
        <f t="shared" si="0"/>
        <v>174979.34</v>
      </c>
      <c r="F8" s="44">
        <f t="shared" si="0"/>
        <v>736802.28462894354</v>
      </c>
      <c r="G8" s="44">
        <f t="shared" si="0"/>
        <v>1722694.0200325979</v>
      </c>
      <c r="H8" s="44">
        <f t="shared" si="0"/>
        <v>3022491.5830942849</v>
      </c>
      <c r="I8" s="44">
        <f t="shared" si="0"/>
        <v>5656967.227755826</v>
      </c>
    </row>
    <row r="9" spans="2:9" x14ac:dyDescent="0.35">
      <c r="B9" s="3" t="s">
        <v>150</v>
      </c>
      <c r="C9" s="18" t="s">
        <v>111</v>
      </c>
      <c r="D9" s="44">
        <f t="shared" si="0"/>
        <v>0</v>
      </c>
      <c r="E9" s="44">
        <f t="shared" si="0"/>
        <v>0</v>
      </c>
      <c r="F9" s="44">
        <f t="shared" si="0"/>
        <v>188500.00000000003</v>
      </c>
      <c r="G9" s="44">
        <f t="shared" si="0"/>
        <v>696485.87597882468</v>
      </c>
      <c r="H9" s="44">
        <f t="shared" si="0"/>
        <v>1454849.1731741047</v>
      </c>
      <c r="I9" s="44">
        <f t="shared" si="0"/>
        <v>2339835.0491529293</v>
      </c>
    </row>
    <row r="10" spans="2:9" x14ac:dyDescent="0.35">
      <c r="B10" s="4" t="s">
        <v>284</v>
      </c>
      <c r="C10" s="18" t="s">
        <v>111</v>
      </c>
      <c r="D10" s="45">
        <f t="shared" si="0"/>
        <v>5880.89</v>
      </c>
      <c r="E10" s="45">
        <f t="shared" si="0"/>
        <v>323136.86</v>
      </c>
      <c r="F10" s="45">
        <f t="shared" si="0"/>
        <v>1364488.2850607745</v>
      </c>
      <c r="G10" s="45">
        <f t="shared" si="0"/>
        <v>3256805.9164241804</v>
      </c>
      <c r="H10" s="45">
        <f t="shared" si="0"/>
        <v>5732596.2055294197</v>
      </c>
      <c r="I10" s="45">
        <f t="shared" si="0"/>
        <v>10682908.157014374</v>
      </c>
    </row>
    <row r="11" spans="2:9" x14ac:dyDescent="0.35">
      <c r="B11" s="3" t="s">
        <v>310</v>
      </c>
      <c r="C11" s="18" t="s">
        <v>117</v>
      </c>
      <c r="D11" s="46" t="str">
        <f t="shared" ref="D11:H20" si="1">CHOOSE(ScenarioNo,D38,D65,D92)</f>
        <v>n/a</v>
      </c>
      <c r="E11" s="46">
        <f t="shared" si="1"/>
        <v>53.946931501864505</v>
      </c>
      <c r="F11" s="46">
        <f t="shared" si="1"/>
        <v>3.2226327416215366</v>
      </c>
      <c r="G11" s="46">
        <f t="shared" si="1"/>
        <v>1.3868331828727438</v>
      </c>
      <c r="H11" s="46">
        <f t="shared" si="1"/>
        <v>0.76018969279678195</v>
      </c>
      <c r="I11" s="47"/>
    </row>
    <row r="12" spans="2:9" x14ac:dyDescent="0.35">
      <c r="B12" s="4" t="s">
        <v>311</v>
      </c>
      <c r="C12" s="18" t="s">
        <v>111</v>
      </c>
      <c r="D12" s="45">
        <f t="shared" si="1"/>
        <v>19576.077277290002</v>
      </c>
      <c r="E12" s="45">
        <f t="shared" si="1"/>
        <v>167386.16781412001</v>
      </c>
      <c r="F12" s="45">
        <f t="shared" si="1"/>
        <v>553699.0273055631</v>
      </c>
      <c r="G12" s="45">
        <f t="shared" si="1"/>
        <v>1200477.8962725168</v>
      </c>
      <c r="H12" s="45">
        <f t="shared" si="1"/>
        <v>2026374.7668598958</v>
      </c>
      <c r="I12" s="45">
        <f t="shared" ref="I12:I30" si="2">CHOOSE(ScenarioNo,I39,I66,I93)</f>
        <v>3967513.9355293857</v>
      </c>
    </row>
    <row r="13" spans="2:9" x14ac:dyDescent="0.35">
      <c r="B13" s="4" t="s">
        <v>286</v>
      </c>
      <c r="C13" s="18" t="s">
        <v>111</v>
      </c>
      <c r="D13" s="45">
        <f t="shared" si="1"/>
        <v>-13695.187277290002</v>
      </c>
      <c r="E13" s="45">
        <f t="shared" si="1"/>
        <v>155750.69218588001</v>
      </c>
      <c r="F13" s="45">
        <f t="shared" si="1"/>
        <v>810789.25775521132</v>
      </c>
      <c r="G13" s="45">
        <f t="shared" si="1"/>
        <v>2056328.0201516631</v>
      </c>
      <c r="H13" s="45">
        <f t="shared" si="1"/>
        <v>3706221.4386695242</v>
      </c>
      <c r="I13" s="45">
        <f t="shared" si="2"/>
        <v>6715394.2214849889</v>
      </c>
    </row>
    <row r="14" spans="2:9" x14ac:dyDescent="0.35">
      <c r="B14" s="3" t="s">
        <v>312</v>
      </c>
      <c r="C14" s="18" t="s">
        <v>117</v>
      </c>
      <c r="D14" s="46">
        <f t="shared" si="1"/>
        <v>-2.3287610000000001</v>
      </c>
      <c r="E14" s="46">
        <f t="shared" si="1"/>
        <v>0.48199605636410531</v>
      </c>
      <c r="F14" s="46">
        <f t="shared" si="1"/>
        <v>0.59420756237500316</v>
      </c>
      <c r="G14" s="46">
        <f t="shared" si="1"/>
        <v>0.63139409375963507</v>
      </c>
      <c r="H14" s="46">
        <f t="shared" si="1"/>
        <v>0.64651709378983646</v>
      </c>
      <c r="I14" s="46">
        <f t="shared" si="2"/>
        <v>0.62861106009562351</v>
      </c>
    </row>
    <row r="15" spans="2:9" x14ac:dyDescent="0.35">
      <c r="B15" s="3" t="s">
        <v>243</v>
      </c>
      <c r="C15" s="18" t="s">
        <v>111</v>
      </c>
      <c r="D15" s="44">
        <f t="shared" si="1"/>
        <v>190291.58999999997</v>
      </c>
      <c r="E15" s="44">
        <f t="shared" si="1"/>
        <v>1148627.3999999999</v>
      </c>
      <c r="F15" s="44">
        <f t="shared" si="1"/>
        <v>1765532.76</v>
      </c>
      <c r="G15" s="44">
        <f t="shared" si="1"/>
        <v>2209900.19</v>
      </c>
      <c r="H15" s="44">
        <f t="shared" si="1"/>
        <v>2237065.0499999993</v>
      </c>
      <c r="I15" s="44">
        <f t="shared" si="2"/>
        <v>7551416.9899999984</v>
      </c>
    </row>
    <row r="16" spans="2:9" x14ac:dyDescent="0.35">
      <c r="B16" s="3" t="s">
        <v>287</v>
      </c>
      <c r="C16" s="18" t="s">
        <v>111</v>
      </c>
      <c r="D16" s="44">
        <f t="shared" si="1"/>
        <v>820315.54488392989</v>
      </c>
      <c r="E16" s="44">
        <f t="shared" si="1"/>
        <v>1456398.44415609</v>
      </c>
      <c r="F16" s="44">
        <f t="shared" si="1"/>
        <v>1685923.9427227944</v>
      </c>
      <c r="G16" s="44">
        <f t="shared" si="1"/>
        <v>1778822.2801696071</v>
      </c>
      <c r="H16" s="44">
        <f t="shared" si="1"/>
        <v>1876839.5324628658</v>
      </c>
      <c r="I16" s="44">
        <f t="shared" si="2"/>
        <v>7618299.7443952877</v>
      </c>
    </row>
    <row r="17" spans="2:9" x14ac:dyDescent="0.35">
      <c r="B17" s="3" t="s">
        <v>288</v>
      </c>
      <c r="C17" s="18" t="s">
        <v>111</v>
      </c>
      <c r="D17" s="44">
        <f t="shared" si="1"/>
        <v>516672.06999999995</v>
      </c>
      <c r="E17" s="44">
        <f t="shared" si="1"/>
        <v>741165.68999999971</v>
      </c>
      <c r="F17" s="44">
        <f t="shared" si="1"/>
        <v>594528.9</v>
      </c>
      <c r="G17" s="44">
        <f t="shared" si="1"/>
        <v>594528.9</v>
      </c>
      <c r="H17" s="44">
        <f t="shared" si="1"/>
        <v>594528.9</v>
      </c>
      <c r="I17" s="44">
        <f t="shared" si="2"/>
        <v>3041424.4599999995</v>
      </c>
    </row>
    <row r="18" spans="2:9" x14ac:dyDescent="0.35">
      <c r="B18" s="4" t="s">
        <v>289</v>
      </c>
      <c r="C18" s="18" t="s">
        <v>111</v>
      </c>
      <c r="D18" s="45">
        <f t="shared" si="1"/>
        <v>-1540974.3921612198</v>
      </c>
      <c r="E18" s="45">
        <f t="shared" si="1"/>
        <v>-3190440.84197021</v>
      </c>
      <c r="F18" s="45">
        <f t="shared" si="1"/>
        <v>-3235196.3449675841</v>
      </c>
      <c r="G18" s="45">
        <f t="shared" si="1"/>
        <v>-2526923.3500179444</v>
      </c>
      <c r="H18" s="45">
        <f t="shared" si="1"/>
        <v>-1002212.0437933416</v>
      </c>
      <c r="I18" s="45">
        <f t="shared" si="2"/>
        <v>-11495746.972910298</v>
      </c>
    </row>
    <row r="19" spans="2:9" x14ac:dyDescent="0.35">
      <c r="B19" s="3" t="s">
        <v>313</v>
      </c>
      <c r="C19" s="18" t="s">
        <v>117</v>
      </c>
      <c r="D19" s="46">
        <f t="shared" si="1"/>
        <v>-262.0308137307822</v>
      </c>
      <c r="E19" s="46">
        <f t="shared" si="1"/>
        <v>-9.873342341601667</v>
      </c>
      <c r="F19" s="46">
        <f t="shared" si="1"/>
        <v>-2.3709960579276705</v>
      </c>
      <c r="G19" s="46">
        <f t="shared" si="1"/>
        <v>-0.7758900637199736</v>
      </c>
      <c r="H19" s="46">
        <f t="shared" si="1"/>
        <v>-0.17482690352874503</v>
      </c>
      <c r="I19" s="46">
        <f t="shared" si="2"/>
        <v>-1.0760877847070338</v>
      </c>
    </row>
    <row r="20" spans="2:9" x14ac:dyDescent="0.35">
      <c r="B20" s="3" t="s">
        <v>290</v>
      </c>
      <c r="C20" s="18" t="s">
        <v>111</v>
      </c>
      <c r="D20" s="44">
        <f t="shared" si="1"/>
        <v>5868.0555555555557</v>
      </c>
      <c r="E20" s="44">
        <f t="shared" si="1"/>
        <v>12187.5</v>
      </c>
      <c r="F20" s="44">
        <f t="shared" si="1"/>
        <v>13333.333333333334</v>
      </c>
      <c r="G20" s="44">
        <f t="shared" si="1"/>
        <v>7465.2777777777765</v>
      </c>
      <c r="H20" s="44">
        <f t="shared" si="1"/>
        <v>7013.8888888888932</v>
      </c>
      <c r="I20" s="44">
        <f t="shared" si="2"/>
        <v>45868.055555555555</v>
      </c>
    </row>
    <row r="21" spans="2:9" x14ac:dyDescent="0.35">
      <c r="B21" s="3" t="s">
        <v>292</v>
      </c>
      <c r="C21" s="18" t="s">
        <v>111</v>
      </c>
      <c r="D21" s="44">
        <f t="shared" ref="D21:H30" si="3">CHOOSE(ScenarioNo,D48,D75,D102)</f>
        <v>26194.891324362419</v>
      </c>
      <c r="E21" s="44">
        <f t="shared" si="3"/>
        <v>105572.20579153392</v>
      </c>
      <c r="F21" s="44">
        <f t="shared" si="3"/>
        <v>163456.4696238293</v>
      </c>
      <c r="G21" s="44">
        <f t="shared" si="3"/>
        <v>121406.07286083986</v>
      </c>
      <c r="H21" s="44">
        <f t="shared" si="3"/>
        <v>95039.392783748845</v>
      </c>
      <c r="I21" s="44">
        <f t="shared" si="2"/>
        <v>511669.0323843144</v>
      </c>
    </row>
    <row r="22" spans="2:9" x14ac:dyDescent="0.35">
      <c r="B22" s="3" t="s">
        <v>293</v>
      </c>
      <c r="C22" s="18" t="s">
        <v>111</v>
      </c>
      <c r="D22" s="44">
        <f t="shared" si="3"/>
        <v>-1520647.5563924129</v>
      </c>
      <c r="E22" s="44">
        <f t="shared" si="3"/>
        <v>-3097056.136178676</v>
      </c>
      <c r="F22" s="44">
        <f t="shared" si="3"/>
        <v>-3085073.2086770884</v>
      </c>
      <c r="G22" s="44">
        <f t="shared" si="3"/>
        <v>-2412982.5549348821</v>
      </c>
      <c r="H22" s="44">
        <f t="shared" si="3"/>
        <v>-914186.53989848157</v>
      </c>
      <c r="I22" s="44">
        <f t="shared" si="2"/>
        <v>-11029945.99608154</v>
      </c>
    </row>
    <row r="23" spans="2:9" x14ac:dyDescent="0.35">
      <c r="B23" s="3" t="s">
        <v>314</v>
      </c>
      <c r="C23" s="18" t="s">
        <v>111</v>
      </c>
      <c r="D23" s="44">
        <f t="shared" si="3"/>
        <v>0</v>
      </c>
      <c r="E23" s="44">
        <f t="shared" si="3"/>
        <v>0</v>
      </c>
      <c r="F23" s="44">
        <f t="shared" si="3"/>
        <v>0</v>
      </c>
      <c r="G23" s="44">
        <f t="shared" si="3"/>
        <v>0</v>
      </c>
      <c r="H23" s="44">
        <f t="shared" si="3"/>
        <v>0</v>
      </c>
      <c r="I23" s="44">
        <f t="shared" si="2"/>
        <v>0</v>
      </c>
    </row>
    <row r="24" spans="2:9" x14ac:dyDescent="0.35">
      <c r="B24" s="4" t="s">
        <v>295</v>
      </c>
      <c r="C24" s="18" t="s">
        <v>111</v>
      </c>
      <c r="D24" s="45">
        <f t="shared" si="3"/>
        <v>-1520647.5563924129</v>
      </c>
      <c r="E24" s="45">
        <f t="shared" si="3"/>
        <v>-3097056.136178676</v>
      </c>
      <c r="F24" s="45">
        <f t="shared" si="3"/>
        <v>-3085073.2086770884</v>
      </c>
      <c r="G24" s="45">
        <f t="shared" si="3"/>
        <v>-2412982.5549348821</v>
      </c>
      <c r="H24" s="45">
        <f t="shared" si="3"/>
        <v>-914186.53989848157</v>
      </c>
      <c r="I24" s="45">
        <f t="shared" si="2"/>
        <v>-11029945.99608154</v>
      </c>
    </row>
    <row r="25" spans="2:9" x14ac:dyDescent="0.35">
      <c r="B25" s="3" t="s">
        <v>315</v>
      </c>
      <c r="C25" s="18" t="s">
        <v>160</v>
      </c>
      <c r="D25" s="48">
        <f t="shared" si="3"/>
        <v>8.6666670000000003</v>
      </c>
      <c r="E25" s="48">
        <f t="shared" si="3"/>
        <v>14.583333000000001</v>
      </c>
      <c r="F25" s="48">
        <f t="shared" si="3"/>
        <v>16</v>
      </c>
      <c r="G25" s="48">
        <f t="shared" si="3"/>
        <v>16</v>
      </c>
      <c r="H25" s="48">
        <f t="shared" si="3"/>
        <v>16</v>
      </c>
      <c r="I25" s="48">
        <f t="shared" si="2"/>
        <v>14.25</v>
      </c>
    </row>
    <row r="26" spans="2:9" x14ac:dyDescent="0.35">
      <c r="B26" s="3" t="s">
        <v>316</v>
      </c>
      <c r="C26" s="18" t="s">
        <v>111</v>
      </c>
      <c r="D26" s="44">
        <f t="shared" si="3"/>
        <v>-1514779.5008368576</v>
      </c>
      <c r="E26" s="44">
        <f t="shared" si="3"/>
        <v>-3084868.6361786756</v>
      </c>
      <c r="F26" s="44">
        <f t="shared" si="3"/>
        <v>-3071739.8753437544</v>
      </c>
      <c r="G26" s="44">
        <f t="shared" si="3"/>
        <v>-2405517.2771571046</v>
      </c>
      <c r="H26" s="44">
        <f t="shared" si="3"/>
        <v>-907172.65100959269</v>
      </c>
      <c r="I26" s="44">
        <f t="shared" si="2"/>
        <v>-10984077.940525986</v>
      </c>
    </row>
    <row r="27" spans="2:9" x14ac:dyDescent="0.35">
      <c r="B27" s="3" t="s">
        <v>317</v>
      </c>
      <c r="C27" s="18" t="s">
        <v>111</v>
      </c>
      <c r="D27" s="44">
        <f t="shared" si="3"/>
        <v>32499.999999999996</v>
      </c>
      <c r="E27" s="44">
        <f t="shared" si="3"/>
        <v>7500</v>
      </c>
      <c r="F27" s="44">
        <f t="shared" si="3"/>
        <v>0</v>
      </c>
      <c r="G27" s="44">
        <f t="shared" si="3"/>
        <v>0</v>
      </c>
      <c r="H27" s="44">
        <f t="shared" si="3"/>
        <v>32499.999999999996</v>
      </c>
      <c r="I27" s="44">
        <f t="shared" si="2"/>
        <v>72500</v>
      </c>
    </row>
    <row r="28" spans="2:9" x14ac:dyDescent="0.35">
      <c r="B28" s="3" t="s">
        <v>299</v>
      </c>
      <c r="C28" s="18" t="s">
        <v>111</v>
      </c>
      <c r="D28" s="44">
        <f t="shared" si="3"/>
        <v>5000000</v>
      </c>
      <c r="E28" s="44">
        <f t="shared" si="3"/>
        <v>12000000</v>
      </c>
      <c r="F28" s="44">
        <f t="shared" si="3"/>
        <v>0</v>
      </c>
      <c r="G28" s="44">
        <f t="shared" si="3"/>
        <v>0</v>
      </c>
      <c r="H28" s="44">
        <f t="shared" si="3"/>
        <v>0</v>
      </c>
      <c r="I28" s="44">
        <f t="shared" si="2"/>
        <v>17000000</v>
      </c>
    </row>
    <row r="29" spans="2:9" x14ac:dyDescent="0.35">
      <c r="B29" s="3" t="s">
        <v>300</v>
      </c>
      <c r="C29" s="18" t="s">
        <v>111</v>
      </c>
      <c r="D29" s="44">
        <f t="shared" si="3"/>
        <v>3452720.4991631419</v>
      </c>
      <c r="E29" s="44">
        <f t="shared" si="3"/>
        <v>8907631.363821324</v>
      </c>
      <c r="F29" s="44">
        <f t="shared" si="3"/>
        <v>-3071739.8753437544</v>
      </c>
      <c r="G29" s="44">
        <f t="shared" si="3"/>
        <v>-2405517.2771571046</v>
      </c>
      <c r="H29" s="44">
        <f t="shared" si="3"/>
        <v>-939672.65100959246</v>
      </c>
      <c r="I29" s="44">
        <f t="shared" si="2"/>
        <v>5943422.0594740137</v>
      </c>
    </row>
    <row r="30" spans="2:9" x14ac:dyDescent="0.35">
      <c r="B30" s="4" t="s">
        <v>318</v>
      </c>
      <c r="C30" s="18" t="s">
        <v>111</v>
      </c>
      <c r="D30" s="45">
        <f t="shared" si="3"/>
        <v>3477720.4991631419</v>
      </c>
      <c r="E30" s="45">
        <f t="shared" si="3"/>
        <v>12385351.862984465</v>
      </c>
      <c r="F30" s="45">
        <f t="shared" si="3"/>
        <v>9313611.9876407105</v>
      </c>
      <c r="G30" s="45">
        <f t="shared" si="3"/>
        <v>6908094.710483606</v>
      </c>
      <c r="H30" s="45">
        <f t="shared" si="3"/>
        <v>5968422.0594740147</v>
      </c>
      <c r="I30" s="45">
        <f t="shared" si="2"/>
        <v>5968422.0594740147</v>
      </c>
    </row>
    <row r="32" spans="2:9" x14ac:dyDescent="0.35">
      <c r="B32" s="2" t="s">
        <v>319</v>
      </c>
    </row>
    <row r="33" spans="2:9" x14ac:dyDescent="0.35">
      <c r="B33" s="14" t="s">
        <v>281</v>
      </c>
      <c r="C33" s="15" t="s">
        <v>102</v>
      </c>
      <c r="D33" s="15" t="s">
        <v>141</v>
      </c>
      <c r="E33" s="15" t="s">
        <v>142</v>
      </c>
      <c r="F33" s="15" t="s">
        <v>143</v>
      </c>
      <c r="G33" s="15" t="s">
        <v>144</v>
      </c>
      <c r="H33" s="15" t="s">
        <v>145</v>
      </c>
      <c r="I33" s="15" t="s">
        <v>309</v>
      </c>
    </row>
    <row r="34" spans="2:9" x14ac:dyDescent="0.35">
      <c r="B34" s="3" t="s">
        <v>147</v>
      </c>
      <c r="C34" s="18" t="s">
        <v>111</v>
      </c>
      <c r="D34" s="5">
        <f>SUM(Calc_Base!E10:P10)</f>
        <v>5880.89</v>
      </c>
      <c r="E34" s="5">
        <f>SUM(Calc_Base!Q10:AB10)</f>
        <v>148157.51999999999</v>
      </c>
      <c r="F34" s="5">
        <f>SUM(Calc_Base!AC10:AN10)</f>
        <v>439186.00043183088</v>
      </c>
      <c r="G34" s="5">
        <f>SUM(Calc_Base!AO10:AZ10)</f>
        <v>837626.02041275729</v>
      </c>
      <c r="H34" s="5">
        <f>SUM(Calc_Base!BA10:BL10)</f>
        <v>1255255.4492610302</v>
      </c>
      <c r="I34" s="44">
        <f>SUM(D34:H34)</f>
        <v>2686105.8801056184</v>
      </c>
    </row>
    <row r="35" spans="2:9" x14ac:dyDescent="0.35">
      <c r="B35" s="3" t="s">
        <v>149</v>
      </c>
      <c r="C35" s="18" t="s">
        <v>111</v>
      </c>
      <c r="D35" s="5">
        <f>SUM(Calc_Base!E11:P11)</f>
        <v>0</v>
      </c>
      <c r="E35" s="5">
        <f>SUM(Calc_Base!Q11:AB11)</f>
        <v>174979.34</v>
      </c>
      <c r="F35" s="5">
        <f>SUM(Calc_Base!AC11:AN11)</f>
        <v>736802.28462894354</v>
      </c>
      <c r="G35" s="5">
        <f>SUM(Calc_Base!AO11:AZ11)</f>
        <v>1722694.0200325979</v>
      </c>
      <c r="H35" s="5">
        <f>SUM(Calc_Base!BA11:BL11)</f>
        <v>3022491.5830942849</v>
      </c>
      <c r="I35" s="44">
        <f>SUM(D35:H35)</f>
        <v>5656967.227755826</v>
      </c>
    </row>
    <row r="36" spans="2:9" x14ac:dyDescent="0.35">
      <c r="B36" s="3" t="s">
        <v>150</v>
      </c>
      <c r="C36" s="18" t="s">
        <v>111</v>
      </c>
      <c r="D36" s="5">
        <f>SUM(Calc_Base!E12:P12)</f>
        <v>0</v>
      </c>
      <c r="E36" s="5">
        <f>SUM(Calc_Base!Q12:AB12)</f>
        <v>0</v>
      </c>
      <c r="F36" s="5">
        <f>SUM(Calc_Base!AC12:AN12)</f>
        <v>188500.00000000003</v>
      </c>
      <c r="G36" s="5">
        <f>SUM(Calc_Base!AO12:AZ12)</f>
        <v>696485.87597882468</v>
      </c>
      <c r="H36" s="5">
        <f>SUM(Calc_Base!BA12:BL12)</f>
        <v>1454849.1731741047</v>
      </c>
      <c r="I36" s="44">
        <f>SUM(D36:H36)</f>
        <v>2339835.0491529293</v>
      </c>
    </row>
    <row r="37" spans="2:9" x14ac:dyDescent="0.35">
      <c r="B37" s="4" t="s">
        <v>284</v>
      </c>
      <c r="C37" s="18" t="s">
        <v>111</v>
      </c>
      <c r="D37" s="49">
        <f>SUM(Calc_Base!E13:P13)</f>
        <v>5880.89</v>
      </c>
      <c r="E37" s="49">
        <f>SUM(Calc_Base!Q13:AB13)</f>
        <v>323136.86</v>
      </c>
      <c r="F37" s="49">
        <f>SUM(Calc_Base!AC13:AN13)</f>
        <v>1364488.2850607745</v>
      </c>
      <c r="G37" s="49">
        <f>SUM(Calc_Base!AO13:AZ13)</f>
        <v>3256805.9164241804</v>
      </c>
      <c r="H37" s="49">
        <f>SUM(Calc_Base!BA13:BL13)</f>
        <v>5732596.2055294197</v>
      </c>
      <c r="I37" s="45">
        <f>SUM(D37:H37)</f>
        <v>10682908.157014374</v>
      </c>
    </row>
    <row r="38" spans="2:9" x14ac:dyDescent="0.35">
      <c r="B38" s="3" t="s">
        <v>310</v>
      </c>
      <c r="C38" s="18" t="s">
        <v>117</v>
      </c>
      <c r="D38" s="50" t="s">
        <v>320</v>
      </c>
      <c r="E38" s="46">
        <f>IF(D37&gt;0,E37/D37-1,"n/a")</f>
        <v>53.946931501864505</v>
      </c>
      <c r="F38" s="46">
        <f>IF(E37&gt;0,F37/E37-1,"n/a")</f>
        <v>3.2226327416215366</v>
      </c>
      <c r="G38" s="46">
        <f>IF(F37&gt;0,G37/F37-1,"n/a")</f>
        <v>1.3868331828727438</v>
      </c>
      <c r="H38" s="46">
        <f>IF(G37&gt;0,H37/G37-1,"n/a")</f>
        <v>0.76018969279678195</v>
      </c>
      <c r="I38" s="47"/>
    </row>
    <row r="39" spans="2:9" x14ac:dyDescent="0.35">
      <c r="B39" s="4" t="s">
        <v>311</v>
      </c>
      <c r="C39" s="18" t="s">
        <v>111</v>
      </c>
      <c r="D39" s="49">
        <f>SUM(Calc_Base!E21:P21)</f>
        <v>19576.077277290002</v>
      </c>
      <c r="E39" s="49">
        <f>SUM(Calc_Base!Q21:AB21)</f>
        <v>167386.16781412001</v>
      </c>
      <c r="F39" s="49">
        <f>SUM(Calc_Base!AC21:AN21)</f>
        <v>553699.0273055631</v>
      </c>
      <c r="G39" s="49">
        <f>SUM(Calc_Base!AO21:AZ21)</f>
        <v>1200477.8962725168</v>
      </c>
      <c r="H39" s="49">
        <f>SUM(Calc_Base!BA21:BL21)</f>
        <v>2026374.7668598958</v>
      </c>
      <c r="I39" s="45">
        <f>SUM(D39:H39)</f>
        <v>3967513.9355293857</v>
      </c>
    </row>
    <row r="40" spans="2:9" x14ac:dyDescent="0.35">
      <c r="B40" s="4" t="s">
        <v>286</v>
      </c>
      <c r="C40" s="18" t="s">
        <v>111</v>
      </c>
      <c r="D40" s="49">
        <f>SUM(Calc_Base!E22:P22)</f>
        <v>-13695.187277290002</v>
      </c>
      <c r="E40" s="49">
        <f>SUM(Calc_Base!Q22:AB22)</f>
        <v>155750.69218588001</v>
      </c>
      <c r="F40" s="49">
        <f>SUM(Calc_Base!AC22:AN22)</f>
        <v>810789.25775521132</v>
      </c>
      <c r="G40" s="49">
        <f>SUM(Calc_Base!AO22:AZ22)</f>
        <v>2056328.0201516631</v>
      </c>
      <c r="H40" s="49">
        <f>SUM(Calc_Base!BA22:BL22)</f>
        <v>3706221.4386695242</v>
      </c>
      <c r="I40" s="45">
        <f>SUM(D40:H40)</f>
        <v>6715394.2214849889</v>
      </c>
    </row>
    <row r="41" spans="2:9" x14ac:dyDescent="0.35">
      <c r="B41" s="3" t="s">
        <v>312</v>
      </c>
      <c r="C41" s="18" t="s">
        <v>117</v>
      </c>
      <c r="D41" s="46">
        <f t="shared" ref="D41:I41" si="4">IF(D37&gt;0,D40/D37,"n/a")</f>
        <v>-2.3287610000000001</v>
      </c>
      <c r="E41" s="46">
        <f t="shared" si="4"/>
        <v>0.48199605636410531</v>
      </c>
      <c r="F41" s="46">
        <f t="shared" si="4"/>
        <v>0.59420756237500316</v>
      </c>
      <c r="G41" s="46">
        <f t="shared" si="4"/>
        <v>0.63139409375963507</v>
      </c>
      <c r="H41" s="46">
        <f t="shared" si="4"/>
        <v>0.64651709378983646</v>
      </c>
      <c r="I41" s="46">
        <f t="shared" si="4"/>
        <v>0.62861106009562351</v>
      </c>
    </row>
    <row r="42" spans="2:9" x14ac:dyDescent="0.35">
      <c r="B42" s="3" t="s">
        <v>243</v>
      </c>
      <c r="C42" s="18" t="s">
        <v>111</v>
      </c>
      <c r="D42" s="5">
        <f>SUM(Calc_Base!E24:P24)</f>
        <v>190291.58999999997</v>
      </c>
      <c r="E42" s="5">
        <f>SUM(Calc_Base!Q24:AB24)</f>
        <v>1148627.3999999999</v>
      </c>
      <c r="F42" s="5">
        <f>SUM(Calc_Base!AC24:AN24)</f>
        <v>1765532.76</v>
      </c>
      <c r="G42" s="5">
        <f>SUM(Calc_Base!AO24:AZ24)</f>
        <v>2209900.19</v>
      </c>
      <c r="H42" s="5">
        <f>SUM(Calc_Base!BA24:BL24)</f>
        <v>2237065.0499999993</v>
      </c>
      <c r="I42" s="44">
        <f>SUM(D42:H42)</f>
        <v>7551416.9899999984</v>
      </c>
    </row>
    <row r="43" spans="2:9" x14ac:dyDescent="0.35">
      <c r="B43" s="3" t="s">
        <v>287</v>
      </c>
      <c r="C43" s="18" t="s">
        <v>111</v>
      </c>
      <c r="D43" s="5">
        <f>SUM(Calc_Base!E26:P26)</f>
        <v>820315.54488392989</v>
      </c>
      <c r="E43" s="5">
        <f>SUM(Calc_Base!Q26:AB26)</f>
        <v>1456398.44415609</v>
      </c>
      <c r="F43" s="5">
        <f>SUM(Calc_Base!AC26:AN26)</f>
        <v>1685923.9427227944</v>
      </c>
      <c r="G43" s="5">
        <f>SUM(Calc_Base!AO26:AZ26)</f>
        <v>1778822.2801696071</v>
      </c>
      <c r="H43" s="5">
        <f>SUM(Calc_Base!BA26:BL26)</f>
        <v>1876839.5324628658</v>
      </c>
      <c r="I43" s="44">
        <f>SUM(D43:H43)</f>
        <v>7618299.7443952877</v>
      </c>
    </row>
    <row r="44" spans="2:9" x14ac:dyDescent="0.35">
      <c r="B44" s="3" t="s">
        <v>288</v>
      </c>
      <c r="C44" s="18" t="s">
        <v>111</v>
      </c>
      <c r="D44" s="5">
        <f>SUM(Calc_Base!E27:P27)</f>
        <v>516672.06999999995</v>
      </c>
      <c r="E44" s="5">
        <f>SUM(Calc_Base!Q27:AB27)</f>
        <v>741165.68999999971</v>
      </c>
      <c r="F44" s="5">
        <f>SUM(Calc_Base!AC27:AN27)</f>
        <v>594528.9</v>
      </c>
      <c r="G44" s="5">
        <f>SUM(Calc_Base!AO27:AZ27)</f>
        <v>594528.9</v>
      </c>
      <c r="H44" s="5">
        <f>SUM(Calc_Base!BA27:BL27)</f>
        <v>594528.9</v>
      </c>
      <c r="I44" s="44">
        <f>SUM(D44:H44)</f>
        <v>3041424.4599999995</v>
      </c>
    </row>
    <row r="45" spans="2:9" x14ac:dyDescent="0.35">
      <c r="B45" s="4" t="s">
        <v>289</v>
      </c>
      <c r="C45" s="18" t="s">
        <v>111</v>
      </c>
      <c r="D45" s="49">
        <f>SUM(Calc_Base!E28:P28)</f>
        <v>-1540974.3921612198</v>
      </c>
      <c r="E45" s="49">
        <f>SUM(Calc_Base!Q28:AB28)</f>
        <v>-3190440.84197021</v>
      </c>
      <c r="F45" s="49">
        <f>SUM(Calc_Base!AC28:AN28)</f>
        <v>-3235196.3449675841</v>
      </c>
      <c r="G45" s="49">
        <f>SUM(Calc_Base!AO28:AZ28)</f>
        <v>-2526923.3500179444</v>
      </c>
      <c r="H45" s="49">
        <f>SUM(Calc_Base!BA28:BL28)</f>
        <v>-1002212.0437933416</v>
      </c>
      <c r="I45" s="45">
        <f>SUM(D45:H45)</f>
        <v>-11495746.972910298</v>
      </c>
    </row>
    <row r="46" spans="2:9" x14ac:dyDescent="0.35">
      <c r="B46" s="3" t="s">
        <v>313</v>
      </c>
      <c r="C46" s="18" t="s">
        <v>117</v>
      </c>
      <c r="D46" s="46">
        <f t="shared" ref="D46:I46" si="5">IF(D37&gt;0,D45/D37,"n/a")</f>
        <v>-262.0308137307822</v>
      </c>
      <c r="E46" s="46">
        <f t="shared" si="5"/>
        <v>-9.873342341601667</v>
      </c>
      <c r="F46" s="46">
        <f t="shared" si="5"/>
        <v>-2.3709960579276705</v>
      </c>
      <c r="G46" s="46">
        <f t="shared" si="5"/>
        <v>-0.7758900637199736</v>
      </c>
      <c r="H46" s="46">
        <f t="shared" si="5"/>
        <v>-0.17482690352874503</v>
      </c>
      <c r="I46" s="46">
        <f t="shared" si="5"/>
        <v>-1.0760877847070338</v>
      </c>
    </row>
    <row r="47" spans="2:9" x14ac:dyDescent="0.35">
      <c r="B47" s="3" t="s">
        <v>290</v>
      </c>
      <c r="C47" s="18" t="s">
        <v>111</v>
      </c>
      <c r="D47" s="5">
        <f>SUM(Calc_Base!E33:P33)</f>
        <v>5868.0555555555557</v>
      </c>
      <c r="E47" s="5">
        <f>SUM(Calc_Base!Q33:AB33)</f>
        <v>12187.5</v>
      </c>
      <c r="F47" s="5">
        <f>SUM(Calc_Base!AC33:AN33)</f>
        <v>13333.333333333334</v>
      </c>
      <c r="G47" s="5">
        <f>SUM(Calc_Base!AO33:AZ33)</f>
        <v>7465.2777777777765</v>
      </c>
      <c r="H47" s="5">
        <f>SUM(Calc_Base!BA33:BL33)</f>
        <v>7013.8888888888932</v>
      </c>
      <c r="I47" s="44">
        <f>SUM(D47:H47)</f>
        <v>45868.055555555555</v>
      </c>
    </row>
    <row r="48" spans="2:9" x14ac:dyDescent="0.35">
      <c r="B48" s="3" t="s">
        <v>292</v>
      </c>
      <c r="C48" s="18" t="s">
        <v>111</v>
      </c>
      <c r="D48" s="5">
        <f>SUM(Calc_Base!E35:P35)</f>
        <v>26194.891324362419</v>
      </c>
      <c r="E48" s="5">
        <f>SUM(Calc_Base!Q35:AB35)</f>
        <v>105572.20579153392</v>
      </c>
      <c r="F48" s="5">
        <f>SUM(Calc_Base!AC35:AN35)</f>
        <v>163456.4696238293</v>
      </c>
      <c r="G48" s="5">
        <f>SUM(Calc_Base!AO35:AZ35)</f>
        <v>121406.07286083986</v>
      </c>
      <c r="H48" s="5">
        <f>SUM(Calc_Base!BA35:BL35)</f>
        <v>95039.392783748845</v>
      </c>
      <c r="I48" s="44">
        <f>SUM(D48:H48)</f>
        <v>511669.0323843144</v>
      </c>
    </row>
    <row r="49" spans="2:9" x14ac:dyDescent="0.35">
      <c r="B49" s="3" t="s">
        <v>293</v>
      </c>
      <c r="C49" s="18" t="s">
        <v>111</v>
      </c>
      <c r="D49" s="5">
        <f>SUM(Calc_Base!E36:P36)</f>
        <v>-1520647.5563924129</v>
      </c>
      <c r="E49" s="5">
        <f>SUM(Calc_Base!Q36:AB36)</f>
        <v>-3097056.136178676</v>
      </c>
      <c r="F49" s="5">
        <f>SUM(Calc_Base!AC36:AN36)</f>
        <v>-3085073.2086770884</v>
      </c>
      <c r="G49" s="5">
        <f>SUM(Calc_Base!AO36:AZ36)</f>
        <v>-2412982.5549348821</v>
      </c>
      <c r="H49" s="5">
        <f>SUM(Calc_Base!BA36:BL36)</f>
        <v>-914186.53989848157</v>
      </c>
      <c r="I49" s="44">
        <f>SUM(D49:H49)</f>
        <v>-11029945.99608154</v>
      </c>
    </row>
    <row r="50" spans="2:9" x14ac:dyDescent="0.35">
      <c r="B50" s="3" t="s">
        <v>314</v>
      </c>
      <c r="C50" s="18" t="s">
        <v>111</v>
      </c>
      <c r="D50" s="5">
        <f>SUM(Calc_Base!E40:P40)</f>
        <v>0</v>
      </c>
      <c r="E50" s="5">
        <f>SUM(Calc_Base!Q40:AB40)</f>
        <v>0</v>
      </c>
      <c r="F50" s="5">
        <f>SUM(Calc_Base!AC40:AN40)</f>
        <v>0</v>
      </c>
      <c r="G50" s="5">
        <f>SUM(Calc_Base!AO40:AZ40)</f>
        <v>0</v>
      </c>
      <c r="H50" s="5">
        <f>SUM(Calc_Base!BA40:BL40)</f>
        <v>0</v>
      </c>
      <c r="I50" s="44">
        <f>SUM(D50:H50)</f>
        <v>0</v>
      </c>
    </row>
    <row r="51" spans="2:9" x14ac:dyDescent="0.35">
      <c r="B51" s="4" t="s">
        <v>295</v>
      </c>
      <c r="C51" s="18" t="s">
        <v>111</v>
      </c>
      <c r="D51" s="49">
        <f>SUM(Calc_Base!E41:P41)</f>
        <v>-1520647.5563924129</v>
      </c>
      <c r="E51" s="49">
        <f>SUM(Calc_Base!Q41:AB41)</f>
        <v>-3097056.136178676</v>
      </c>
      <c r="F51" s="49">
        <f>SUM(Calc_Base!AC41:AN41)</f>
        <v>-3085073.2086770884</v>
      </c>
      <c r="G51" s="49">
        <f>SUM(Calc_Base!AO41:AZ41)</f>
        <v>-2412982.5549348821</v>
      </c>
      <c r="H51" s="49">
        <f>SUM(Calc_Base!BA41:BL41)</f>
        <v>-914186.53989848157</v>
      </c>
      <c r="I51" s="45">
        <f>SUM(D51:H51)</f>
        <v>-11029945.99608154</v>
      </c>
    </row>
    <row r="52" spans="2:9" x14ac:dyDescent="0.35">
      <c r="B52" s="3" t="s">
        <v>315</v>
      </c>
      <c r="C52" s="18" t="s">
        <v>160</v>
      </c>
      <c r="D52" s="51">
        <f>AVERAGE(Calc_Base!E25:P25)</f>
        <v>8.6666670000000003</v>
      </c>
      <c r="E52" s="51">
        <f>AVERAGE(Calc_Base!Q25:AB25)</f>
        <v>14.583333000000001</v>
      </c>
      <c r="F52" s="51">
        <f>AVERAGE(Calc_Base!AC25:AN25)</f>
        <v>16</v>
      </c>
      <c r="G52" s="51">
        <f>AVERAGE(Calc_Base!AO25:AZ25)</f>
        <v>16</v>
      </c>
      <c r="H52" s="51">
        <f>AVERAGE(Calc_Base!BA25:BL25)</f>
        <v>16</v>
      </c>
      <c r="I52" s="48">
        <f>AVERAGE(D52:H52)</f>
        <v>14.25</v>
      </c>
    </row>
    <row r="53" spans="2:9" x14ac:dyDescent="0.35">
      <c r="B53" s="3" t="s">
        <v>316</v>
      </c>
      <c r="C53" s="18" t="s">
        <v>111</v>
      </c>
      <c r="D53" s="5">
        <f>SUM(Calc_Base!E43:P43)</f>
        <v>-1514779.5008368576</v>
      </c>
      <c r="E53" s="5">
        <f>SUM(Calc_Base!Q43:AB43)</f>
        <v>-3084868.6361786756</v>
      </c>
      <c r="F53" s="5">
        <f>SUM(Calc_Base!AC43:AN43)</f>
        <v>-3071739.8753437544</v>
      </c>
      <c r="G53" s="5">
        <f>SUM(Calc_Base!AO43:AZ43)</f>
        <v>-2405517.2771571046</v>
      </c>
      <c r="H53" s="5">
        <f>SUM(Calc_Base!BA43:BL43)</f>
        <v>-907172.65100959269</v>
      </c>
      <c r="I53" s="44">
        <f>SUM(D53:H53)</f>
        <v>-10984077.940525986</v>
      </c>
    </row>
    <row r="54" spans="2:9" x14ac:dyDescent="0.35">
      <c r="B54" s="3" t="s">
        <v>317</v>
      </c>
      <c r="C54" s="18" t="s">
        <v>111</v>
      </c>
      <c r="D54" s="5">
        <f>SUM(Calc_Base!E30:P30)</f>
        <v>32499.999999999996</v>
      </c>
      <c r="E54" s="5">
        <f>SUM(Calc_Base!Q30:AB30)</f>
        <v>7500</v>
      </c>
      <c r="F54" s="5">
        <f>SUM(Calc_Base!AC30:AN30)</f>
        <v>0</v>
      </c>
      <c r="G54" s="5">
        <f>SUM(Calc_Base!AO30:AZ30)</f>
        <v>0</v>
      </c>
      <c r="H54" s="5">
        <f>SUM(Calc_Base!BA30:BL30)</f>
        <v>32499.999999999996</v>
      </c>
      <c r="I54" s="44">
        <f>SUM(D54:H54)</f>
        <v>72500</v>
      </c>
    </row>
    <row r="55" spans="2:9" x14ac:dyDescent="0.35">
      <c r="B55" s="3" t="s">
        <v>299</v>
      </c>
      <c r="C55" s="18" t="s">
        <v>111</v>
      </c>
      <c r="D55" s="5">
        <f>SUM(Calc_Base!E45:P45)</f>
        <v>5000000</v>
      </c>
      <c r="E55" s="5">
        <f>SUM(Calc_Base!Q45:AB45)</f>
        <v>12000000</v>
      </c>
      <c r="F55" s="5">
        <f>SUM(Calc_Base!AC45:AN45)</f>
        <v>0</v>
      </c>
      <c r="G55" s="5">
        <f>SUM(Calc_Base!AO45:AZ45)</f>
        <v>0</v>
      </c>
      <c r="H55" s="5">
        <f>SUM(Calc_Base!BA45:BL45)</f>
        <v>0</v>
      </c>
      <c r="I55" s="44">
        <f>SUM(D55:H55)</f>
        <v>17000000</v>
      </c>
    </row>
    <row r="56" spans="2:9" x14ac:dyDescent="0.35">
      <c r="B56" s="3" t="s">
        <v>300</v>
      </c>
      <c r="C56" s="18" t="s">
        <v>111</v>
      </c>
      <c r="D56" s="5">
        <f>SUM(Calc_Base!E46:P46)</f>
        <v>3452720.4991631419</v>
      </c>
      <c r="E56" s="5">
        <f>SUM(Calc_Base!Q46:AB46)</f>
        <v>8907631.363821324</v>
      </c>
      <c r="F56" s="5">
        <f>SUM(Calc_Base!AC46:AN46)</f>
        <v>-3071739.8753437544</v>
      </c>
      <c r="G56" s="5">
        <f>SUM(Calc_Base!AO46:AZ46)</f>
        <v>-2405517.2771571046</v>
      </c>
      <c r="H56" s="5">
        <f>SUM(Calc_Base!BA46:BL46)</f>
        <v>-939672.65100959246</v>
      </c>
      <c r="I56" s="44">
        <f>SUM(D56:H56)</f>
        <v>5943422.0594740137</v>
      </c>
    </row>
    <row r="57" spans="2:9" x14ac:dyDescent="0.35">
      <c r="B57" s="4" t="s">
        <v>318</v>
      </c>
      <c r="C57" s="18" t="s">
        <v>111</v>
      </c>
      <c r="D57" s="49">
        <f>Calc_Base!P48</f>
        <v>3477720.4991631419</v>
      </c>
      <c r="E57" s="49">
        <f>Calc_Base!AB48</f>
        <v>12385351.862984465</v>
      </c>
      <c r="F57" s="49">
        <f>Calc_Base!AN48</f>
        <v>9313611.9876407105</v>
      </c>
      <c r="G57" s="49">
        <f>Calc_Base!AZ48</f>
        <v>6908094.710483606</v>
      </c>
      <c r="H57" s="49">
        <f>Calc_Base!BL48</f>
        <v>5968422.0594740147</v>
      </c>
      <c r="I57" s="45">
        <f>H57</f>
        <v>5968422.0594740147</v>
      </c>
    </row>
    <row r="59" spans="2:9" x14ac:dyDescent="0.35">
      <c r="B59" s="2" t="s">
        <v>321</v>
      </c>
    </row>
    <row r="60" spans="2:9" x14ac:dyDescent="0.35">
      <c r="B60" s="14" t="s">
        <v>281</v>
      </c>
      <c r="C60" s="15" t="s">
        <v>102</v>
      </c>
      <c r="D60" s="15" t="s">
        <v>141</v>
      </c>
      <c r="E60" s="15" t="s">
        <v>142</v>
      </c>
      <c r="F60" s="15" t="s">
        <v>143</v>
      </c>
      <c r="G60" s="15" t="s">
        <v>144</v>
      </c>
      <c r="H60" s="15" t="s">
        <v>145</v>
      </c>
      <c r="I60" s="15" t="s">
        <v>309</v>
      </c>
    </row>
    <row r="61" spans="2:9" x14ac:dyDescent="0.35">
      <c r="B61" s="3" t="s">
        <v>147</v>
      </c>
      <c r="C61" s="18" t="s">
        <v>111</v>
      </c>
      <c r="D61" s="5">
        <f>SUM(Calc_Upside!E10:P10)</f>
        <v>12895.53</v>
      </c>
      <c r="E61" s="5">
        <f>SUM(Calc_Upside!Q10:AB10)</f>
        <v>352143.47</v>
      </c>
      <c r="F61" s="5">
        <f>SUM(Calc_Upside!AC10:AN10)</f>
        <v>1119420.3774117096</v>
      </c>
      <c r="G61" s="5">
        <f>SUM(Calc_Upside!AO10:AZ10)</f>
        <v>2268960.6495323949</v>
      </c>
      <c r="H61" s="5">
        <f>SUM(Calc_Upside!BA10:BL10)</f>
        <v>3617307.1181702707</v>
      </c>
      <c r="I61" s="44">
        <f>SUM(D61:H61)</f>
        <v>7370727.1451143753</v>
      </c>
    </row>
    <row r="62" spans="2:9" x14ac:dyDescent="0.35">
      <c r="B62" s="3" t="s">
        <v>149</v>
      </c>
      <c r="C62" s="18" t="s">
        <v>111</v>
      </c>
      <c r="D62" s="5">
        <f>SUM(Calc_Upside!E11:P11)</f>
        <v>0</v>
      </c>
      <c r="E62" s="5">
        <f>SUM(Calc_Upside!Q11:AB11)</f>
        <v>483650.14000000007</v>
      </c>
      <c r="F62" s="5">
        <f>SUM(Calc_Upside!AC11:AN11)</f>
        <v>2117662.7383002727</v>
      </c>
      <c r="G62" s="5">
        <f>SUM(Calc_Upside!AO11:AZ11)</f>
        <v>5130332.4307615943</v>
      </c>
      <c r="H62" s="5">
        <f>SUM(Calc_Upside!BA11:BL11)</f>
        <v>9345000.2853005659</v>
      </c>
      <c r="I62" s="44">
        <f>SUM(D62:H62)</f>
        <v>17076645.594362434</v>
      </c>
    </row>
    <row r="63" spans="2:9" x14ac:dyDescent="0.35">
      <c r="B63" s="3" t="s">
        <v>150</v>
      </c>
      <c r="C63" s="18" t="s">
        <v>111</v>
      </c>
      <c r="D63" s="5">
        <f>SUM(Calc_Upside!E12:P12)</f>
        <v>0</v>
      </c>
      <c r="E63" s="5">
        <f>SUM(Calc_Upside!Q12:AB12)</f>
        <v>0</v>
      </c>
      <c r="F63" s="5">
        <f>SUM(Calc_Upside!AC12:AN12)</f>
        <v>264875.00000000006</v>
      </c>
      <c r="G63" s="5">
        <f>SUM(Calc_Upside!AO12:AZ12)</f>
        <v>980521.77983964444</v>
      </c>
      <c r="H63" s="5">
        <f>SUM(Calc_Upside!BA12:BL12)</f>
        <v>2050869.5592369016</v>
      </c>
      <c r="I63" s="44">
        <f>SUM(D63:H63)</f>
        <v>3296266.339076546</v>
      </c>
    </row>
    <row r="64" spans="2:9" x14ac:dyDescent="0.35">
      <c r="B64" s="4" t="s">
        <v>284</v>
      </c>
      <c r="C64" s="18" t="s">
        <v>111</v>
      </c>
      <c r="D64" s="49">
        <f>SUM(Calc_Upside!E13:P13)</f>
        <v>12895.53</v>
      </c>
      <c r="E64" s="49">
        <f>SUM(Calc_Upside!Q13:AB13)</f>
        <v>835793.61</v>
      </c>
      <c r="F64" s="49">
        <f>SUM(Calc_Upside!AC13:AN13)</f>
        <v>3501958.1157119819</v>
      </c>
      <c r="G64" s="49">
        <f>SUM(Calc_Upside!AO13:AZ13)</f>
        <v>8379814.8601336339</v>
      </c>
      <c r="H64" s="49">
        <f>SUM(Calc_Upside!BA13:BL13)</f>
        <v>15013176.962707737</v>
      </c>
      <c r="I64" s="45">
        <f>SUM(D64:H64)</f>
        <v>27743639.078553356</v>
      </c>
    </row>
    <row r="65" spans="2:9" x14ac:dyDescent="0.35">
      <c r="B65" s="3" t="s">
        <v>310</v>
      </c>
      <c r="C65" s="18" t="s">
        <v>117</v>
      </c>
      <c r="D65" s="50" t="s">
        <v>320</v>
      </c>
      <c r="E65" s="46">
        <f>IF(D64&gt;0,E64/D64-1,"n/a")</f>
        <v>63.812660666137802</v>
      </c>
      <c r="F65" s="46">
        <f>IF(E64&gt;0,F64/E64-1,"n/a")</f>
        <v>3.1899795282138879</v>
      </c>
      <c r="G65" s="46">
        <f>IF(F64&gt;0,G64/F64-1,"n/a")</f>
        <v>1.3928940847511928</v>
      </c>
      <c r="H65" s="46">
        <f>IF(G64&gt;0,H64/G64-1,"n/a")</f>
        <v>0.79158814523836862</v>
      </c>
      <c r="I65" s="47"/>
    </row>
    <row r="66" spans="2:9" x14ac:dyDescent="0.35">
      <c r="B66" s="4" t="s">
        <v>311</v>
      </c>
      <c r="C66" s="18" t="s">
        <v>111</v>
      </c>
      <c r="D66" s="49">
        <f>SUM(Calc_Upside!E21:P21)</f>
        <v>21617.254073609998</v>
      </c>
      <c r="E66" s="49">
        <f>SUM(Calc_Upside!Q21:AB21)</f>
        <v>380895.06189466</v>
      </c>
      <c r="F66" s="49">
        <f>SUM(Calc_Upside!AC21:AN21)</f>
        <v>1445516.196965768</v>
      </c>
      <c r="G66" s="49">
        <f>SUM(Calc_Upside!AO21:AZ21)</f>
        <v>3340403.9161531599</v>
      </c>
      <c r="H66" s="49">
        <f>SUM(Calc_Upside!BA21:BL21)</f>
        <v>5931841.4763190178</v>
      </c>
      <c r="I66" s="45">
        <f>SUM(D66:H66)</f>
        <v>11120273.905406214</v>
      </c>
    </row>
    <row r="67" spans="2:9" x14ac:dyDescent="0.35">
      <c r="B67" s="4" t="s">
        <v>286</v>
      </c>
      <c r="C67" s="18" t="s">
        <v>111</v>
      </c>
      <c r="D67" s="49">
        <f>SUM(Calc_Upside!E22:P22)</f>
        <v>-8721.7240736099993</v>
      </c>
      <c r="E67" s="49">
        <f>SUM(Calc_Upside!Q22:AB22)</f>
        <v>454898.54810533999</v>
      </c>
      <c r="F67" s="49">
        <f>SUM(Calc_Upside!AC22:AN22)</f>
        <v>2056441.9187462137</v>
      </c>
      <c r="G67" s="49">
        <f>SUM(Calc_Upside!AO22:AZ22)</f>
        <v>5039410.943980474</v>
      </c>
      <c r="H67" s="49">
        <f>SUM(Calc_Upside!BA22:BL22)</f>
        <v>9081335.4863887206</v>
      </c>
      <c r="I67" s="45">
        <f>SUM(D67:H67)</f>
        <v>16623365.173147138</v>
      </c>
    </row>
    <row r="68" spans="2:9" x14ac:dyDescent="0.35">
      <c r="B68" s="3" t="s">
        <v>312</v>
      </c>
      <c r="C68" s="18" t="s">
        <v>117</v>
      </c>
      <c r="D68" s="46">
        <f t="shared" ref="D68:I68" si="6">IF(D64&gt;0,D67/D64,"n/a")</f>
        <v>-0.67633699999999997</v>
      </c>
      <c r="E68" s="46">
        <f t="shared" si="6"/>
        <v>0.54427138789125229</v>
      </c>
      <c r="F68" s="46">
        <f t="shared" si="6"/>
        <v>0.58722630334147186</v>
      </c>
      <c r="G68" s="46">
        <f t="shared" si="6"/>
        <v>0.60137497404090734</v>
      </c>
      <c r="H68" s="46">
        <f t="shared" si="6"/>
        <v>0.60489099069080943</v>
      </c>
      <c r="I68" s="46">
        <f t="shared" si="6"/>
        <v>0.59917753132816254</v>
      </c>
    </row>
    <row r="69" spans="2:9" x14ac:dyDescent="0.35">
      <c r="B69" s="3" t="s">
        <v>243</v>
      </c>
      <c r="C69" s="18" t="s">
        <v>111</v>
      </c>
      <c r="D69" s="5">
        <f>SUM(Calc_Upside!E24:P24)</f>
        <v>190680.23</v>
      </c>
      <c r="E69" s="5">
        <f>SUM(Calc_Upside!Q24:AB24)</f>
        <v>1161728.6400000001</v>
      </c>
      <c r="F69" s="5">
        <f>SUM(Calc_Upside!AC24:AN24)</f>
        <v>1806897.8999999997</v>
      </c>
      <c r="G69" s="5">
        <f>SUM(Calc_Upside!AO24:AZ24)</f>
        <v>2295594.56</v>
      </c>
      <c r="H69" s="5">
        <f>SUM(Calc_Upside!BA24:BL24)</f>
        <v>2377941.9600000004</v>
      </c>
      <c r="I69" s="44">
        <f>SUM(D69:H69)</f>
        <v>7832843.290000001</v>
      </c>
    </row>
    <row r="70" spans="2:9" x14ac:dyDescent="0.35">
      <c r="B70" s="3" t="s">
        <v>287</v>
      </c>
      <c r="C70" s="18" t="s">
        <v>111</v>
      </c>
      <c r="D70" s="5">
        <f>SUM(Calc_Upside!E26:P26)</f>
        <v>820315.54488392989</v>
      </c>
      <c r="E70" s="5">
        <f>SUM(Calc_Upside!Q26:AB26)</f>
        <v>1456398.44415609</v>
      </c>
      <c r="F70" s="5">
        <f>SUM(Calc_Upside!AC26:AN26)</f>
        <v>1685923.9427227944</v>
      </c>
      <c r="G70" s="5">
        <f>SUM(Calc_Upside!AO26:AZ26)</f>
        <v>1778822.2801696071</v>
      </c>
      <c r="H70" s="5">
        <f>SUM(Calc_Upside!BA26:BL26)</f>
        <v>1876839.5324628658</v>
      </c>
      <c r="I70" s="44">
        <f>SUM(D70:H70)</f>
        <v>7618299.7443952877</v>
      </c>
    </row>
    <row r="71" spans="2:9" x14ac:dyDescent="0.35">
      <c r="B71" s="3" t="s">
        <v>288</v>
      </c>
      <c r="C71" s="18" t="s">
        <v>111</v>
      </c>
      <c r="D71" s="5">
        <f>SUM(Calc_Upside!E27:P27)</f>
        <v>516672.06999999995</v>
      </c>
      <c r="E71" s="5">
        <f>SUM(Calc_Upside!Q27:AB27)</f>
        <v>684165.69000000006</v>
      </c>
      <c r="F71" s="5">
        <f>SUM(Calc_Upside!AC27:AN27)</f>
        <v>552528.9</v>
      </c>
      <c r="G71" s="5">
        <f>SUM(Calc_Upside!AO27:AZ27)</f>
        <v>552528.9</v>
      </c>
      <c r="H71" s="5">
        <f>SUM(Calc_Upside!BA27:BL27)</f>
        <v>552528.9</v>
      </c>
      <c r="I71" s="44">
        <f>SUM(D71:H71)</f>
        <v>2858424.46</v>
      </c>
    </row>
    <row r="72" spans="2:9" x14ac:dyDescent="0.35">
      <c r="B72" s="4" t="s">
        <v>289</v>
      </c>
      <c r="C72" s="18" t="s">
        <v>111</v>
      </c>
      <c r="D72" s="49">
        <f>SUM(Calc_Upside!E28:P28)</f>
        <v>-1536389.56895754</v>
      </c>
      <c r="E72" s="49">
        <f>SUM(Calc_Upside!Q28:AB28)</f>
        <v>-2847394.2260507499</v>
      </c>
      <c r="F72" s="49">
        <f>SUM(Calc_Upside!AC28:AN28)</f>
        <v>-1988908.8239765812</v>
      </c>
      <c r="G72" s="49">
        <f>SUM(Calc_Upside!AO28:AZ28)</f>
        <v>412465.20381086634</v>
      </c>
      <c r="H72" s="49">
        <f>SUM(Calc_Upside!BA28:BL28)</f>
        <v>4274025.0939258551</v>
      </c>
      <c r="I72" s="45">
        <f>SUM(D72:H72)</f>
        <v>-1686202.3212481495</v>
      </c>
    </row>
    <row r="73" spans="2:9" x14ac:dyDescent="0.35">
      <c r="B73" s="3" t="s">
        <v>313</v>
      </c>
      <c r="C73" s="18" t="s">
        <v>117</v>
      </c>
      <c r="D73" s="46">
        <f t="shared" ref="D73:I73" si="7">IF(D64&gt;0,D72/D64,"n/a")</f>
        <v>-119.1412504144878</v>
      </c>
      <c r="E73" s="46">
        <f t="shared" si="7"/>
        <v>-3.4068150222526228</v>
      </c>
      <c r="F73" s="46">
        <f t="shared" si="7"/>
        <v>-0.56794192227859264</v>
      </c>
      <c r="G73" s="46">
        <f t="shared" si="7"/>
        <v>4.9221278834349895E-2</v>
      </c>
      <c r="H73" s="46">
        <f t="shared" si="7"/>
        <v>0.28468492075610646</v>
      </c>
      <c r="I73" s="46">
        <f t="shared" si="7"/>
        <v>-6.0777979286489245E-2</v>
      </c>
    </row>
    <row r="74" spans="2:9" x14ac:dyDescent="0.35">
      <c r="B74" s="3" t="s">
        <v>290</v>
      </c>
      <c r="C74" s="18" t="s">
        <v>111</v>
      </c>
      <c r="D74" s="5">
        <f>SUM(Calc_Upside!E33:P33)</f>
        <v>5868.0555555555557</v>
      </c>
      <c r="E74" s="5">
        <f>SUM(Calc_Upside!Q33:AB33)</f>
        <v>12187.5</v>
      </c>
      <c r="F74" s="5">
        <f>SUM(Calc_Upside!AC33:AN33)</f>
        <v>13333.333333333334</v>
      </c>
      <c r="G74" s="5">
        <f>SUM(Calc_Upside!AO33:AZ33)</f>
        <v>7465.2777777777765</v>
      </c>
      <c r="H74" s="5">
        <f>SUM(Calc_Upside!BA33:BL33)</f>
        <v>7013.8888888888932</v>
      </c>
      <c r="I74" s="44">
        <f>SUM(D74:H74)</f>
        <v>45868.055555555555</v>
      </c>
    </row>
    <row r="75" spans="2:9" x14ac:dyDescent="0.35">
      <c r="B75" s="3" t="s">
        <v>292</v>
      </c>
      <c r="C75" s="18" t="s">
        <v>111</v>
      </c>
      <c r="D75" s="5">
        <f>SUM(Calc_Upside!E35:P35)</f>
        <v>26199.116085405753</v>
      </c>
      <c r="E75" s="5">
        <f>SUM(Calc_Upside!Q35:AB35)</f>
        <v>107461.39123201834</v>
      </c>
      <c r="F75" s="5">
        <f>SUM(Calc_Upside!AC35:AN35)</f>
        <v>175455.79891002769</v>
      </c>
      <c r="G75" s="5">
        <f>SUM(Calc_Upside!AO35:AZ35)</f>
        <v>163586.58241002588</v>
      </c>
      <c r="H75" s="5">
        <f>SUM(Calc_Upside!BA35:BL35)</f>
        <v>197203.9440974773</v>
      </c>
      <c r="I75" s="44">
        <f>SUM(D75:H75)</f>
        <v>669906.83273495501</v>
      </c>
    </row>
    <row r="76" spans="2:9" x14ac:dyDescent="0.35">
      <c r="B76" s="3" t="s">
        <v>293</v>
      </c>
      <c r="C76" s="18" t="s">
        <v>111</v>
      </c>
      <c r="D76" s="5">
        <f>SUM(Calc_Upside!E36:P36)</f>
        <v>-1516058.5084276898</v>
      </c>
      <c r="E76" s="5">
        <f>SUM(Calc_Upside!Q36:AB36)</f>
        <v>-2752120.3348187315</v>
      </c>
      <c r="F76" s="5">
        <f>SUM(Calc_Upside!AC36:AN36)</f>
        <v>-1826786.3583998866</v>
      </c>
      <c r="G76" s="5">
        <f>SUM(Calc_Upside!AO36:AZ36)</f>
        <v>568586.50844311446</v>
      </c>
      <c r="H76" s="5">
        <f>SUM(Calc_Upside!BA36:BL36)</f>
        <v>4464215.1491344431</v>
      </c>
      <c r="I76" s="44">
        <f>SUM(D76:H76)</f>
        <v>-1062163.54406875</v>
      </c>
    </row>
    <row r="77" spans="2:9" x14ac:dyDescent="0.35">
      <c r="B77" s="3" t="s">
        <v>314</v>
      </c>
      <c r="C77" s="18" t="s">
        <v>111</v>
      </c>
      <c r="D77" s="5">
        <f>SUM(Calc_Upside!E40:P40)</f>
        <v>0</v>
      </c>
      <c r="E77" s="5">
        <f>SUM(Calc_Upside!Q40:AB40)</f>
        <v>0</v>
      </c>
      <c r="F77" s="5">
        <f>SUM(Calc_Upside!AC40:AN40)</f>
        <v>0</v>
      </c>
      <c r="G77" s="5">
        <f>SUM(Calc_Upside!AO40:AZ40)</f>
        <v>0</v>
      </c>
      <c r="H77" s="5">
        <f>SUM(Calc_Upside!BA40:BL40)</f>
        <v>0</v>
      </c>
      <c r="I77" s="44">
        <f>SUM(D77:H77)</f>
        <v>0</v>
      </c>
    </row>
    <row r="78" spans="2:9" x14ac:dyDescent="0.35">
      <c r="B78" s="4" t="s">
        <v>295</v>
      </c>
      <c r="C78" s="18" t="s">
        <v>111</v>
      </c>
      <c r="D78" s="49">
        <f>SUM(Calc_Upside!E41:P41)</f>
        <v>-1516058.5084276898</v>
      </c>
      <c r="E78" s="49">
        <f>SUM(Calc_Upside!Q41:AB41)</f>
        <v>-2752120.3348187315</v>
      </c>
      <c r="F78" s="49">
        <f>SUM(Calc_Upside!AC41:AN41)</f>
        <v>-1826786.3583998866</v>
      </c>
      <c r="G78" s="49">
        <f>SUM(Calc_Upside!AO41:AZ41)</f>
        <v>568586.50844311446</v>
      </c>
      <c r="H78" s="49">
        <f>SUM(Calc_Upside!BA41:BL41)</f>
        <v>4464215.1491344431</v>
      </c>
      <c r="I78" s="45">
        <f>SUM(D78:H78)</f>
        <v>-1062163.54406875</v>
      </c>
    </row>
    <row r="79" spans="2:9" x14ac:dyDescent="0.35">
      <c r="B79" s="3" t="s">
        <v>315</v>
      </c>
      <c r="C79" s="18" t="s">
        <v>160</v>
      </c>
      <c r="D79" s="51">
        <f>AVERAGE(Calc_Upside!E25:P25)</f>
        <v>8.6666670000000003</v>
      </c>
      <c r="E79" s="51">
        <f>AVERAGE(Calc_Upside!Q25:AB25)</f>
        <v>14.583333000000001</v>
      </c>
      <c r="F79" s="51">
        <f>AVERAGE(Calc_Upside!AC25:AN25)</f>
        <v>16</v>
      </c>
      <c r="G79" s="51">
        <f>AVERAGE(Calc_Upside!AO25:AZ25)</f>
        <v>16</v>
      </c>
      <c r="H79" s="51">
        <f>AVERAGE(Calc_Upside!BA25:BL25)</f>
        <v>16</v>
      </c>
      <c r="I79" s="48">
        <f>AVERAGE(D79:H79)</f>
        <v>14.25</v>
      </c>
    </row>
    <row r="80" spans="2:9" x14ac:dyDescent="0.35">
      <c r="B80" s="3" t="s">
        <v>316</v>
      </c>
      <c r="C80" s="18" t="s">
        <v>111</v>
      </c>
      <c r="D80" s="5">
        <f>SUM(Calc_Upside!E43:P43)</f>
        <v>-1510190.4528721343</v>
      </c>
      <c r="E80" s="5">
        <f>SUM(Calc_Upside!Q43:AB43)</f>
        <v>-2739932.8348187311</v>
      </c>
      <c r="F80" s="5">
        <f>SUM(Calc_Upside!AC43:AN43)</f>
        <v>-1813453.0250665536</v>
      </c>
      <c r="G80" s="5">
        <f>SUM(Calc_Upside!AO43:AZ43)</f>
        <v>576051.78622089222</v>
      </c>
      <c r="H80" s="5">
        <f>SUM(Calc_Upside!BA43:BL43)</f>
        <v>4471229.0380233321</v>
      </c>
      <c r="I80" s="44">
        <f>SUM(D80:H80)</f>
        <v>-1016295.488513194</v>
      </c>
    </row>
    <row r="81" spans="2:9" x14ac:dyDescent="0.35">
      <c r="B81" s="3" t="s">
        <v>317</v>
      </c>
      <c r="C81" s="18" t="s">
        <v>111</v>
      </c>
      <c r="D81" s="5">
        <f>SUM(Calc_Upside!E30:P30)</f>
        <v>32499.999999999996</v>
      </c>
      <c r="E81" s="5">
        <f>SUM(Calc_Upside!Q30:AB30)</f>
        <v>7500</v>
      </c>
      <c r="F81" s="5">
        <f>SUM(Calc_Upside!AC30:AN30)</f>
        <v>0</v>
      </c>
      <c r="G81" s="5">
        <f>SUM(Calc_Upside!AO30:AZ30)</f>
        <v>0</v>
      </c>
      <c r="H81" s="5">
        <f>SUM(Calc_Upside!BA30:BL30)</f>
        <v>32499.999999999996</v>
      </c>
      <c r="I81" s="44">
        <f>SUM(D81:H81)</f>
        <v>72500</v>
      </c>
    </row>
    <row r="82" spans="2:9" x14ac:dyDescent="0.35">
      <c r="B82" s="3" t="s">
        <v>299</v>
      </c>
      <c r="C82" s="18" t="s">
        <v>111</v>
      </c>
      <c r="D82" s="5">
        <f>SUM(Calc_Upside!E45:P45)</f>
        <v>5000000</v>
      </c>
      <c r="E82" s="5">
        <f>SUM(Calc_Upside!Q45:AB45)</f>
        <v>12000000</v>
      </c>
      <c r="F82" s="5">
        <f>SUM(Calc_Upside!AC45:AN45)</f>
        <v>0</v>
      </c>
      <c r="G82" s="5">
        <f>SUM(Calc_Upside!AO45:AZ45)</f>
        <v>0</v>
      </c>
      <c r="H82" s="5">
        <f>SUM(Calc_Upside!BA45:BL45)</f>
        <v>0</v>
      </c>
      <c r="I82" s="44">
        <f>SUM(D82:H82)</f>
        <v>17000000</v>
      </c>
    </row>
    <row r="83" spans="2:9" x14ac:dyDescent="0.35">
      <c r="B83" s="3" t="s">
        <v>300</v>
      </c>
      <c r="C83" s="18" t="s">
        <v>111</v>
      </c>
      <c r="D83" s="5">
        <f>SUM(Calc_Upside!E46:P46)</f>
        <v>3457309.5471278653</v>
      </c>
      <c r="E83" s="5">
        <f>SUM(Calc_Upside!Q46:AB46)</f>
        <v>9252567.165181268</v>
      </c>
      <c r="F83" s="5">
        <f>SUM(Calc_Upside!AC46:AN46)</f>
        <v>-1813453.0250665536</v>
      </c>
      <c r="G83" s="5">
        <f>SUM(Calc_Upside!AO46:AZ46)</f>
        <v>576051.78622089222</v>
      </c>
      <c r="H83" s="5">
        <f>SUM(Calc_Upside!BA46:BL46)</f>
        <v>4438729.0380233321</v>
      </c>
      <c r="I83" s="44">
        <f>SUM(D83:H83)</f>
        <v>15911204.511486802</v>
      </c>
    </row>
    <row r="84" spans="2:9" x14ac:dyDescent="0.35">
      <c r="B84" s="4" t="s">
        <v>318</v>
      </c>
      <c r="C84" s="18" t="s">
        <v>111</v>
      </c>
      <c r="D84" s="49">
        <f>Calc_Upside!P48</f>
        <v>3482309.5471278653</v>
      </c>
      <c r="E84" s="49">
        <f>Calc_Upside!AB48</f>
        <v>12734876.712309133</v>
      </c>
      <c r="F84" s="49">
        <f>Calc_Upside!AN48</f>
        <v>10921423.687242581</v>
      </c>
      <c r="G84" s="49">
        <f>Calc_Upside!AZ48</f>
        <v>11497475.473463474</v>
      </c>
      <c r="H84" s="49">
        <f>Calc_Upside!BL48</f>
        <v>15936204.511486808</v>
      </c>
      <c r="I84" s="45">
        <f>H84</f>
        <v>15936204.511486808</v>
      </c>
    </row>
    <row r="86" spans="2:9" x14ac:dyDescent="0.35">
      <c r="B86" s="2" t="s">
        <v>322</v>
      </c>
    </row>
    <row r="87" spans="2:9" x14ac:dyDescent="0.35">
      <c r="B87" s="14" t="s">
        <v>281</v>
      </c>
      <c r="C87" s="15" t="s">
        <v>102</v>
      </c>
      <c r="D87" s="15" t="s">
        <v>141</v>
      </c>
      <c r="E87" s="15" t="s">
        <v>142</v>
      </c>
      <c r="F87" s="15" t="s">
        <v>143</v>
      </c>
      <c r="G87" s="15" t="s">
        <v>144</v>
      </c>
      <c r="H87" s="15" t="s">
        <v>145</v>
      </c>
      <c r="I87" s="15" t="s">
        <v>309</v>
      </c>
    </row>
    <row r="88" spans="2:9" x14ac:dyDescent="0.35">
      <c r="B88" s="3" t="s">
        <v>147</v>
      </c>
      <c r="C88" s="18" t="s">
        <v>111</v>
      </c>
      <c r="D88" s="5">
        <f>SUM(Calc_Downside!E10:P10)</f>
        <v>1807.79</v>
      </c>
      <c r="E88" s="5">
        <f>SUM(Calc_Downside!Q10:AB10)</f>
        <v>41455.53</v>
      </c>
      <c r="F88" s="5">
        <f>SUM(Calc_Downside!AC10:AN10)</f>
        <v>117514.74764230769</v>
      </c>
      <c r="G88" s="5">
        <f>SUM(Calc_Downside!AO10:AZ10)</f>
        <v>214141.10240823776</v>
      </c>
      <c r="H88" s="5">
        <f>SUM(Calc_Downside!BA10:BL10)</f>
        <v>304832.76692907995</v>
      </c>
      <c r="I88" s="44">
        <f>SUM(D88:H88)</f>
        <v>679751.93697962537</v>
      </c>
    </row>
    <row r="89" spans="2:9" x14ac:dyDescent="0.35">
      <c r="B89" s="3" t="s">
        <v>149</v>
      </c>
      <c r="C89" s="18" t="s">
        <v>111</v>
      </c>
      <c r="D89" s="5">
        <f>SUM(Calc_Downside!E11:P11)</f>
        <v>0</v>
      </c>
      <c r="E89" s="5">
        <f>SUM(Calc_Downside!Q11:AB11)</f>
        <v>20634.97</v>
      </c>
      <c r="F89" s="5">
        <f>SUM(Calc_Downside!AC11:AN11)</f>
        <v>164258.02218495842</v>
      </c>
      <c r="G89" s="5">
        <f>SUM(Calc_Downside!AO11:AZ11)</f>
        <v>385522.86974961462</v>
      </c>
      <c r="H89" s="5">
        <f>SUM(Calc_Downside!BA11:BL11)</f>
        <v>652693.84985090303</v>
      </c>
      <c r="I89" s="44">
        <f>SUM(D89:H89)</f>
        <v>1223109.7117854762</v>
      </c>
    </row>
    <row r="90" spans="2:9" x14ac:dyDescent="0.35">
      <c r="B90" s="3" t="s">
        <v>150</v>
      </c>
      <c r="C90" s="18" t="s">
        <v>111</v>
      </c>
      <c r="D90" s="5">
        <f>SUM(Calc_Downside!E12:P12)</f>
        <v>0</v>
      </c>
      <c r="E90" s="5">
        <f>SUM(Calc_Downside!Q12:AB12)</f>
        <v>0</v>
      </c>
      <c r="F90" s="5">
        <f>SUM(Calc_Downside!AC12:AN12)</f>
        <v>76699.999999999985</v>
      </c>
      <c r="G90" s="5">
        <f>SUM(Calc_Downside!AO12:AZ12)</f>
        <v>282294.37538742146</v>
      </c>
      <c r="H90" s="5">
        <f>SUM(Calc_Downside!BA12:BL12)</f>
        <v>588039.81081590522</v>
      </c>
      <c r="I90" s="44">
        <f>SUM(D90:H90)</f>
        <v>947034.18620332668</v>
      </c>
    </row>
    <row r="91" spans="2:9" x14ac:dyDescent="0.35">
      <c r="B91" s="4" t="s">
        <v>284</v>
      </c>
      <c r="C91" s="18" t="s">
        <v>111</v>
      </c>
      <c r="D91" s="49">
        <f>SUM(Calc_Downside!E13:P13)</f>
        <v>1807.79</v>
      </c>
      <c r="E91" s="49">
        <f>SUM(Calc_Downside!Q13:AB13)</f>
        <v>62090.5</v>
      </c>
      <c r="F91" s="49">
        <f>SUM(Calc_Downside!AC13:AN13)</f>
        <v>358472.76982726611</v>
      </c>
      <c r="G91" s="49">
        <f>SUM(Calc_Downside!AO13:AZ13)</f>
        <v>881958.34754527372</v>
      </c>
      <c r="H91" s="49">
        <f>SUM(Calc_Downside!BA13:BL13)</f>
        <v>1545566.427595888</v>
      </c>
      <c r="I91" s="45">
        <f>SUM(D91:H91)</f>
        <v>2849895.8349684281</v>
      </c>
    </row>
    <row r="92" spans="2:9" x14ac:dyDescent="0.35">
      <c r="B92" s="3" t="s">
        <v>310</v>
      </c>
      <c r="C92" s="18" t="s">
        <v>117</v>
      </c>
      <c r="D92" s="50" t="s">
        <v>320</v>
      </c>
      <c r="E92" s="46">
        <f>IF(D91&gt;0,E91/D91-1,"n/a")</f>
        <v>33.346080020356347</v>
      </c>
      <c r="F92" s="46">
        <f>IF(E91&gt;0,F91/E91-1,"n/a")</f>
        <v>4.7733915788609549</v>
      </c>
      <c r="G92" s="46">
        <f>IF(F91&gt;0,G91/F91-1,"n/a")</f>
        <v>1.4603217364885337</v>
      </c>
      <c r="H92" s="46">
        <f>IF(G91&gt;0,H91/G91-1,"n/a")</f>
        <v>0.75242564674126999</v>
      </c>
      <c r="I92" s="47"/>
    </row>
    <row r="93" spans="2:9" x14ac:dyDescent="0.35">
      <c r="B93" s="4" t="s">
        <v>311</v>
      </c>
      <c r="C93" s="18" t="s">
        <v>111</v>
      </c>
      <c r="D93" s="49">
        <f>SUM(Calc_Downside!E21:P21)</f>
        <v>18218.482789349997</v>
      </c>
      <c r="E93" s="49">
        <f>SUM(Calc_Downside!Q21:AB21)</f>
        <v>54597.486518160003</v>
      </c>
      <c r="F93" s="49">
        <f>SUM(Calc_Downside!AC21:AN21)</f>
        <v>161684.37012538809</v>
      </c>
      <c r="G93" s="49">
        <f>SUM(Calc_Downside!AO21:AZ21)</f>
        <v>319041.64718076884</v>
      </c>
      <c r="H93" s="49">
        <f>SUM(Calc_Downside!BA21:BL21)</f>
        <v>501512.95289213612</v>
      </c>
      <c r="I93" s="45">
        <f>SUM(D93:H93)</f>
        <v>1055054.9395058029</v>
      </c>
    </row>
    <row r="94" spans="2:9" x14ac:dyDescent="0.35">
      <c r="B94" s="4" t="s">
        <v>286</v>
      </c>
      <c r="C94" s="18" t="s">
        <v>111</v>
      </c>
      <c r="D94" s="49">
        <f>SUM(Calc_Downside!E22:P22)</f>
        <v>-16410.692789349996</v>
      </c>
      <c r="E94" s="49">
        <f>SUM(Calc_Downside!Q22:AB22)</f>
        <v>7493.013481840002</v>
      </c>
      <c r="F94" s="49">
        <f>SUM(Calc_Downside!AC22:AN22)</f>
        <v>196788.39970187799</v>
      </c>
      <c r="G94" s="49">
        <f>SUM(Calc_Downside!AO22:AZ22)</f>
        <v>562916.70036450494</v>
      </c>
      <c r="H94" s="49">
        <f>SUM(Calc_Downside!BA22:BL22)</f>
        <v>1044053.474703752</v>
      </c>
      <c r="I94" s="45">
        <f>SUM(D94:H94)</f>
        <v>1794840.895462625</v>
      </c>
    </row>
    <row r="95" spans="2:9" x14ac:dyDescent="0.35">
      <c r="B95" s="3" t="s">
        <v>312</v>
      </c>
      <c r="C95" s="18" t="s">
        <v>117</v>
      </c>
      <c r="D95" s="46">
        <f t="shared" ref="D95:I95" si="8">IF(D91&gt;0,D94/D91,"n/a")</f>
        <v>-9.0777649999999976</v>
      </c>
      <c r="E95" s="46">
        <f t="shared" si="8"/>
        <v>0.12067890388771232</v>
      </c>
      <c r="F95" s="46">
        <f t="shared" si="8"/>
        <v>0.5489633139964929</v>
      </c>
      <c r="G95" s="46">
        <f t="shared" si="8"/>
        <v>0.63825769315665859</v>
      </c>
      <c r="H95" s="46">
        <f t="shared" si="8"/>
        <v>0.67551510958203587</v>
      </c>
      <c r="I95" s="46">
        <f t="shared" si="8"/>
        <v>0.62979175359316553</v>
      </c>
    </row>
    <row r="96" spans="2:9" x14ac:dyDescent="0.35">
      <c r="B96" s="3" t="s">
        <v>243</v>
      </c>
      <c r="C96" s="18" t="s">
        <v>111</v>
      </c>
      <c r="D96" s="5">
        <f>SUM(Calc_Downside!E24:P24)</f>
        <v>190077.6</v>
      </c>
      <c r="E96" s="5">
        <f>SUM(Calc_Downside!Q24:AB24)</f>
        <v>1142163.25</v>
      </c>
      <c r="F96" s="5">
        <f>SUM(Calc_Downside!AC24:AN24)</f>
        <v>1746310.33</v>
      </c>
      <c r="G96" s="5">
        <f>SUM(Calc_Downside!AO24:AZ24)</f>
        <v>2172042.5099999998</v>
      </c>
      <c r="H96" s="5">
        <f>SUM(Calc_Downside!BA24:BL24)</f>
        <v>2178023.7399999998</v>
      </c>
      <c r="I96" s="44">
        <f>SUM(D96:H96)</f>
        <v>7428617.4299999997</v>
      </c>
    </row>
    <row r="97" spans="2:9" x14ac:dyDescent="0.35">
      <c r="B97" s="3" t="s">
        <v>287</v>
      </c>
      <c r="C97" s="18" t="s">
        <v>111</v>
      </c>
      <c r="D97" s="5">
        <f>SUM(Calc_Downside!E26:P26)</f>
        <v>820315.54488392989</v>
      </c>
      <c r="E97" s="5">
        <f>SUM(Calc_Downside!Q26:AB26)</f>
        <v>1456398.44415609</v>
      </c>
      <c r="F97" s="5">
        <f>SUM(Calc_Downside!AC26:AN26)</f>
        <v>1685923.9427227944</v>
      </c>
      <c r="G97" s="5">
        <f>SUM(Calc_Downside!AO26:AZ26)</f>
        <v>1778822.2801696071</v>
      </c>
      <c r="H97" s="5">
        <f>SUM(Calc_Downside!BA26:BL26)</f>
        <v>1876839.5324628658</v>
      </c>
      <c r="I97" s="44">
        <f>SUM(D97:H97)</f>
        <v>7618299.7443952877</v>
      </c>
    </row>
    <row r="98" spans="2:9" x14ac:dyDescent="0.35">
      <c r="B98" s="3" t="s">
        <v>288</v>
      </c>
      <c r="C98" s="18" t="s">
        <v>111</v>
      </c>
      <c r="D98" s="5">
        <f>SUM(Calc_Downside!E27:P27)</f>
        <v>516672.06999999995</v>
      </c>
      <c r="E98" s="5">
        <f>SUM(Calc_Downside!Q27:AB27)</f>
        <v>795328.19</v>
      </c>
      <c r="F98" s="5">
        <f>SUM(Calc_Downside!AC27:AN27)</f>
        <v>724728.89999999991</v>
      </c>
      <c r="G98" s="5">
        <f>SUM(Calc_Downside!AO27:AZ27)</f>
        <v>724728.89999999991</v>
      </c>
      <c r="H98" s="5">
        <f>SUM(Calc_Downside!BA27:BL27)</f>
        <v>724728.89999999991</v>
      </c>
      <c r="I98" s="44">
        <f>SUM(D98:H98)</f>
        <v>3486186.9599999995</v>
      </c>
    </row>
    <row r="99" spans="2:9" x14ac:dyDescent="0.35">
      <c r="B99" s="4" t="s">
        <v>289</v>
      </c>
      <c r="C99" s="18" t="s">
        <v>111</v>
      </c>
      <c r="D99" s="49">
        <f>SUM(Calc_Downside!E28:P28)</f>
        <v>-1543475.90767328</v>
      </c>
      <c r="E99" s="49">
        <f>SUM(Calc_Downside!Q28:AB28)</f>
        <v>-3386396.8706742497</v>
      </c>
      <c r="F99" s="49">
        <f>SUM(Calc_Downside!AC28:AN28)</f>
        <v>-3960174.7730209171</v>
      </c>
      <c r="G99" s="49">
        <f>SUM(Calc_Downside!AO28:AZ28)</f>
        <v>-4112676.9898051019</v>
      </c>
      <c r="H99" s="49">
        <f>SUM(Calc_Downside!BA28:BL28)</f>
        <v>-3735538.6977591142</v>
      </c>
      <c r="I99" s="45">
        <f>SUM(D99:H99)</f>
        <v>-16738263.238932664</v>
      </c>
    </row>
    <row r="100" spans="2:9" x14ac:dyDescent="0.35">
      <c r="B100" s="3" t="s">
        <v>313</v>
      </c>
      <c r="C100" s="18" t="s">
        <v>117</v>
      </c>
      <c r="D100" s="46">
        <f t="shared" ref="D100:I100" si="9">IF(D91&gt;0,D99/D91,"n/a")</f>
        <v>-853.79159508199518</v>
      </c>
      <c r="E100" s="46">
        <f t="shared" si="9"/>
        <v>-54.539694005914747</v>
      </c>
      <c r="F100" s="46">
        <f t="shared" si="9"/>
        <v>-11.047351727522203</v>
      </c>
      <c r="G100" s="46">
        <f t="shared" si="9"/>
        <v>-4.6631192972454807</v>
      </c>
      <c r="H100" s="46">
        <f t="shared" si="9"/>
        <v>-2.416938302399402</v>
      </c>
      <c r="I100" s="46">
        <f t="shared" si="9"/>
        <v>-5.8732894843218348</v>
      </c>
    </row>
    <row r="101" spans="2:9" x14ac:dyDescent="0.35">
      <c r="B101" s="3" t="s">
        <v>290</v>
      </c>
      <c r="C101" s="18" t="s">
        <v>111</v>
      </c>
      <c r="D101" s="5">
        <f>SUM(Calc_Downside!E33:P33)</f>
        <v>5868.0555555555557</v>
      </c>
      <c r="E101" s="5">
        <f>SUM(Calc_Downside!Q33:AB33)</f>
        <v>12187.5</v>
      </c>
      <c r="F101" s="5">
        <f>SUM(Calc_Downside!AC33:AN33)</f>
        <v>13333.333333333334</v>
      </c>
      <c r="G101" s="5">
        <f>SUM(Calc_Downside!AO33:AZ33)</f>
        <v>7465.2777777777765</v>
      </c>
      <c r="H101" s="5">
        <f>SUM(Calc_Downside!BA33:BL33)</f>
        <v>7013.8888888888932</v>
      </c>
      <c r="I101" s="44">
        <f>SUM(D101:H101)</f>
        <v>45868.055555555555</v>
      </c>
    </row>
    <row r="102" spans="2:9" x14ac:dyDescent="0.35">
      <c r="B102" s="3" t="s">
        <v>292</v>
      </c>
      <c r="C102" s="18" t="s">
        <v>111</v>
      </c>
      <c r="D102" s="5">
        <f>SUM(Calc_Downside!E35:P35)</f>
        <v>26192.530976795329</v>
      </c>
      <c r="E102" s="5">
        <f>SUM(Calc_Downside!Q35:AB35)</f>
        <v>105925.22509652676</v>
      </c>
      <c r="F102" s="5">
        <f>SUM(Calc_Downside!AC35:AN35)</f>
        <v>156395.36637049369</v>
      </c>
      <c r="G102" s="5">
        <f>SUM(Calc_Downside!AO35:AZ35)</f>
        <v>97707.424771191509</v>
      </c>
      <c r="H102" s="5">
        <f>SUM(Calc_Downside!BA35:BL35)</f>
        <v>39373.518059652117</v>
      </c>
      <c r="I102" s="44">
        <f>SUM(D102:H102)</f>
        <v>425594.06527465943</v>
      </c>
    </row>
    <row r="103" spans="2:9" x14ac:dyDescent="0.35">
      <c r="B103" s="3" t="s">
        <v>293</v>
      </c>
      <c r="C103" s="18" t="s">
        <v>111</v>
      </c>
      <c r="D103" s="5">
        <f>SUM(Calc_Downside!E36:P36)</f>
        <v>-1523151.4322520401</v>
      </c>
      <c r="E103" s="5">
        <f>SUM(Calc_Downside!Q36:AB36)</f>
        <v>-3292659.1455777227</v>
      </c>
      <c r="F103" s="5">
        <f>SUM(Calc_Downside!AC36:AN36)</f>
        <v>-3817112.739983757</v>
      </c>
      <c r="G103" s="5">
        <f>SUM(Calc_Downside!AO36:AZ36)</f>
        <v>-4022434.8428116883</v>
      </c>
      <c r="H103" s="5">
        <f>SUM(Calc_Downside!BA36:BL36)</f>
        <v>-3703179.0685883504</v>
      </c>
      <c r="I103" s="44">
        <f>SUM(D103:H103)</f>
        <v>-16358537.229213558</v>
      </c>
    </row>
    <row r="104" spans="2:9" x14ac:dyDescent="0.35">
      <c r="B104" s="3" t="s">
        <v>314</v>
      </c>
      <c r="C104" s="18" t="s">
        <v>111</v>
      </c>
      <c r="D104" s="5">
        <f>SUM(Calc_Downside!E40:P40)</f>
        <v>0</v>
      </c>
      <c r="E104" s="5">
        <f>SUM(Calc_Downside!Q40:AB40)</f>
        <v>0</v>
      </c>
      <c r="F104" s="5">
        <f>SUM(Calc_Downside!AC40:AN40)</f>
        <v>0</v>
      </c>
      <c r="G104" s="5">
        <f>SUM(Calc_Downside!AO40:AZ40)</f>
        <v>0</v>
      </c>
      <c r="H104" s="5">
        <f>SUM(Calc_Downside!BA40:BL40)</f>
        <v>0</v>
      </c>
      <c r="I104" s="44">
        <f>SUM(D104:H104)</f>
        <v>0</v>
      </c>
    </row>
    <row r="105" spans="2:9" x14ac:dyDescent="0.35">
      <c r="B105" s="4" t="s">
        <v>295</v>
      </c>
      <c r="C105" s="18" t="s">
        <v>111</v>
      </c>
      <c r="D105" s="49">
        <f>SUM(Calc_Downside!E41:P41)</f>
        <v>-1523151.4322520401</v>
      </c>
      <c r="E105" s="49">
        <f>SUM(Calc_Downside!Q41:AB41)</f>
        <v>-3292659.1455777227</v>
      </c>
      <c r="F105" s="49">
        <f>SUM(Calc_Downside!AC41:AN41)</f>
        <v>-3817112.739983757</v>
      </c>
      <c r="G105" s="49">
        <f>SUM(Calc_Downside!AO41:AZ41)</f>
        <v>-4022434.8428116883</v>
      </c>
      <c r="H105" s="49">
        <f>SUM(Calc_Downside!BA41:BL41)</f>
        <v>-3703179.0685883504</v>
      </c>
      <c r="I105" s="45">
        <f>SUM(D105:H105)</f>
        <v>-16358537.229213558</v>
      </c>
    </row>
    <row r="106" spans="2:9" x14ac:dyDescent="0.35">
      <c r="B106" s="3" t="s">
        <v>315</v>
      </c>
      <c r="C106" s="18" t="s">
        <v>160</v>
      </c>
      <c r="D106" s="51">
        <f>AVERAGE(Calc_Downside!E25:P25)</f>
        <v>8.6666670000000003</v>
      </c>
      <c r="E106" s="51">
        <f>AVERAGE(Calc_Downside!Q25:AB25)</f>
        <v>14.583333000000001</v>
      </c>
      <c r="F106" s="51">
        <f>AVERAGE(Calc_Downside!AC25:AN25)</f>
        <v>16</v>
      </c>
      <c r="G106" s="51">
        <f>AVERAGE(Calc_Downside!AO25:AZ25)</f>
        <v>16</v>
      </c>
      <c r="H106" s="51">
        <f>AVERAGE(Calc_Downside!BA25:BL25)</f>
        <v>16</v>
      </c>
      <c r="I106" s="48">
        <f>AVERAGE(D106:H106)</f>
        <v>14.25</v>
      </c>
    </row>
    <row r="107" spans="2:9" x14ac:dyDescent="0.35">
      <c r="B107" s="3" t="s">
        <v>316</v>
      </c>
      <c r="C107" s="18" t="s">
        <v>111</v>
      </c>
      <c r="D107" s="5">
        <f>SUM(Calc_Downside!E43:P43)</f>
        <v>-1517283.3766964844</v>
      </c>
      <c r="E107" s="5">
        <f>SUM(Calc_Downside!Q43:AB43)</f>
        <v>-3280471.6455777232</v>
      </c>
      <c r="F107" s="5">
        <f>SUM(Calc_Downside!AC43:AN43)</f>
        <v>-3803779.4066504231</v>
      </c>
      <c r="G107" s="5">
        <f>SUM(Calc_Downside!AO43:AZ43)</f>
        <v>-4014969.5650339099</v>
      </c>
      <c r="H107" s="5">
        <f>SUM(Calc_Downside!BA43:BL43)</f>
        <v>-3696165.1796994614</v>
      </c>
      <c r="I107" s="44">
        <f>SUM(D107:H107)</f>
        <v>-16312669.173658002</v>
      </c>
    </row>
    <row r="108" spans="2:9" x14ac:dyDescent="0.35">
      <c r="B108" s="3" t="s">
        <v>317</v>
      </c>
      <c r="C108" s="18" t="s">
        <v>111</v>
      </c>
      <c r="D108" s="5">
        <f>SUM(Calc_Downside!E30:P30)</f>
        <v>32499.999999999996</v>
      </c>
      <c r="E108" s="5">
        <f>SUM(Calc_Downside!Q30:AB30)</f>
        <v>7500</v>
      </c>
      <c r="F108" s="5">
        <f>SUM(Calc_Downside!AC30:AN30)</f>
        <v>0</v>
      </c>
      <c r="G108" s="5">
        <f>SUM(Calc_Downside!AO30:AZ30)</f>
        <v>0</v>
      </c>
      <c r="H108" s="5">
        <f>SUM(Calc_Downside!BA30:BL30)</f>
        <v>32499.999999999996</v>
      </c>
      <c r="I108" s="44">
        <f>SUM(D108:H108)</f>
        <v>72500</v>
      </c>
    </row>
    <row r="109" spans="2:9" x14ac:dyDescent="0.35">
      <c r="B109" s="3" t="s">
        <v>299</v>
      </c>
      <c r="C109" s="18" t="s">
        <v>111</v>
      </c>
      <c r="D109" s="5">
        <f>SUM(Calc_Downside!E45:P45)</f>
        <v>5000000</v>
      </c>
      <c r="E109" s="5">
        <f>SUM(Calc_Downside!Q45:AB45)</f>
        <v>12000000</v>
      </c>
      <c r="F109" s="5">
        <f>SUM(Calc_Downside!AC45:AN45)</f>
        <v>0</v>
      </c>
      <c r="G109" s="5">
        <f>SUM(Calc_Downside!AO45:AZ45)</f>
        <v>0</v>
      </c>
      <c r="H109" s="5">
        <f>SUM(Calc_Downside!BA45:BL45)</f>
        <v>0</v>
      </c>
      <c r="I109" s="44">
        <f>SUM(D109:H109)</f>
        <v>17000000</v>
      </c>
    </row>
    <row r="110" spans="2:9" x14ac:dyDescent="0.35">
      <c r="B110" s="3" t="s">
        <v>300</v>
      </c>
      <c r="C110" s="18" t="s">
        <v>111</v>
      </c>
      <c r="D110" s="5">
        <f>SUM(Calc_Downside!E46:P46)</f>
        <v>3450216.6233035158</v>
      </c>
      <c r="E110" s="5">
        <f>SUM(Calc_Downside!Q46:AB46)</f>
        <v>8712028.3544222768</v>
      </c>
      <c r="F110" s="5">
        <f>SUM(Calc_Downside!AC46:AN46)</f>
        <v>-3803779.4066504231</v>
      </c>
      <c r="G110" s="5">
        <f>SUM(Calc_Downside!AO46:AZ46)</f>
        <v>-4014969.5650339099</v>
      </c>
      <c r="H110" s="5">
        <f>SUM(Calc_Downside!BA46:BL46)</f>
        <v>-3728665.1796994619</v>
      </c>
      <c r="I110" s="44">
        <f>SUM(D110:H110)</f>
        <v>614830.82634199783</v>
      </c>
    </row>
    <row r="111" spans="2:9" x14ac:dyDescent="0.35">
      <c r="B111" s="4" t="s">
        <v>318</v>
      </c>
      <c r="C111" s="18" t="s">
        <v>111</v>
      </c>
      <c r="D111" s="49">
        <f>Calc_Downside!P48</f>
        <v>3475216.6233035158</v>
      </c>
      <c r="E111" s="49">
        <f>Calc_Downside!AB48</f>
        <v>12187244.977725793</v>
      </c>
      <c r="F111" s="49">
        <f>Calc_Downside!AN48</f>
        <v>8383465.5710753705</v>
      </c>
      <c r="G111" s="49">
        <f>Calc_Downside!AZ48</f>
        <v>4368496.0060414607</v>
      </c>
      <c r="H111" s="49">
        <f>Calc_Downside!BL48</f>
        <v>639830.82634200004</v>
      </c>
      <c r="I111" s="45">
        <f>H111</f>
        <v>639830.82634200004</v>
      </c>
    </row>
  </sheetData>
  <pageMargins left="0.4" right="0.4" top="0.5" bottom="0.5" header="0.5" footer="0.5"/>
  <pageSetup paperSize="9"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03864"/>
    <pageSetUpPr fitToPage="1"/>
  </sheetPr>
  <dimension ref="B1:P94"/>
  <sheetViews>
    <sheetView showGridLines="0" workbookViewId="0"/>
  </sheetViews>
  <sheetFormatPr defaultRowHeight="14.5" x14ac:dyDescent="0.35"/>
  <cols>
    <col min="1" max="1" width="2" customWidth="1"/>
    <col min="2" max="2" width="46" customWidth="1"/>
    <col min="3" max="3" width="9" customWidth="1"/>
    <col min="4" max="6" width="15" customWidth="1"/>
    <col min="7" max="11" width="13" customWidth="1"/>
    <col min="12" max="12" width="12" customWidth="1"/>
    <col min="13" max="13" width="15" customWidth="1"/>
    <col min="14" max="14" width="10" customWidth="1"/>
    <col min="15" max="16" width="11" customWidth="1"/>
  </cols>
  <sheetData>
    <row r="1" spans="2:16" ht="20" x14ac:dyDescent="0.4">
      <c r="B1" s="11" t="s">
        <v>323</v>
      </c>
    </row>
    <row r="2" spans="2:16" x14ac:dyDescent="0.35">
      <c r="B2" s="9" t="s">
        <v>95</v>
      </c>
    </row>
    <row r="3" spans="2:16" x14ac:dyDescent="0.35">
      <c r="B3" s="9" t="s">
        <v>324</v>
      </c>
    </row>
    <row r="5" spans="2:16" x14ac:dyDescent="0.35">
      <c r="B5" s="2" t="str">
        <f>"Scenario shown: "&amp;INDEX(Inputs!$D$8:$F$8,1,ScenarioNo)</f>
        <v>Scenario shown: Base</v>
      </c>
    </row>
    <row r="6" spans="2:16" ht="40" customHeight="1" x14ac:dyDescent="0.35">
      <c r="B6" s="14" t="s">
        <v>325</v>
      </c>
      <c r="C6" s="15" t="s">
        <v>278</v>
      </c>
      <c r="D6" s="15" t="s">
        <v>326</v>
      </c>
      <c r="E6" s="15" t="s">
        <v>327</v>
      </c>
      <c r="F6" s="15" t="s">
        <v>328</v>
      </c>
      <c r="G6" s="15" t="s">
        <v>329</v>
      </c>
      <c r="H6" s="15" t="s">
        <v>330</v>
      </c>
      <c r="I6" s="15" t="s">
        <v>331</v>
      </c>
      <c r="J6" s="15" t="s">
        <v>332</v>
      </c>
      <c r="K6" s="15" t="s">
        <v>333</v>
      </c>
      <c r="L6" s="15" t="s">
        <v>334</v>
      </c>
      <c r="M6" s="15" t="s">
        <v>335</v>
      </c>
      <c r="N6" s="15" t="s">
        <v>336</v>
      </c>
      <c r="O6" s="15" t="s">
        <v>337</v>
      </c>
      <c r="P6" s="15" t="s">
        <v>338</v>
      </c>
    </row>
    <row r="7" spans="2:16" x14ac:dyDescent="0.35">
      <c r="B7" s="3" t="s">
        <v>339</v>
      </c>
      <c r="G7" s="29">
        <f>CHOOSE(ScenarioNo,G30,G53,G76)</f>
        <v>25000</v>
      </c>
      <c r="L7" s="52">
        <f t="shared" ref="L7:M11" si="0">CHOOSE(ScenarioNo,L30,L53,L76)</f>
        <v>0.34555205394029498</v>
      </c>
      <c r="M7" s="20">
        <f t="shared" si="0"/>
        <v>11865519.539086161</v>
      </c>
    </row>
    <row r="8" spans="2:16" x14ac:dyDescent="0.35">
      <c r="B8" s="3" t="s">
        <v>340</v>
      </c>
      <c r="C8" s="13">
        <f t="shared" ref="C8:F11" si="1">CHOOSE(ScenarioNo,C31,C54,C77)</f>
        <v>1</v>
      </c>
      <c r="D8" s="20">
        <f t="shared" si="1"/>
        <v>1000000</v>
      </c>
      <c r="E8" s="20">
        <f t="shared" si="1"/>
        <v>4859086.49</v>
      </c>
      <c r="F8" s="20">
        <f t="shared" si="1"/>
        <v>5859086.4900000002</v>
      </c>
      <c r="G8" s="29">
        <f>CHOOSE(ScenarioNo,G31,G54,G77)</f>
        <v>25000</v>
      </c>
      <c r="H8" s="53">
        <f t="shared" ref="H8:K11" si="2">CHOOSE(ScenarioNo,H31,H54,H77)</f>
        <v>194.3634596</v>
      </c>
      <c r="I8" s="29">
        <f t="shared" si="2"/>
        <v>5145.0000018419096</v>
      </c>
      <c r="J8" s="52">
        <f t="shared" si="2"/>
        <v>0.17067507054329215</v>
      </c>
      <c r="K8" s="52">
        <f t="shared" si="2"/>
        <v>0.82932492945670788</v>
      </c>
      <c r="L8" s="52">
        <f t="shared" si="0"/>
        <v>7.111461272637172E-2</v>
      </c>
      <c r="M8" s="20">
        <f t="shared" si="0"/>
        <v>2441923.9220181401</v>
      </c>
      <c r="N8" s="54">
        <f t="shared" ref="N8:P11" si="3">CHOOSE(ScenarioNo,N31,N54,N77)</f>
        <v>2.4419239220181401</v>
      </c>
      <c r="O8" s="52">
        <f t="shared" si="3"/>
        <v>0.19911482434279937</v>
      </c>
      <c r="P8" s="13">
        <f t="shared" si="3"/>
        <v>1</v>
      </c>
    </row>
    <row r="9" spans="2:16" x14ac:dyDescent="0.35">
      <c r="B9" s="3" t="s">
        <v>341</v>
      </c>
      <c r="C9" s="13">
        <f t="shared" si="1"/>
        <v>8</v>
      </c>
      <c r="D9" s="20">
        <f t="shared" si="1"/>
        <v>4000000</v>
      </c>
      <c r="E9" s="20">
        <f t="shared" si="1"/>
        <v>8000000</v>
      </c>
      <c r="F9" s="20">
        <f t="shared" si="1"/>
        <v>12000000</v>
      </c>
      <c r="G9" s="29">
        <f>CHOOSE(ScenarioNo,G32,G55,G78)</f>
        <v>30145.000001841909</v>
      </c>
      <c r="H9" s="53">
        <f t="shared" si="2"/>
        <v>265.38397742614654</v>
      </c>
      <c r="I9" s="29">
        <f t="shared" si="2"/>
        <v>15072.500000920953</v>
      </c>
      <c r="J9" s="52">
        <f t="shared" si="2"/>
        <v>0.33333333333333331</v>
      </c>
      <c r="K9" s="52">
        <f t="shared" si="2"/>
        <v>0.55288328630447192</v>
      </c>
      <c r="L9" s="52">
        <f t="shared" si="0"/>
        <v>0.20833333333333331</v>
      </c>
      <c r="M9" s="20">
        <f t="shared" si="0"/>
        <v>7153721.730552149</v>
      </c>
      <c r="N9" s="54">
        <f t="shared" si="3"/>
        <v>1.7884304326380374</v>
      </c>
      <c r="O9" s="52">
        <f t="shared" si="3"/>
        <v>0.14357007208870565</v>
      </c>
      <c r="P9" s="13">
        <f t="shared" si="3"/>
        <v>1</v>
      </c>
    </row>
    <row r="10" spans="2:16" x14ac:dyDescent="0.35">
      <c r="B10" s="3" t="s">
        <v>342</v>
      </c>
      <c r="C10" s="13">
        <f t="shared" si="1"/>
        <v>19</v>
      </c>
      <c r="D10" s="20">
        <f t="shared" si="1"/>
        <v>12000000</v>
      </c>
      <c r="E10" s="20">
        <f t="shared" si="1"/>
        <v>20000000</v>
      </c>
      <c r="F10" s="20">
        <f t="shared" si="1"/>
        <v>32000000</v>
      </c>
      <c r="G10" s="29">
        <f>CHOOSE(ScenarioNo,G33,G56,G79)</f>
        <v>45217.500002762863</v>
      </c>
      <c r="H10" s="53">
        <f t="shared" si="2"/>
        <v>442.30662904357752</v>
      </c>
      <c r="I10" s="29">
        <f t="shared" si="2"/>
        <v>27130.500001657718</v>
      </c>
      <c r="J10" s="52">
        <f t="shared" si="2"/>
        <v>0.375</v>
      </c>
      <c r="K10" s="52">
        <f t="shared" si="2"/>
        <v>0.34555205394029498</v>
      </c>
      <c r="L10" s="52">
        <f t="shared" si="0"/>
        <v>0.375</v>
      </c>
      <c r="M10" s="20">
        <f t="shared" si="0"/>
        <v>12876699.11499387</v>
      </c>
      <c r="N10" s="54">
        <f t="shared" si="3"/>
        <v>1.0730582595828224</v>
      </c>
      <c r="O10" s="52">
        <f t="shared" si="3"/>
        <v>2.0852314100523683E-2</v>
      </c>
      <c r="P10" s="13">
        <f t="shared" si="3"/>
        <v>1</v>
      </c>
    </row>
    <row r="11" spans="2:16" x14ac:dyDescent="0.35">
      <c r="B11" s="3" t="s">
        <v>343</v>
      </c>
      <c r="C11" s="13">
        <f t="shared" si="1"/>
        <v>0</v>
      </c>
      <c r="D11" s="20">
        <f t="shared" si="1"/>
        <v>0</v>
      </c>
      <c r="E11" s="20">
        <f t="shared" si="1"/>
        <v>0</v>
      </c>
      <c r="F11" s="20">
        <f t="shared" si="1"/>
        <v>0</v>
      </c>
      <c r="G11" s="29">
        <f>CHOOSE(ScenarioNo,G34,G57,G80)</f>
        <v>72348.000004420581</v>
      </c>
      <c r="H11" s="53">
        <f t="shared" si="2"/>
        <v>0</v>
      </c>
      <c r="I11" s="29">
        <f t="shared" si="2"/>
        <v>0</v>
      </c>
      <c r="J11" s="52">
        <f t="shared" si="2"/>
        <v>0</v>
      </c>
      <c r="K11" s="52">
        <f t="shared" si="2"/>
        <v>0.34555205394029498</v>
      </c>
      <c r="L11" s="52">
        <f t="shared" si="0"/>
        <v>0</v>
      </c>
      <c r="M11" s="20">
        <f t="shared" si="0"/>
        <v>0</v>
      </c>
      <c r="N11" s="54">
        <f t="shared" si="3"/>
        <v>0</v>
      </c>
      <c r="O11" s="52">
        <f t="shared" si="3"/>
        <v>0</v>
      </c>
      <c r="P11" s="13">
        <f t="shared" si="3"/>
        <v>1</v>
      </c>
    </row>
    <row r="13" spans="2:16" x14ac:dyDescent="0.35">
      <c r="B13" s="55" t="s">
        <v>344</v>
      </c>
      <c r="D13" s="55"/>
    </row>
    <row r="14" spans="2:16" x14ac:dyDescent="0.35">
      <c r="B14" s="3" t="s">
        <v>345</v>
      </c>
      <c r="D14" s="13">
        <f t="shared" ref="D14:D25" si="4">CHOOSE(ScenarioNo,D37,D60,D83)</f>
        <v>60</v>
      </c>
    </row>
    <row r="15" spans="2:16" x14ac:dyDescent="0.35">
      <c r="B15" s="3" t="s">
        <v>346</v>
      </c>
      <c r="D15" s="3" t="str">
        <f t="shared" si="4"/>
        <v>Dec 2031 (month 60)</v>
      </c>
    </row>
    <row r="16" spans="2:16" x14ac:dyDescent="0.35">
      <c r="B16" s="3" t="s">
        <v>347</v>
      </c>
      <c r="D16" s="32">
        <f t="shared" si="4"/>
        <v>4</v>
      </c>
    </row>
    <row r="17" spans="2:16" x14ac:dyDescent="0.35">
      <c r="B17" s="3" t="s">
        <v>348</v>
      </c>
      <c r="D17" s="20">
        <f t="shared" si="4"/>
        <v>591030.04681617301</v>
      </c>
    </row>
    <row r="18" spans="2:16" x14ac:dyDescent="0.35">
      <c r="B18" s="3" t="s">
        <v>349</v>
      </c>
      <c r="D18" s="20">
        <f t="shared" si="4"/>
        <v>7092360.5617940761</v>
      </c>
    </row>
    <row r="19" spans="2:16" x14ac:dyDescent="0.35">
      <c r="B19" s="3" t="s">
        <v>350</v>
      </c>
      <c r="D19" s="56">
        <f t="shared" si="4"/>
        <v>28369442.247176304</v>
      </c>
    </row>
    <row r="20" spans="2:16" x14ac:dyDescent="0.35">
      <c r="B20" s="3" t="s">
        <v>351</v>
      </c>
      <c r="D20" s="20">
        <f t="shared" si="4"/>
        <v>5968422.0594740147</v>
      </c>
    </row>
    <row r="21" spans="2:16" x14ac:dyDescent="0.35">
      <c r="B21" s="3" t="s">
        <v>352</v>
      </c>
      <c r="D21" s="56">
        <f t="shared" si="4"/>
        <v>34337864.306650318</v>
      </c>
    </row>
    <row r="22" spans="2:16" x14ac:dyDescent="0.35">
      <c r="B22" s="3" t="s">
        <v>353</v>
      </c>
      <c r="D22" s="29">
        <f t="shared" si="4"/>
        <v>72348.000004420581</v>
      </c>
    </row>
    <row r="23" spans="2:16" x14ac:dyDescent="0.35">
      <c r="B23" s="3" t="s">
        <v>272</v>
      </c>
      <c r="D23" s="52">
        <f t="shared" si="4"/>
        <v>0.34555205394029498</v>
      </c>
    </row>
    <row r="24" spans="2:16" x14ac:dyDescent="0.35">
      <c r="B24" s="3" t="s">
        <v>354</v>
      </c>
      <c r="D24" s="20">
        <f t="shared" si="4"/>
        <v>11865519.539086161</v>
      </c>
    </row>
    <row r="25" spans="2:16" x14ac:dyDescent="0.35">
      <c r="B25" s="3" t="s">
        <v>355</v>
      </c>
      <c r="D25" s="20">
        <f t="shared" si="4"/>
        <v>17000000</v>
      </c>
    </row>
    <row r="28" spans="2:16" x14ac:dyDescent="0.35">
      <c r="B28" s="2" t="s">
        <v>319</v>
      </c>
    </row>
    <row r="29" spans="2:16" ht="40" customHeight="1" x14ac:dyDescent="0.35">
      <c r="B29" s="14" t="s">
        <v>325</v>
      </c>
      <c r="C29" s="15" t="s">
        <v>278</v>
      </c>
      <c r="D29" s="15" t="s">
        <v>326</v>
      </c>
      <c r="E29" s="15" t="s">
        <v>327</v>
      </c>
      <c r="F29" s="15" t="s">
        <v>328</v>
      </c>
      <c r="G29" s="15" t="s">
        <v>329</v>
      </c>
      <c r="H29" s="15" t="s">
        <v>330</v>
      </c>
      <c r="I29" s="15" t="s">
        <v>331</v>
      </c>
      <c r="J29" s="15" t="s">
        <v>332</v>
      </c>
      <c r="K29" s="15" t="s">
        <v>333</v>
      </c>
      <c r="L29" s="15" t="s">
        <v>334</v>
      </c>
      <c r="M29" s="15" t="s">
        <v>335</v>
      </c>
      <c r="N29" s="15" t="s">
        <v>336</v>
      </c>
      <c r="O29" s="15" t="s">
        <v>337</v>
      </c>
      <c r="P29" s="15" t="s">
        <v>338</v>
      </c>
    </row>
    <row r="30" spans="2:16" x14ac:dyDescent="0.35">
      <c r="B30" s="3" t="s">
        <v>339</v>
      </c>
      <c r="G30" s="57">
        <f>Inputs!$D$69</f>
        <v>25000</v>
      </c>
      <c r="L30" s="52">
        <f>IF($D$45&gt;0,G30/$D$45,0)</f>
        <v>0.34555205394029498</v>
      </c>
      <c r="M30" s="20">
        <f>$D$44*L30</f>
        <v>11865519.539086161</v>
      </c>
    </row>
    <row r="31" spans="2:16" x14ac:dyDescent="0.35">
      <c r="B31" s="3" t="s">
        <v>340</v>
      </c>
      <c r="C31" s="58">
        <f>Inputs!$D$73</f>
        <v>1</v>
      </c>
      <c r="D31" s="40">
        <f>Inputs!$D$74</f>
        <v>1000000</v>
      </c>
      <c r="E31" s="40">
        <f>Inputs!$D$75</f>
        <v>4859086.49</v>
      </c>
      <c r="F31" s="20">
        <f>IF(D31&gt;0,E31+D31,0)</f>
        <v>5859086.4900000002</v>
      </c>
      <c r="G31" s="29">
        <f>G30</f>
        <v>25000</v>
      </c>
      <c r="H31" s="53">
        <f>IF(AND(D31&gt;0,E31&gt;0,G31&gt;0),E31/G31,0)</f>
        <v>194.3634596</v>
      </c>
      <c r="I31" s="29">
        <f>IF(H31&gt;0,D31/H31,0)</f>
        <v>5145.0000018419096</v>
      </c>
      <c r="J31" s="52">
        <f>IF(G31+I31&gt;0,I31/(G31+I31),0)</f>
        <v>0.17067507054329215</v>
      </c>
      <c r="K31" s="52">
        <f>IF(G31+I31&gt;0,$G$30/(G31+I31),0)</f>
        <v>0.82932492945670788</v>
      </c>
      <c r="L31" s="52">
        <f>IF(AND(D31&gt;0,C31&lt;=$D$37,$D$45&gt;0),I31/$D$45,0)</f>
        <v>7.111461272637172E-2</v>
      </c>
      <c r="M31" s="20">
        <f>$D$44*L31</f>
        <v>2441923.9220181401</v>
      </c>
      <c r="N31" s="54">
        <f>IF(D31&gt;0,IF(AND(C31&lt;$D$37,M31&gt;0),M31/D31,0),0)</f>
        <v>2.4419239220181401</v>
      </c>
      <c r="O31" s="52">
        <f>IF(N31&gt;0,N31^(12/($D$37-C31))-1,0)</f>
        <v>0.19911482434279937</v>
      </c>
      <c r="P31" s="13">
        <f>1</f>
        <v>1</v>
      </c>
    </row>
    <row r="32" spans="2:16" x14ac:dyDescent="0.35">
      <c r="B32" s="3" t="s">
        <v>341</v>
      </c>
      <c r="C32" s="58">
        <f>Inputs!$D$76</f>
        <v>8</v>
      </c>
      <c r="D32" s="40">
        <f>Inputs!$D$77</f>
        <v>4000000</v>
      </c>
      <c r="E32" s="40">
        <f>Inputs!$D$78</f>
        <v>8000000</v>
      </c>
      <c r="F32" s="20">
        <f>IF(D32&gt;0,E32+D32,0)</f>
        <v>12000000</v>
      </c>
      <c r="G32" s="29">
        <f>G31+I31</f>
        <v>30145.000001841909</v>
      </c>
      <c r="H32" s="53">
        <f>IF(AND(D32&gt;0,E32&gt;0,G32&gt;0),E32/G32,0)</f>
        <v>265.38397742614654</v>
      </c>
      <c r="I32" s="29">
        <f>IF(H32&gt;0,D32/H32,0)</f>
        <v>15072.500000920953</v>
      </c>
      <c r="J32" s="52">
        <f>IF(G32+I32&gt;0,I32/(G32+I32),0)</f>
        <v>0.33333333333333331</v>
      </c>
      <c r="K32" s="52">
        <f>IF(G32+I32&gt;0,$G$30/(G32+I32),0)</f>
        <v>0.55288328630447192</v>
      </c>
      <c r="L32" s="52">
        <f>IF(AND(D32&gt;0,C32&lt;=$D$37,$D$45&gt;0),I32/$D$45,0)</f>
        <v>0.20833333333333331</v>
      </c>
      <c r="M32" s="20">
        <f>$D$44*L32</f>
        <v>7153721.730552149</v>
      </c>
      <c r="N32" s="54">
        <f>IF(D32&gt;0,IF(AND(C32&lt;$D$37,M32&gt;0),M32/D32,0),0)</f>
        <v>1.7884304326380374</v>
      </c>
      <c r="O32" s="52">
        <f>IF(N32&gt;0,N32^(12/($D$37-C32))-1,0)</f>
        <v>0.14357007208870565</v>
      </c>
      <c r="P32" s="13">
        <f>IF(D32&gt;0,IF(C32&gt;=MAX(IF(D31&gt;0,C31,0)),1,0),1)</f>
        <v>1</v>
      </c>
    </row>
    <row r="33" spans="2:16" x14ac:dyDescent="0.35">
      <c r="B33" s="3" t="s">
        <v>342</v>
      </c>
      <c r="C33" s="58">
        <f>Inputs!$D$79</f>
        <v>19</v>
      </c>
      <c r="D33" s="40">
        <f>Inputs!$D$80</f>
        <v>12000000</v>
      </c>
      <c r="E33" s="40">
        <f>Inputs!$D$81</f>
        <v>20000000</v>
      </c>
      <c r="F33" s="20">
        <f>IF(D33&gt;0,E33+D33,0)</f>
        <v>32000000</v>
      </c>
      <c r="G33" s="29">
        <f>G32+I32</f>
        <v>45217.500002762863</v>
      </c>
      <c r="H33" s="53">
        <f>IF(AND(D33&gt;0,E33&gt;0,G33&gt;0),E33/G33,0)</f>
        <v>442.30662904357752</v>
      </c>
      <c r="I33" s="29">
        <f>IF(H33&gt;0,D33/H33,0)</f>
        <v>27130.500001657718</v>
      </c>
      <c r="J33" s="52">
        <f>IF(G33+I33&gt;0,I33/(G33+I33),0)</f>
        <v>0.375</v>
      </c>
      <c r="K33" s="52">
        <f>IF(G33+I33&gt;0,$G$30/(G33+I33),0)</f>
        <v>0.34555205394029498</v>
      </c>
      <c r="L33" s="52">
        <f>IF(AND(D33&gt;0,C33&lt;=$D$37,$D$45&gt;0),I33/$D$45,0)</f>
        <v>0.375</v>
      </c>
      <c r="M33" s="20">
        <f>$D$44*L33</f>
        <v>12876699.11499387</v>
      </c>
      <c r="N33" s="54">
        <f>IF(D33&gt;0,IF(AND(C33&lt;$D$37,M33&gt;0),M33/D33,0),0)</f>
        <v>1.0730582595828224</v>
      </c>
      <c r="O33" s="52">
        <f>IF(N33&gt;0,N33^(12/($D$37-C33))-1,0)</f>
        <v>2.0852314100523683E-2</v>
      </c>
      <c r="P33" s="13">
        <f>IF(D33&gt;0,IF(C33&gt;=MAX(IF(D31&gt;0,C31,0),IF(D32&gt;0,C32,0)),1,0),1)</f>
        <v>1</v>
      </c>
    </row>
    <row r="34" spans="2:16" x14ac:dyDescent="0.35">
      <c r="B34" s="3" t="s">
        <v>343</v>
      </c>
      <c r="C34" s="58">
        <f>Inputs!$D$82</f>
        <v>0</v>
      </c>
      <c r="D34" s="40">
        <f>Inputs!$D$83</f>
        <v>0</v>
      </c>
      <c r="E34" s="40">
        <f>Inputs!$D$84</f>
        <v>0</v>
      </c>
      <c r="F34" s="20">
        <f>IF(D34&gt;0,E34+D34,0)</f>
        <v>0</v>
      </c>
      <c r="G34" s="29">
        <f>G33+I33</f>
        <v>72348.000004420581</v>
      </c>
      <c r="H34" s="53">
        <f>IF(AND(D34&gt;0,E34&gt;0,G34&gt;0),E34/G34,0)</f>
        <v>0</v>
      </c>
      <c r="I34" s="29">
        <f>IF(H34&gt;0,D34/H34,0)</f>
        <v>0</v>
      </c>
      <c r="J34" s="52">
        <f>IF(G34+I34&gt;0,I34/(G34+I34),0)</f>
        <v>0</v>
      </c>
      <c r="K34" s="52">
        <f>IF(G34+I34&gt;0,$G$30/(G34+I34),0)</f>
        <v>0.34555205394029498</v>
      </c>
      <c r="L34" s="52">
        <f>IF(AND(D34&gt;0,C34&lt;=$D$37,$D$45&gt;0),I34/$D$45,0)</f>
        <v>0</v>
      </c>
      <c r="M34" s="20">
        <f>$D$44*L34</f>
        <v>0</v>
      </c>
      <c r="N34" s="54">
        <f>IF(D34&gt;0,IF(AND(C34&lt;$D$37,M34&gt;0),M34/D34,0),0)</f>
        <v>0</v>
      </c>
      <c r="O34" s="52">
        <f>IF(N34&gt;0,N34^(12/($D$37-C34))-1,0)</f>
        <v>0</v>
      </c>
      <c r="P34" s="13">
        <f>IF(D34&gt;0,IF(C34&gt;=MAX(IF(D31&gt;0,C31,0),IF(D32&gt;0,C32,0),IF(D33&gt;0,C33,0)),1,0),1)</f>
        <v>1</v>
      </c>
    </row>
    <row r="36" spans="2:16" x14ac:dyDescent="0.35">
      <c r="B36" s="55" t="s">
        <v>344</v>
      </c>
      <c r="D36" s="55"/>
    </row>
    <row r="37" spans="2:16" x14ac:dyDescent="0.35">
      <c r="B37" s="3" t="s">
        <v>345</v>
      </c>
      <c r="D37" s="58">
        <f>Inputs!$D$86</f>
        <v>60</v>
      </c>
    </row>
    <row r="38" spans="2:16" x14ac:dyDescent="0.35">
      <c r="B38" s="3" t="s">
        <v>346</v>
      </c>
      <c r="D38" s="3" t="str">
        <f>IF(D37=0,"not set",CHOOSE(MOD(D37-1,12)+1,"Jan","Feb","Mar","Apr","May","Jun","Jul","Aug","Sep","Oct","Nov","Dec")&amp;" "&amp;(2027+INT((D37-1)/12))&amp;" (month "&amp;D37&amp;")")</f>
        <v>Dec 2031 (month 60)</v>
      </c>
    </row>
    <row r="39" spans="2:16" x14ac:dyDescent="0.35">
      <c r="B39" s="3" t="s">
        <v>347</v>
      </c>
      <c r="D39" s="59">
        <f>Inputs!$D$87</f>
        <v>4</v>
      </c>
    </row>
    <row r="40" spans="2:16" x14ac:dyDescent="0.35">
      <c r="B40" s="3" t="s">
        <v>348</v>
      </c>
      <c r="D40" s="40">
        <f>IF(AND($D$37&gt;=1,$D$37&lt;=60),INDEX(Calc_Base!$E$13:$BL$13,1,$D$37),0)</f>
        <v>591030.04681617301</v>
      </c>
    </row>
    <row r="41" spans="2:16" x14ac:dyDescent="0.35">
      <c r="B41" s="3" t="s">
        <v>349</v>
      </c>
      <c r="D41" s="20">
        <f>12*D40</f>
        <v>7092360.5617940761</v>
      </c>
    </row>
    <row r="42" spans="2:16" x14ac:dyDescent="0.35">
      <c r="B42" s="3" t="s">
        <v>350</v>
      </c>
      <c r="D42" s="56">
        <f>D39*D41</f>
        <v>28369442.247176304</v>
      </c>
    </row>
    <row r="43" spans="2:16" x14ac:dyDescent="0.35">
      <c r="B43" s="3" t="s">
        <v>351</v>
      </c>
      <c r="D43" s="40">
        <f>IF(AND($D$37&gt;=1,$D$37&lt;=60),INDEX(Calc_Base!$E$48:$BL$48,1,$D$37),0)</f>
        <v>5968422.0594740147</v>
      </c>
    </row>
    <row r="44" spans="2:16" x14ac:dyDescent="0.35">
      <c r="B44" s="3" t="s">
        <v>352</v>
      </c>
      <c r="D44" s="56">
        <f>D42+D43</f>
        <v>34337864.306650318</v>
      </c>
    </row>
    <row r="45" spans="2:16" x14ac:dyDescent="0.35">
      <c r="B45" s="3" t="s">
        <v>353</v>
      </c>
      <c r="D45" s="29">
        <f>G30+IF(AND(D31&gt;0,C31&lt;=$D$37),I31,0)+IF(AND(D32&gt;0,C32&lt;=$D$37),I32,0)+IF(AND(D33&gt;0,C33&lt;=$D$37),I33,0)+IF(AND(D34&gt;0,C34&lt;=$D$37),I34,0)</f>
        <v>72348.000004420581</v>
      </c>
    </row>
    <row r="46" spans="2:16" x14ac:dyDescent="0.35">
      <c r="B46" s="3" t="s">
        <v>272</v>
      </c>
      <c r="D46" s="52">
        <f>L30</f>
        <v>0.34555205394029498</v>
      </c>
    </row>
    <row r="47" spans="2:16" x14ac:dyDescent="0.35">
      <c r="B47" s="3" t="s">
        <v>354</v>
      </c>
      <c r="D47" s="20">
        <f>M30</f>
        <v>11865519.539086161</v>
      </c>
    </row>
    <row r="48" spans="2:16" x14ac:dyDescent="0.35">
      <c r="B48" s="3" t="s">
        <v>355</v>
      </c>
      <c r="D48" s="40">
        <f>Calc_Base!D45</f>
        <v>17000000</v>
      </c>
    </row>
    <row r="51" spans="2:16" x14ac:dyDescent="0.35">
      <c r="B51" s="2" t="s">
        <v>321</v>
      </c>
    </row>
    <row r="52" spans="2:16" ht="40" customHeight="1" x14ac:dyDescent="0.35">
      <c r="B52" s="14" t="s">
        <v>325</v>
      </c>
      <c r="C52" s="15" t="s">
        <v>278</v>
      </c>
      <c r="D52" s="15" t="s">
        <v>326</v>
      </c>
      <c r="E52" s="15" t="s">
        <v>327</v>
      </c>
      <c r="F52" s="15" t="s">
        <v>328</v>
      </c>
      <c r="G52" s="15" t="s">
        <v>329</v>
      </c>
      <c r="H52" s="15" t="s">
        <v>330</v>
      </c>
      <c r="I52" s="15" t="s">
        <v>331</v>
      </c>
      <c r="J52" s="15" t="s">
        <v>332</v>
      </c>
      <c r="K52" s="15" t="s">
        <v>333</v>
      </c>
      <c r="L52" s="15" t="s">
        <v>334</v>
      </c>
      <c r="M52" s="15" t="s">
        <v>335</v>
      </c>
      <c r="N52" s="15" t="s">
        <v>336</v>
      </c>
      <c r="O52" s="15" t="s">
        <v>337</v>
      </c>
      <c r="P52" s="15" t="s">
        <v>338</v>
      </c>
    </row>
    <row r="53" spans="2:16" x14ac:dyDescent="0.35">
      <c r="B53" s="3" t="s">
        <v>339</v>
      </c>
      <c r="G53" s="57">
        <f>Inputs!$E$69</f>
        <v>25000</v>
      </c>
      <c r="L53" s="52">
        <f>IF($D$68&gt;0,G53/$D$68,0)</f>
        <v>0.34555205394029498</v>
      </c>
      <c r="M53" s="20">
        <f>$D$67*L53</f>
        <v>31637258.238871429</v>
      </c>
    </row>
    <row r="54" spans="2:16" x14ac:dyDescent="0.35">
      <c r="B54" s="3" t="s">
        <v>340</v>
      </c>
      <c r="C54" s="58">
        <f>Inputs!$E$73</f>
        <v>1</v>
      </c>
      <c r="D54" s="40">
        <f>Inputs!$E$74</f>
        <v>1000000</v>
      </c>
      <c r="E54" s="40">
        <f>Inputs!$E$75</f>
        <v>4859086.49</v>
      </c>
      <c r="F54" s="20">
        <f>IF(D54&gt;0,E54+D54,0)</f>
        <v>5859086.4900000002</v>
      </c>
      <c r="G54" s="29">
        <f>G53</f>
        <v>25000</v>
      </c>
      <c r="H54" s="53">
        <f>IF(AND(D54&gt;0,E54&gt;0,G54&gt;0),E54/G54,0)</f>
        <v>194.3634596</v>
      </c>
      <c r="I54" s="29">
        <f>IF(H54&gt;0,D54/H54,0)</f>
        <v>5145.0000018419096</v>
      </c>
      <c r="J54" s="52">
        <f>IF(G54+I54&gt;0,I54/(G54+I54),0)</f>
        <v>0.17067507054329215</v>
      </c>
      <c r="K54" s="52">
        <f>IF(G54+I54&gt;0,$G$53/(G54+I54),0)</f>
        <v>0.82932492945670788</v>
      </c>
      <c r="L54" s="52">
        <f>IF(AND(D54&gt;0,C54&lt;=$D$60,$D$68&gt;0),I54/$D$68,0)</f>
        <v>7.111461272637172E-2</v>
      </c>
      <c r="M54" s="20">
        <f>$D$67*L54</f>
        <v>6510947.7478906577</v>
      </c>
      <c r="N54" s="54">
        <f>IF(D54&gt;0,IF(AND(C54&lt;$D$60,M54&gt;0),M54/D54,0),0)</f>
        <v>6.5109477478906577</v>
      </c>
      <c r="O54" s="52">
        <f>IF(N54&gt;0,N54^(12/($D$60-C54))-1,0)</f>
        <v>0.46381757789469336</v>
      </c>
      <c r="P54" s="13">
        <f>1</f>
        <v>1</v>
      </c>
    </row>
    <row r="55" spans="2:16" x14ac:dyDescent="0.35">
      <c r="B55" s="3" t="s">
        <v>341</v>
      </c>
      <c r="C55" s="58">
        <f>Inputs!$E$76</f>
        <v>8</v>
      </c>
      <c r="D55" s="40">
        <f>Inputs!$E$77</f>
        <v>4000000</v>
      </c>
      <c r="E55" s="40">
        <f>Inputs!$E$78</f>
        <v>8000000</v>
      </c>
      <c r="F55" s="20">
        <f>IF(D55&gt;0,E55+D55,0)</f>
        <v>12000000</v>
      </c>
      <c r="G55" s="29">
        <f>G54+I54</f>
        <v>30145.000001841909</v>
      </c>
      <c r="H55" s="53">
        <f>IF(AND(D55&gt;0,E55&gt;0,G55&gt;0),E55/G55,0)</f>
        <v>265.38397742614654</v>
      </c>
      <c r="I55" s="29">
        <f>IF(H55&gt;0,D55/H55,0)</f>
        <v>15072.500000920953</v>
      </c>
      <c r="J55" s="52">
        <f>IF(G55+I55&gt;0,I55/(G55+I55),0)</f>
        <v>0.33333333333333331</v>
      </c>
      <c r="K55" s="52">
        <f>IF(G55+I55&gt;0,$G$53/(G55+I55),0)</f>
        <v>0.55288328630447192</v>
      </c>
      <c r="L55" s="52">
        <f>IF(AND(D55&gt;0,C55&lt;=$D$60,$D$68&gt;0),I55/$D$68,0)</f>
        <v>0.20833333333333331</v>
      </c>
      <c r="M55" s="20">
        <f>$D$67*L55</f>
        <v>19074102.993381042</v>
      </c>
      <c r="N55" s="54">
        <f>IF(D55&gt;0,IF(AND(C55&lt;$D$60,M55&gt;0),M55/D55,0),0)</f>
        <v>4.7685257483452608</v>
      </c>
      <c r="O55" s="52">
        <f>IF(N55&gt;0,N55^(12/($D$60-C55))-1,0)</f>
        <v>0.43400341080416882</v>
      </c>
      <c r="P55" s="13">
        <f>IF(D55&gt;0,IF(C55&gt;=MAX(IF(D54&gt;0,C54,0)),1,0),1)</f>
        <v>1</v>
      </c>
    </row>
    <row r="56" spans="2:16" x14ac:dyDescent="0.35">
      <c r="B56" s="3" t="s">
        <v>342</v>
      </c>
      <c r="C56" s="58">
        <f>Inputs!$E$79</f>
        <v>19</v>
      </c>
      <c r="D56" s="40">
        <f>Inputs!$E$80</f>
        <v>12000000</v>
      </c>
      <c r="E56" s="40">
        <f>Inputs!$E$81</f>
        <v>20000000</v>
      </c>
      <c r="F56" s="20">
        <f>IF(D56&gt;0,E56+D56,0)</f>
        <v>32000000</v>
      </c>
      <c r="G56" s="29">
        <f>G55+I55</f>
        <v>45217.500002762863</v>
      </c>
      <c r="H56" s="53">
        <f>IF(AND(D56&gt;0,E56&gt;0,G56&gt;0),E56/G56,0)</f>
        <v>442.30662904357752</v>
      </c>
      <c r="I56" s="29">
        <f>IF(H56&gt;0,D56/H56,0)</f>
        <v>27130.500001657718</v>
      </c>
      <c r="J56" s="52">
        <f>IF(G56+I56&gt;0,I56/(G56+I56),0)</f>
        <v>0.375</v>
      </c>
      <c r="K56" s="52">
        <f>IF(G56+I56&gt;0,$G$53/(G56+I56),0)</f>
        <v>0.34555205394029498</v>
      </c>
      <c r="L56" s="52">
        <f>IF(AND(D56&gt;0,C56&lt;=$D$60,$D$68&gt;0),I56/$D$68,0)</f>
        <v>0.375</v>
      </c>
      <c r="M56" s="20">
        <f>$D$67*L56</f>
        <v>34333385.388085872</v>
      </c>
      <c r="N56" s="54">
        <f>IF(D56&gt;0,IF(AND(C56&lt;$D$60,M56&gt;0),M56/D56,0),0)</f>
        <v>2.8611154490071562</v>
      </c>
      <c r="O56" s="52">
        <f>IF(N56&gt;0,N56^(12/($D$60-C56))-1,0)</f>
        <v>0.36025431397080099</v>
      </c>
      <c r="P56" s="13">
        <f>IF(D56&gt;0,IF(C56&gt;=MAX(IF(D54&gt;0,C54,0),IF(D55&gt;0,C55,0)),1,0),1)</f>
        <v>1</v>
      </c>
    </row>
    <row r="57" spans="2:16" x14ac:dyDescent="0.35">
      <c r="B57" s="3" t="s">
        <v>343</v>
      </c>
      <c r="C57" s="58">
        <f>Inputs!$E$82</f>
        <v>0</v>
      </c>
      <c r="D57" s="40">
        <f>Inputs!$E$83</f>
        <v>0</v>
      </c>
      <c r="E57" s="40">
        <f>Inputs!$E$84</f>
        <v>0</v>
      </c>
      <c r="F57" s="20">
        <f>IF(D57&gt;0,E57+D57,0)</f>
        <v>0</v>
      </c>
      <c r="G57" s="29">
        <f>G56+I56</f>
        <v>72348.000004420581</v>
      </c>
      <c r="H57" s="53">
        <f>IF(AND(D57&gt;0,E57&gt;0,G57&gt;0),E57/G57,0)</f>
        <v>0</v>
      </c>
      <c r="I57" s="29">
        <f>IF(H57&gt;0,D57/H57,0)</f>
        <v>0</v>
      </c>
      <c r="J57" s="52">
        <f>IF(G57+I57&gt;0,I57/(G57+I57),0)</f>
        <v>0</v>
      </c>
      <c r="K57" s="52">
        <f>IF(G57+I57&gt;0,$G$53/(G57+I57),0)</f>
        <v>0.34555205394029498</v>
      </c>
      <c r="L57" s="52">
        <f>IF(AND(D57&gt;0,C57&lt;=$D$60,$D$68&gt;0),I57/$D$68,0)</f>
        <v>0</v>
      </c>
      <c r="M57" s="20">
        <f>$D$67*L57</f>
        <v>0</v>
      </c>
      <c r="N57" s="54">
        <f>IF(D57&gt;0,IF(AND(C57&lt;$D$60,M57&gt;0),M57/D57,0),0)</f>
        <v>0</v>
      </c>
      <c r="O57" s="52">
        <f>IF(N57&gt;0,N57^(12/($D$60-C57))-1,0)</f>
        <v>0</v>
      </c>
      <c r="P57" s="13">
        <f>IF(D57&gt;0,IF(C57&gt;=MAX(IF(D54&gt;0,C54,0),IF(D55&gt;0,C55,0),IF(D56&gt;0,C56,0)),1,0),1)</f>
        <v>1</v>
      </c>
    </row>
    <row r="59" spans="2:16" x14ac:dyDescent="0.35">
      <c r="B59" s="55" t="s">
        <v>344</v>
      </c>
      <c r="D59" s="55"/>
    </row>
    <row r="60" spans="2:16" x14ac:dyDescent="0.35">
      <c r="B60" s="3" t="s">
        <v>345</v>
      </c>
      <c r="D60" s="58">
        <f>Inputs!$E$86</f>
        <v>60</v>
      </c>
    </row>
    <row r="61" spans="2:16" x14ac:dyDescent="0.35">
      <c r="B61" s="3" t="s">
        <v>346</v>
      </c>
      <c r="D61" s="3" t="str">
        <f>IF(D60=0,"not set",CHOOSE(MOD(D60-1,12)+1,"Jan","Feb","Mar","Apr","May","Jun","Jul","Aug","Sep","Oct","Nov","Dec")&amp;" "&amp;(2027+INT((D60-1)/12))&amp;" (month "&amp;D60&amp;")")</f>
        <v>Dec 2031 (month 60)</v>
      </c>
    </row>
    <row r="62" spans="2:16" x14ac:dyDescent="0.35">
      <c r="B62" s="3" t="s">
        <v>347</v>
      </c>
      <c r="D62" s="59">
        <f>Inputs!$E$87</f>
        <v>4</v>
      </c>
    </row>
    <row r="63" spans="2:16" x14ac:dyDescent="0.35">
      <c r="B63" s="3" t="s">
        <v>348</v>
      </c>
      <c r="D63" s="40">
        <f>IF(AND($D$60&gt;=1,$D$60&lt;=60),INDEX(Calc_Upside!$E$13:$BL$13,1,$D$60),0)</f>
        <v>1575406.038682129</v>
      </c>
    </row>
    <row r="64" spans="2:16" x14ac:dyDescent="0.35">
      <c r="B64" s="3" t="s">
        <v>349</v>
      </c>
      <c r="D64" s="20">
        <f>12*D63</f>
        <v>18904872.464185547</v>
      </c>
    </row>
    <row r="65" spans="2:16" x14ac:dyDescent="0.35">
      <c r="B65" s="3" t="s">
        <v>350</v>
      </c>
      <c r="D65" s="56">
        <f>D62*D64</f>
        <v>75619489.856742188</v>
      </c>
    </row>
    <row r="66" spans="2:16" x14ac:dyDescent="0.35">
      <c r="B66" s="3" t="s">
        <v>351</v>
      </c>
      <c r="D66" s="40">
        <f>IF(AND($D$60&gt;=1,$D$60&lt;=60),INDEX(Calc_Upside!$E$48:$BL$48,1,$D$60),0)</f>
        <v>15936204.511486808</v>
      </c>
    </row>
    <row r="67" spans="2:16" x14ac:dyDescent="0.35">
      <c r="B67" s="3" t="s">
        <v>352</v>
      </c>
      <c r="D67" s="56">
        <f>D65+D66</f>
        <v>91555694.368229002</v>
      </c>
    </row>
    <row r="68" spans="2:16" x14ac:dyDescent="0.35">
      <c r="B68" s="3" t="s">
        <v>353</v>
      </c>
      <c r="D68" s="29">
        <f>G53+IF(AND(D54&gt;0,C54&lt;=$D$60),I54,0)+IF(AND(D55&gt;0,C55&lt;=$D$60),I55,0)+IF(AND(D56&gt;0,C56&lt;=$D$60),I56,0)+IF(AND(D57&gt;0,C57&lt;=$D$60),I57,0)</f>
        <v>72348.000004420581</v>
      </c>
    </row>
    <row r="69" spans="2:16" x14ac:dyDescent="0.35">
      <c r="B69" s="3" t="s">
        <v>272</v>
      </c>
      <c r="D69" s="52">
        <f>L53</f>
        <v>0.34555205394029498</v>
      </c>
    </row>
    <row r="70" spans="2:16" x14ac:dyDescent="0.35">
      <c r="B70" s="3" t="s">
        <v>354</v>
      </c>
      <c r="D70" s="20">
        <f>M53</f>
        <v>31637258.238871429</v>
      </c>
    </row>
    <row r="71" spans="2:16" x14ac:dyDescent="0.35">
      <c r="B71" s="3" t="s">
        <v>355</v>
      </c>
      <c r="D71" s="40">
        <f>Calc_Upside!D45</f>
        <v>17000000</v>
      </c>
    </row>
    <row r="74" spans="2:16" x14ac:dyDescent="0.35">
      <c r="B74" s="2" t="s">
        <v>322</v>
      </c>
    </row>
    <row r="75" spans="2:16" ht="40" customHeight="1" x14ac:dyDescent="0.35">
      <c r="B75" s="14" t="s">
        <v>325</v>
      </c>
      <c r="C75" s="15" t="s">
        <v>278</v>
      </c>
      <c r="D75" s="15" t="s">
        <v>326</v>
      </c>
      <c r="E75" s="15" t="s">
        <v>327</v>
      </c>
      <c r="F75" s="15" t="s">
        <v>328</v>
      </c>
      <c r="G75" s="15" t="s">
        <v>329</v>
      </c>
      <c r="H75" s="15" t="s">
        <v>330</v>
      </c>
      <c r="I75" s="15" t="s">
        <v>331</v>
      </c>
      <c r="J75" s="15" t="s">
        <v>332</v>
      </c>
      <c r="K75" s="15" t="s">
        <v>333</v>
      </c>
      <c r="L75" s="15" t="s">
        <v>334</v>
      </c>
      <c r="M75" s="15" t="s">
        <v>335</v>
      </c>
      <c r="N75" s="15" t="s">
        <v>336</v>
      </c>
      <c r="O75" s="15" t="s">
        <v>337</v>
      </c>
      <c r="P75" s="15" t="s">
        <v>338</v>
      </c>
    </row>
    <row r="76" spans="2:16" x14ac:dyDescent="0.35">
      <c r="B76" s="3" t="s">
        <v>339</v>
      </c>
      <c r="G76" s="57">
        <f>Inputs!$F$69</f>
        <v>25000</v>
      </c>
      <c r="L76" s="52">
        <f>IF($D$91&gt;0,G76/$D$91,0)</f>
        <v>0.34555205394029498</v>
      </c>
      <c r="M76" s="20">
        <f>$D$90*L76</f>
        <v>2857990.2194265025</v>
      </c>
    </row>
    <row r="77" spans="2:16" x14ac:dyDescent="0.35">
      <c r="B77" s="3" t="s">
        <v>340</v>
      </c>
      <c r="C77" s="58">
        <f>Inputs!$F$73</f>
        <v>1</v>
      </c>
      <c r="D77" s="40">
        <f>Inputs!$F$74</f>
        <v>1000000</v>
      </c>
      <c r="E77" s="40">
        <f>Inputs!$F$75</f>
        <v>4859086.49</v>
      </c>
      <c r="F77" s="20">
        <f>IF(D77&gt;0,E77+D77,0)</f>
        <v>5859086.4900000002</v>
      </c>
      <c r="G77" s="29">
        <f>G76</f>
        <v>25000</v>
      </c>
      <c r="H77" s="53">
        <f>IF(AND(D77&gt;0,E77&gt;0,G77&gt;0),E77/G77,0)</f>
        <v>194.3634596</v>
      </c>
      <c r="I77" s="29">
        <f>IF(H77&gt;0,D77/H77,0)</f>
        <v>5145.0000018419096</v>
      </c>
      <c r="J77" s="52">
        <f>IF(G77+I77&gt;0,I77/(G77+I77),0)</f>
        <v>0.17067507054329215</v>
      </c>
      <c r="K77" s="52">
        <f>IF(G77+I77&gt;0,$G$76/(G77+I77),0)</f>
        <v>0.82932492945670788</v>
      </c>
      <c r="L77" s="52">
        <f>IF(AND(D77&gt;0,C77&lt;=$D$83,$D$91&gt;0),I77/$D$91,0)</f>
        <v>7.111461272637172E-2</v>
      </c>
      <c r="M77" s="20">
        <f>$D$90*L77</f>
        <v>588174.3873685404</v>
      </c>
      <c r="N77" s="54">
        <f>IF(D77&gt;0,IF(AND(C77&lt;$D$83,M77&gt;0),M77/D77,0),0)</f>
        <v>0.58817438736854044</v>
      </c>
      <c r="O77" s="52">
        <f>IF(N77&gt;0,N77^(12/($D$83-C77))-1,0)</f>
        <v>-0.10232343702529767</v>
      </c>
      <c r="P77" s="13">
        <f>1</f>
        <v>1</v>
      </c>
    </row>
    <row r="78" spans="2:16" x14ac:dyDescent="0.35">
      <c r="B78" s="3" t="s">
        <v>341</v>
      </c>
      <c r="C78" s="58">
        <f>Inputs!$F$76</f>
        <v>8</v>
      </c>
      <c r="D78" s="40">
        <f>Inputs!$F$77</f>
        <v>4000000</v>
      </c>
      <c r="E78" s="40">
        <f>Inputs!$F$78</f>
        <v>8000000</v>
      </c>
      <c r="F78" s="20">
        <f>IF(D78&gt;0,E78+D78,0)</f>
        <v>12000000</v>
      </c>
      <c r="G78" s="29">
        <f>G77+I77</f>
        <v>30145.000001841909</v>
      </c>
      <c r="H78" s="53">
        <f>IF(AND(D78&gt;0,E78&gt;0,G78&gt;0),E78/G78,0)</f>
        <v>265.38397742614654</v>
      </c>
      <c r="I78" s="29">
        <f>IF(H78&gt;0,D78/H78,0)</f>
        <v>15072.500000920953</v>
      </c>
      <c r="J78" s="52">
        <f>IF(G78+I78&gt;0,I78/(G78+I78),0)</f>
        <v>0.33333333333333331</v>
      </c>
      <c r="K78" s="52">
        <f>IF(G78+I78&gt;0,$G$76/(G78+I78),0)</f>
        <v>0.55288328630447192</v>
      </c>
      <c r="L78" s="52">
        <f>IF(AND(D78&gt;0,C78&lt;=$D$83,$D$91&gt;0),I78/$D$91,0)</f>
        <v>0.20833333333333331</v>
      </c>
      <c r="M78" s="20">
        <f>$D$90*L78</f>
        <v>1723082.3033975211</v>
      </c>
      <c r="N78" s="54">
        <f>IF(D78&gt;0,IF(AND(C78&lt;$D$83,M78&gt;0),M78/D78,0),0)</f>
        <v>0.43077057584938028</v>
      </c>
      <c r="O78" s="52">
        <f>IF(N78&gt;0,N78^(12/($D$83-C78))-1,0)</f>
        <v>-0.17662962326151121</v>
      </c>
      <c r="P78" s="13">
        <f>IF(D78&gt;0,IF(C78&gt;=MAX(IF(D77&gt;0,C77,0)),1,0),1)</f>
        <v>1</v>
      </c>
    </row>
    <row r="79" spans="2:16" x14ac:dyDescent="0.35">
      <c r="B79" s="3" t="s">
        <v>342</v>
      </c>
      <c r="C79" s="58">
        <f>Inputs!$F$79</f>
        <v>19</v>
      </c>
      <c r="D79" s="40">
        <f>Inputs!$F$80</f>
        <v>12000000</v>
      </c>
      <c r="E79" s="40">
        <f>Inputs!$F$81</f>
        <v>20000000</v>
      </c>
      <c r="F79" s="20">
        <f>IF(D79&gt;0,E79+D79,0)</f>
        <v>32000000</v>
      </c>
      <c r="G79" s="29">
        <f>G78+I78</f>
        <v>45217.500002762863</v>
      </c>
      <c r="H79" s="53">
        <f>IF(AND(D79&gt;0,E79&gt;0,G79&gt;0),E79/G79,0)</f>
        <v>442.30662904357752</v>
      </c>
      <c r="I79" s="29">
        <f>IF(H79&gt;0,D79/H79,0)</f>
        <v>27130.500001657718</v>
      </c>
      <c r="J79" s="52">
        <f>IF(G79+I79&gt;0,I79/(G79+I79),0)</f>
        <v>0.375</v>
      </c>
      <c r="K79" s="52">
        <f>IF(G79+I79&gt;0,$G$76/(G79+I79),0)</f>
        <v>0.34555205394029498</v>
      </c>
      <c r="L79" s="52">
        <f>IF(AND(D79&gt;0,C79&lt;=$D$83,$D$91&gt;0),I79/$D$91,0)</f>
        <v>0.375</v>
      </c>
      <c r="M79" s="20">
        <f>$D$90*L79</f>
        <v>3101548.1461155382</v>
      </c>
      <c r="N79" s="54">
        <f>IF(D79&gt;0,IF(AND(C79&lt;$D$83,M79&gt;0),M79/D79,0),0)</f>
        <v>0.25846234550962821</v>
      </c>
      <c r="O79" s="52">
        <f>IF(N79&gt;0,N79^(12/($D$83-C79))-1,0)</f>
        <v>-0.32699434035761976</v>
      </c>
      <c r="P79" s="13">
        <f>IF(D79&gt;0,IF(C79&gt;=MAX(IF(D77&gt;0,C77,0),IF(D78&gt;0,C78,0)),1,0),1)</f>
        <v>1</v>
      </c>
    </row>
    <row r="80" spans="2:16" x14ac:dyDescent="0.35">
      <c r="B80" s="3" t="s">
        <v>343</v>
      </c>
      <c r="C80" s="58">
        <f>Inputs!$F$82</f>
        <v>0</v>
      </c>
      <c r="D80" s="40">
        <f>Inputs!$F$83</f>
        <v>0</v>
      </c>
      <c r="E80" s="40">
        <f>Inputs!$F$84</f>
        <v>0</v>
      </c>
      <c r="F80" s="20">
        <f>IF(D80&gt;0,E80+D80,0)</f>
        <v>0</v>
      </c>
      <c r="G80" s="29">
        <f>G79+I79</f>
        <v>72348.000004420581</v>
      </c>
      <c r="H80" s="53">
        <f>IF(AND(D80&gt;0,E80&gt;0,G80&gt;0),E80/G80,0)</f>
        <v>0</v>
      </c>
      <c r="I80" s="29">
        <f>IF(H80&gt;0,D80/H80,0)</f>
        <v>0</v>
      </c>
      <c r="J80" s="52">
        <f>IF(G80+I80&gt;0,I80/(G80+I80),0)</f>
        <v>0</v>
      </c>
      <c r="K80" s="52">
        <f>IF(G80+I80&gt;0,$G$76/(G80+I80),0)</f>
        <v>0.34555205394029498</v>
      </c>
      <c r="L80" s="52">
        <f>IF(AND(D80&gt;0,C80&lt;=$D$83,$D$91&gt;0),I80/$D$91,0)</f>
        <v>0</v>
      </c>
      <c r="M80" s="20">
        <f>$D$90*L80</f>
        <v>0</v>
      </c>
      <c r="N80" s="54">
        <f>IF(D80&gt;0,IF(AND(C80&lt;$D$83,M80&gt;0),M80/D80,0),0)</f>
        <v>0</v>
      </c>
      <c r="O80" s="52">
        <f>IF(N80&gt;0,N80^(12/($D$83-C80))-1,0)</f>
        <v>0</v>
      </c>
      <c r="P80" s="13">
        <f>IF(D80&gt;0,IF(C80&gt;=MAX(IF(D77&gt;0,C77,0),IF(D78&gt;0,C78,0),IF(D79&gt;0,C79,0)),1,0),1)</f>
        <v>1</v>
      </c>
    </row>
    <row r="82" spans="2:4" x14ac:dyDescent="0.35">
      <c r="B82" s="55" t="s">
        <v>344</v>
      </c>
      <c r="D82" s="55"/>
    </row>
    <row r="83" spans="2:4" x14ac:dyDescent="0.35">
      <c r="B83" s="3" t="s">
        <v>345</v>
      </c>
      <c r="D83" s="58">
        <f>Inputs!$F$86</f>
        <v>60</v>
      </c>
    </row>
    <row r="84" spans="2:4" x14ac:dyDescent="0.35">
      <c r="B84" s="3" t="s">
        <v>346</v>
      </c>
      <c r="D84" s="3" t="str">
        <f>IF(D83=0,"not set",CHOOSE(MOD(D83-1,12)+1,"Jan","Feb","Mar","Apr","May","Jun","Jul","Aug","Sep","Oct","Nov","Dec")&amp;" "&amp;(2027+INT((D83-1)/12))&amp;" (month "&amp;D83&amp;")")</f>
        <v>Dec 2031 (month 60)</v>
      </c>
    </row>
    <row r="85" spans="2:4" x14ac:dyDescent="0.35">
      <c r="B85" s="3" t="s">
        <v>347</v>
      </c>
      <c r="D85" s="59">
        <f>Inputs!$F$87</f>
        <v>4</v>
      </c>
    </row>
    <row r="86" spans="2:4" x14ac:dyDescent="0.35">
      <c r="B86" s="3" t="s">
        <v>348</v>
      </c>
      <c r="D86" s="40">
        <f>IF(AND($D$83&gt;=1,$D$83&lt;=60),INDEX(Calc_Downside!$E$13:$BL$13,1,$D$83),0)</f>
        <v>158978.42145762712</v>
      </c>
    </row>
    <row r="87" spans="2:4" x14ac:dyDescent="0.35">
      <c r="B87" s="3" t="s">
        <v>349</v>
      </c>
      <c r="D87" s="20">
        <f>12*D86</f>
        <v>1907741.0574915255</v>
      </c>
    </row>
    <row r="88" spans="2:4" x14ac:dyDescent="0.35">
      <c r="B88" s="3" t="s">
        <v>350</v>
      </c>
      <c r="D88" s="56">
        <f>D85*D87</f>
        <v>7630964.2299661022</v>
      </c>
    </row>
    <row r="89" spans="2:4" x14ac:dyDescent="0.35">
      <c r="B89" s="3" t="s">
        <v>351</v>
      </c>
      <c r="D89" s="40">
        <f>IF(AND($D$83&gt;=1,$D$83&lt;=60),INDEX(Calc_Downside!$E$48:$BL$48,1,$D$83),0)</f>
        <v>639830.82634200004</v>
      </c>
    </row>
    <row r="90" spans="2:4" x14ac:dyDescent="0.35">
      <c r="B90" s="3" t="s">
        <v>352</v>
      </c>
      <c r="D90" s="56">
        <f>D88+D89</f>
        <v>8270795.0563081019</v>
      </c>
    </row>
    <row r="91" spans="2:4" x14ac:dyDescent="0.35">
      <c r="B91" s="3" t="s">
        <v>353</v>
      </c>
      <c r="D91" s="29">
        <f>G76+IF(AND(D77&gt;0,C77&lt;=$D$83),I77,0)+IF(AND(D78&gt;0,C78&lt;=$D$83),I78,0)+IF(AND(D79&gt;0,C79&lt;=$D$83),I79,0)+IF(AND(D80&gt;0,C80&lt;=$D$83),I80,0)</f>
        <v>72348.000004420581</v>
      </c>
    </row>
    <row r="92" spans="2:4" x14ac:dyDescent="0.35">
      <c r="B92" s="3" t="s">
        <v>272</v>
      </c>
      <c r="D92" s="52">
        <f>L76</f>
        <v>0.34555205394029498</v>
      </c>
    </row>
    <row r="93" spans="2:4" x14ac:dyDescent="0.35">
      <c r="B93" s="3" t="s">
        <v>354</v>
      </c>
      <c r="D93" s="20">
        <f>M76</f>
        <v>2857990.2194265025</v>
      </c>
    </row>
    <row r="94" spans="2:4" x14ac:dyDescent="0.35">
      <c r="B94" s="3" t="s">
        <v>355</v>
      </c>
      <c r="D94" s="40">
        <f>Calc_Downside!D45</f>
        <v>17000000</v>
      </c>
    </row>
  </sheetData>
  <pageMargins left="0.4" right="0.4" top="0.5" bottom="0.5" header="0.5" footer="0.5"/>
  <pageSetup paperSize="9"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F7F7F"/>
    <pageSetUpPr fitToPage="1"/>
  </sheetPr>
  <dimension ref="B1:I66"/>
  <sheetViews>
    <sheetView showGridLines="0" workbookViewId="0"/>
  </sheetViews>
  <sheetFormatPr defaultRowHeight="14.5" x14ac:dyDescent="0.35"/>
  <cols>
    <col min="1" max="1" width="2" customWidth="1"/>
    <col min="2" max="2" width="30" customWidth="1"/>
    <col min="3" max="3" width="28" customWidth="1"/>
    <col min="4" max="4" width="20" customWidth="1"/>
    <col min="5" max="5" width="16" customWidth="1"/>
    <col min="6" max="8" width="15" customWidth="1"/>
    <col min="9" max="9" width="16" customWidth="1"/>
  </cols>
  <sheetData>
    <row r="1" spans="2:9" ht="20" x14ac:dyDescent="0.4">
      <c r="B1" s="11" t="s">
        <v>356</v>
      </c>
    </row>
    <row r="2" spans="2:9" x14ac:dyDescent="0.35">
      <c r="B2" s="9" t="s">
        <v>95</v>
      </c>
    </row>
    <row r="3" spans="2:9" x14ac:dyDescent="0.35">
      <c r="B3" s="9" t="s">
        <v>357</v>
      </c>
    </row>
    <row r="5" spans="2:9" x14ac:dyDescent="0.35">
      <c r="B5" s="14" t="s">
        <v>281</v>
      </c>
      <c r="C5" s="15" t="s">
        <v>358</v>
      </c>
      <c r="D5" s="15" t="s">
        <v>141</v>
      </c>
      <c r="E5" s="15" t="s">
        <v>142</v>
      </c>
      <c r="F5" s="15" t="s">
        <v>143</v>
      </c>
      <c r="G5" s="15" t="s">
        <v>144</v>
      </c>
      <c r="H5" s="15" t="s">
        <v>145</v>
      </c>
      <c r="I5" s="15" t="s">
        <v>309</v>
      </c>
    </row>
    <row r="6" spans="2:9" x14ac:dyDescent="0.35">
      <c r="B6" s="4" t="s">
        <v>147</v>
      </c>
      <c r="C6" s="3" t="s">
        <v>359</v>
      </c>
      <c r="D6" s="60">
        <v>5880.8860223563897</v>
      </c>
      <c r="E6" s="60">
        <v>148157.5195461699</v>
      </c>
      <c r="F6" s="60">
        <v>439185.997353766</v>
      </c>
      <c r="G6" s="60">
        <v>837626.0972755854</v>
      </c>
      <c r="H6" s="60">
        <v>1255255.2723093389</v>
      </c>
      <c r="I6" s="20">
        <f>SUM(D6:H6)</f>
        <v>2686105.7725072168</v>
      </c>
    </row>
    <row r="7" spans="2:9" x14ac:dyDescent="0.35">
      <c r="C7" s="3" t="s">
        <v>360</v>
      </c>
      <c r="D7" s="40">
        <f>Annual!D34</f>
        <v>5880.89</v>
      </c>
      <c r="E7" s="40">
        <f>Annual!E34</f>
        <v>148157.51999999999</v>
      </c>
      <c r="F7" s="40">
        <f>Annual!F34</f>
        <v>439186.00043183088</v>
      </c>
      <c r="G7" s="40">
        <f>Annual!G34</f>
        <v>837626.02041275729</v>
      </c>
      <c r="H7" s="40">
        <f>Annual!H34</f>
        <v>1255255.4492610302</v>
      </c>
      <c r="I7" s="20">
        <f>SUM(D7:H7)</f>
        <v>2686105.8801056184</v>
      </c>
    </row>
    <row r="8" spans="2:9" x14ac:dyDescent="0.35">
      <c r="B8" s="61"/>
      <c r="C8" s="62" t="s">
        <v>361</v>
      </c>
      <c r="D8" s="63">
        <f t="shared" ref="D8:I8" si="0">D7-D6</f>
        <v>3.977643610596715E-3</v>
      </c>
      <c r="E8" s="63">
        <f t="shared" si="0"/>
        <v>4.5383008546195924E-4</v>
      </c>
      <c r="F8" s="63">
        <f t="shared" si="0"/>
        <v>3.0780648812651634E-3</v>
      </c>
      <c r="G8" s="63">
        <f t="shared" si="0"/>
        <v>-7.686282810755074E-2</v>
      </c>
      <c r="H8" s="63">
        <f t="shared" si="0"/>
        <v>0.17695169127546251</v>
      </c>
      <c r="I8" s="63">
        <f t="shared" si="0"/>
        <v>0.10759840160608292</v>
      </c>
    </row>
    <row r="9" spans="2:9" x14ac:dyDescent="0.35">
      <c r="B9" s="4" t="s">
        <v>149</v>
      </c>
      <c r="C9" s="3" t="s">
        <v>359</v>
      </c>
      <c r="D9" s="60">
        <v>0</v>
      </c>
      <c r="E9" s="60">
        <v>174979.33682161139</v>
      </c>
      <c r="F9" s="60">
        <v>736802.31738789263</v>
      </c>
      <c r="G9" s="60">
        <v>1722693.839784682</v>
      </c>
      <c r="H9" s="60">
        <v>3022491.4829248888</v>
      </c>
      <c r="I9" s="20">
        <f>SUM(D9:H9)</f>
        <v>5656966.9769190755</v>
      </c>
    </row>
    <row r="10" spans="2:9" x14ac:dyDescent="0.35">
      <c r="C10" s="3" t="s">
        <v>360</v>
      </c>
      <c r="D10" s="40">
        <f>Annual!D35</f>
        <v>0</v>
      </c>
      <c r="E10" s="40">
        <f>Annual!E35</f>
        <v>174979.34</v>
      </c>
      <c r="F10" s="40">
        <f>Annual!F35</f>
        <v>736802.28462894354</v>
      </c>
      <c r="G10" s="40">
        <f>Annual!G35</f>
        <v>1722694.0200325979</v>
      </c>
      <c r="H10" s="40">
        <f>Annual!H35</f>
        <v>3022491.5830942849</v>
      </c>
      <c r="I10" s="20">
        <f>SUM(D10:H10)</f>
        <v>5656967.227755826</v>
      </c>
    </row>
    <row r="11" spans="2:9" x14ac:dyDescent="0.35">
      <c r="B11" s="61"/>
      <c r="C11" s="62" t="s">
        <v>361</v>
      </c>
      <c r="D11" s="63">
        <f t="shared" ref="D11:I11" si="1">D10-D9</f>
        <v>0</v>
      </c>
      <c r="E11" s="63">
        <f t="shared" si="1"/>
        <v>3.1783886079210788E-3</v>
      </c>
      <c r="F11" s="63">
        <f t="shared" si="1"/>
        <v>-3.2758949091657996E-2</v>
      </c>
      <c r="G11" s="63">
        <f t="shared" si="1"/>
        <v>0.18024791590869427</v>
      </c>
      <c r="H11" s="63">
        <f t="shared" si="1"/>
        <v>0.10016939602792263</v>
      </c>
      <c r="I11" s="63">
        <f t="shared" si="1"/>
        <v>0.25083675049245358</v>
      </c>
    </row>
    <row r="12" spans="2:9" x14ac:dyDescent="0.35">
      <c r="B12" s="4" t="s">
        <v>150</v>
      </c>
      <c r="C12" s="3" t="s">
        <v>359</v>
      </c>
      <c r="D12" s="60">
        <v>0</v>
      </c>
      <c r="E12" s="60">
        <v>0</v>
      </c>
      <c r="F12" s="60">
        <v>188500</v>
      </c>
      <c r="G12" s="60">
        <v>696485.92079632345</v>
      </c>
      <c r="H12" s="60">
        <v>1454849.3229061691</v>
      </c>
      <c r="I12" s="20">
        <f>SUM(D12:H12)</f>
        <v>2339835.2437024927</v>
      </c>
    </row>
    <row r="13" spans="2:9" x14ac:dyDescent="0.35">
      <c r="C13" s="3" t="s">
        <v>360</v>
      </c>
      <c r="D13" s="40">
        <f>Annual!D36</f>
        <v>0</v>
      </c>
      <c r="E13" s="40">
        <f>Annual!E36</f>
        <v>0</v>
      </c>
      <c r="F13" s="40">
        <f>Annual!F36</f>
        <v>188500.00000000003</v>
      </c>
      <c r="G13" s="40">
        <f>Annual!G36</f>
        <v>696485.87597882468</v>
      </c>
      <c r="H13" s="40">
        <f>Annual!H36</f>
        <v>1454849.1731741047</v>
      </c>
      <c r="I13" s="20">
        <f>SUM(D13:H13)</f>
        <v>2339835.0491529293</v>
      </c>
    </row>
    <row r="14" spans="2:9" x14ac:dyDescent="0.35">
      <c r="B14" s="61"/>
      <c r="C14" s="62" t="s">
        <v>361</v>
      </c>
      <c r="D14" s="63">
        <f t="shared" ref="D14:I14" si="2">D13-D12</f>
        <v>0</v>
      </c>
      <c r="E14" s="63">
        <f t="shared" si="2"/>
        <v>0</v>
      </c>
      <c r="F14" s="63">
        <f t="shared" si="2"/>
        <v>0</v>
      </c>
      <c r="G14" s="63">
        <f t="shared" si="2"/>
        <v>-4.4817498768679798E-2</v>
      </c>
      <c r="H14" s="63">
        <f t="shared" si="2"/>
        <v>-0.1497320644557476</v>
      </c>
      <c r="I14" s="63">
        <f t="shared" si="2"/>
        <v>-0.19454956334084272</v>
      </c>
    </row>
    <row r="15" spans="2:9" x14ac:dyDescent="0.35">
      <c r="B15" s="4" t="s">
        <v>284</v>
      </c>
      <c r="C15" s="3" t="s">
        <v>359</v>
      </c>
      <c r="D15" s="60">
        <v>5880.8860223563897</v>
      </c>
      <c r="E15" s="60">
        <v>323136.85636778129</v>
      </c>
      <c r="F15" s="60">
        <v>1364488.314741659</v>
      </c>
      <c r="G15" s="60">
        <v>3256805.8578565912</v>
      </c>
      <c r="H15" s="60">
        <v>5732596.0781403976</v>
      </c>
      <c r="I15" s="20">
        <f>SUM(D15:H15)</f>
        <v>10682907.993128784</v>
      </c>
    </row>
    <row r="16" spans="2:9" x14ac:dyDescent="0.35">
      <c r="C16" s="3" t="s">
        <v>360</v>
      </c>
      <c r="D16" s="40">
        <f>Annual!D37</f>
        <v>5880.89</v>
      </c>
      <c r="E16" s="40">
        <f>Annual!E37</f>
        <v>323136.86</v>
      </c>
      <c r="F16" s="40">
        <f>Annual!F37</f>
        <v>1364488.2850607745</v>
      </c>
      <c r="G16" s="40">
        <f>Annual!G37</f>
        <v>3256805.9164241804</v>
      </c>
      <c r="H16" s="40">
        <f>Annual!H37</f>
        <v>5732596.2055294197</v>
      </c>
      <c r="I16" s="20">
        <f>SUM(D16:H16)</f>
        <v>10682908.157014374</v>
      </c>
    </row>
    <row r="17" spans="2:9" x14ac:dyDescent="0.35">
      <c r="B17" s="61"/>
      <c r="C17" s="62" t="s">
        <v>361</v>
      </c>
      <c r="D17" s="63">
        <f t="shared" ref="D17:I17" si="3">D16-D15</f>
        <v>3.977643610596715E-3</v>
      </c>
      <c r="E17" s="63">
        <f t="shared" si="3"/>
        <v>3.632218693383038E-3</v>
      </c>
      <c r="F17" s="63">
        <f t="shared" si="3"/>
        <v>-2.9680884443223476E-2</v>
      </c>
      <c r="G17" s="63">
        <f t="shared" si="3"/>
        <v>5.8567589148879051E-2</v>
      </c>
      <c r="H17" s="63">
        <f t="shared" si="3"/>
        <v>0.1273890221491456</v>
      </c>
      <c r="I17" s="63">
        <f t="shared" si="3"/>
        <v>0.16388558968901634</v>
      </c>
    </row>
    <row r="18" spans="2:9" x14ac:dyDescent="0.35">
      <c r="B18" s="4" t="s">
        <v>286</v>
      </c>
      <c r="C18" s="3" t="s">
        <v>359</v>
      </c>
      <c r="D18" s="60">
        <v>-13695.17531720889</v>
      </c>
      <c r="E18" s="60">
        <v>155750.7413018767</v>
      </c>
      <c r="F18" s="60">
        <v>810788.77964302024</v>
      </c>
      <c r="G18" s="60">
        <v>2056328.6780456691</v>
      </c>
      <c r="H18" s="60">
        <v>3706219.8196717389</v>
      </c>
      <c r="I18" s="20">
        <f>SUM(D18:H18)</f>
        <v>6715392.8433450963</v>
      </c>
    </row>
    <row r="19" spans="2:9" x14ac:dyDescent="0.35">
      <c r="C19" s="3" t="s">
        <v>360</v>
      </c>
      <c r="D19" s="40">
        <f>Annual!D40</f>
        <v>-13695.187277290002</v>
      </c>
      <c r="E19" s="40">
        <f>Annual!E40</f>
        <v>155750.69218588001</v>
      </c>
      <c r="F19" s="40">
        <f>Annual!F40</f>
        <v>810789.25775521132</v>
      </c>
      <c r="G19" s="40">
        <f>Annual!G40</f>
        <v>2056328.0201516631</v>
      </c>
      <c r="H19" s="40">
        <f>Annual!H40</f>
        <v>3706221.4386695242</v>
      </c>
      <c r="I19" s="20">
        <f>SUM(D19:H19)</f>
        <v>6715394.2214849889</v>
      </c>
    </row>
    <row r="20" spans="2:9" x14ac:dyDescent="0.35">
      <c r="B20" s="61"/>
      <c r="C20" s="62" t="s">
        <v>361</v>
      </c>
      <c r="D20" s="63">
        <f t="shared" ref="D20:I20" si="4">D19-D18</f>
        <v>-1.1960081112192711E-2</v>
      </c>
      <c r="E20" s="63">
        <f t="shared" si="4"/>
        <v>-4.9115996691398323E-2</v>
      </c>
      <c r="F20" s="63">
        <f t="shared" si="4"/>
        <v>0.47811219107825309</v>
      </c>
      <c r="G20" s="63">
        <f t="shared" si="4"/>
        <v>-0.65789400599896908</v>
      </c>
      <c r="H20" s="63">
        <f t="shared" si="4"/>
        <v>1.6189977852627635</v>
      </c>
      <c r="I20" s="63">
        <f t="shared" si="4"/>
        <v>1.3781398925930262</v>
      </c>
    </row>
    <row r="21" spans="2:9" x14ac:dyDescent="0.35">
      <c r="B21" s="4" t="s">
        <v>289</v>
      </c>
      <c r="C21" s="3" t="s">
        <v>359</v>
      </c>
      <c r="D21" s="60">
        <v>-1540974.305707583</v>
      </c>
      <c r="E21" s="60">
        <v>-3229765.9060121202</v>
      </c>
      <c r="F21" s="60">
        <v>-3300158.993622202</v>
      </c>
      <c r="G21" s="60">
        <v>-2560868.2609740398</v>
      </c>
      <c r="H21" s="60">
        <v>-1002213.606188183</v>
      </c>
      <c r="I21" s="20">
        <f>SUM(D21:H21)</f>
        <v>-11633981.072504129</v>
      </c>
    </row>
    <row r="22" spans="2:9" x14ac:dyDescent="0.35">
      <c r="C22" s="3" t="s">
        <v>360</v>
      </c>
      <c r="D22" s="40">
        <f>Annual!D45</f>
        <v>-1540974.3921612198</v>
      </c>
      <c r="E22" s="40">
        <f>Annual!E45</f>
        <v>-3190440.84197021</v>
      </c>
      <c r="F22" s="40">
        <f>Annual!F45</f>
        <v>-3235196.3449675841</v>
      </c>
      <c r="G22" s="40">
        <f>Annual!G45</f>
        <v>-2526923.3500179444</v>
      </c>
      <c r="H22" s="40">
        <f>Annual!H45</f>
        <v>-1002212.0437933416</v>
      </c>
      <c r="I22" s="20">
        <f>SUM(D22:H22)</f>
        <v>-11495746.972910298</v>
      </c>
    </row>
    <row r="23" spans="2:9" x14ac:dyDescent="0.35">
      <c r="B23" s="61"/>
      <c r="C23" s="62" t="s">
        <v>361</v>
      </c>
      <c r="D23" s="63">
        <f t="shared" ref="D23:I23" si="5">D22-D21</f>
        <v>-8.6453636875376105E-2</v>
      </c>
      <c r="E23" s="63">
        <f t="shared" si="5"/>
        <v>39325.064041910227</v>
      </c>
      <c r="F23" s="63">
        <f t="shared" si="5"/>
        <v>64962.648654617835</v>
      </c>
      <c r="G23" s="63">
        <f t="shared" si="5"/>
        <v>33944.910956095438</v>
      </c>
      <c r="H23" s="63">
        <f t="shared" si="5"/>
        <v>1.5623948413413018</v>
      </c>
      <c r="I23" s="63">
        <f t="shared" si="5"/>
        <v>138234.09959383123</v>
      </c>
    </row>
    <row r="24" spans="2:9" x14ac:dyDescent="0.35">
      <c r="B24" s="4" t="s">
        <v>318</v>
      </c>
      <c r="C24" s="3" t="s">
        <v>359</v>
      </c>
      <c r="D24" s="60">
        <v>3589765.4730505408</v>
      </c>
      <c r="E24" s="60">
        <v>12575920.61820275</v>
      </c>
      <c r="F24" s="60">
        <v>9570893.639379736</v>
      </c>
      <c r="G24" s="60">
        <v>7269566.1702348953</v>
      </c>
      <c r="H24" s="60">
        <v>6426545.8399347607</v>
      </c>
    </row>
    <row r="25" spans="2:9" x14ac:dyDescent="0.35">
      <c r="C25" s="3" t="s">
        <v>360</v>
      </c>
      <c r="D25" s="40">
        <f>Annual!D57</f>
        <v>3477720.4991631419</v>
      </c>
      <c r="E25" s="40">
        <f>Annual!E57</f>
        <v>12385351.862984465</v>
      </c>
      <c r="F25" s="40">
        <f>Annual!F57</f>
        <v>9313611.9876407105</v>
      </c>
      <c r="G25" s="40">
        <f>Annual!G57</f>
        <v>6908094.710483606</v>
      </c>
      <c r="H25" s="40">
        <f>Annual!H57</f>
        <v>5968422.0594740147</v>
      </c>
    </row>
    <row r="26" spans="2:9" x14ac:dyDescent="0.35">
      <c r="B26" s="61"/>
      <c r="C26" s="62" t="s">
        <v>361</v>
      </c>
      <c r="D26" s="63">
        <f>D25-D24</f>
        <v>-112044.97388739884</v>
      </c>
      <c r="E26" s="63">
        <f>E25-E24</f>
        <v>-190568.7552182842</v>
      </c>
      <c r="F26" s="63">
        <f>F25-F24</f>
        <v>-257281.65173902549</v>
      </c>
      <c r="G26" s="63">
        <f>G25-G24</f>
        <v>-361471.45975128934</v>
      </c>
      <c r="H26" s="63">
        <f>H25-H24</f>
        <v>-458123.78046074603</v>
      </c>
      <c r="I26" s="61"/>
    </row>
    <row r="28" spans="2:9" x14ac:dyDescent="0.35">
      <c r="B28" s="2" t="s">
        <v>362</v>
      </c>
    </row>
    <row r="29" spans="2:9" ht="26" x14ac:dyDescent="0.35">
      <c r="B29" s="14" t="s">
        <v>281</v>
      </c>
      <c r="C29" s="15" t="s">
        <v>363</v>
      </c>
      <c r="D29" s="15" t="s">
        <v>364</v>
      </c>
      <c r="E29" s="15" t="s">
        <v>365</v>
      </c>
    </row>
    <row r="30" spans="2:9" x14ac:dyDescent="0.35">
      <c r="B30" s="3" t="s">
        <v>366</v>
      </c>
      <c r="C30" s="60">
        <v>1073137.696001177</v>
      </c>
      <c r="D30" s="40">
        <f>SUM(Calc_Base!BA10:BL10)-SUM(Calc_Base!BA18:BL18)</f>
        <v>1073137.9676604429</v>
      </c>
      <c r="E30" s="20">
        <f>D30-C30</f>
        <v>0.27165926597081125</v>
      </c>
    </row>
    <row r="31" spans="2:9" x14ac:dyDescent="0.35">
      <c r="B31" s="3" t="s">
        <v>367</v>
      </c>
      <c r="C31" s="60">
        <v>1232788.269803918</v>
      </c>
      <c r="D31" s="40">
        <f>SUM(Calc_Base!BA11:BL11)-SUM(Calc_Base!BA19:BL19)</f>
        <v>1232789.6869798324</v>
      </c>
      <c r="E31" s="20">
        <f>D31-C31</f>
        <v>1.4171759143937379</v>
      </c>
    </row>
    <row r="32" spans="2:9" x14ac:dyDescent="0.35">
      <c r="B32" s="3" t="s">
        <v>368</v>
      </c>
      <c r="C32" s="60">
        <v>1400293.853866644</v>
      </c>
      <c r="D32" s="40">
        <f>SUM(Calc_Base!BA12:BL12)-SUM(Calc_Base!BA20:BL20)</f>
        <v>1400293.7840292491</v>
      </c>
      <c r="E32" s="20">
        <f>D32-C32</f>
        <v>-6.9837394868955016E-2</v>
      </c>
    </row>
    <row r="33" spans="2:5" x14ac:dyDescent="0.35">
      <c r="B33" s="3" t="s">
        <v>243</v>
      </c>
      <c r="C33" s="60">
        <v>2237065.047136189</v>
      </c>
      <c r="D33" s="40">
        <f>Annual!H42</f>
        <v>2237065.0499999993</v>
      </c>
      <c r="E33" s="20">
        <f>C33-D33</f>
        <v>-2.8638103976845741E-3</v>
      </c>
    </row>
    <row r="34" spans="2:5" x14ac:dyDescent="0.35">
      <c r="B34" s="3" t="s">
        <v>287</v>
      </c>
      <c r="C34" s="60">
        <v>1876839.478723733</v>
      </c>
      <c r="D34" s="40">
        <f>Annual!H43</f>
        <v>1876839.5324628658</v>
      </c>
      <c r="E34" s="20">
        <f>C34-D34</f>
        <v>-5.3739132825285196E-2</v>
      </c>
    </row>
    <row r="35" spans="2:5" x14ac:dyDescent="0.35">
      <c r="B35" s="3" t="s">
        <v>288</v>
      </c>
      <c r="C35" s="60">
        <v>594528.89999999991</v>
      </c>
      <c r="D35" s="40">
        <f>Annual!H44</f>
        <v>594528.9</v>
      </c>
      <c r="E35" s="20">
        <f>C35-D35</f>
        <v>0</v>
      </c>
    </row>
    <row r="36" spans="2:5" x14ac:dyDescent="0.35">
      <c r="B36" s="64" t="s">
        <v>289</v>
      </c>
      <c r="C36" s="65">
        <v>-1002213.606188183</v>
      </c>
      <c r="D36" s="66">
        <f>Annual!H45</f>
        <v>-1002212.0437933416</v>
      </c>
      <c r="E36" s="67">
        <f>D36-C36</f>
        <v>1.5623948413413018</v>
      </c>
    </row>
    <row r="37" spans="2:5" x14ac:dyDescent="0.35">
      <c r="B37" s="9" t="s">
        <v>369</v>
      </c>
      <c r="E37" s="53">
        <f>SUM(E30:E35)-E36</f>
        <v>9.3132257461547852E-10</v>
      </c>
    </row>
    <row r="39" spans="2:5" x14ac:dyDescent="0.35">
      <c r="B39" s="2" t="s">
        <v>370</v>
      </c>
    </row>
    <row r="40" spans="2:5" x14ac:dyDescent="0.35">
      <c r="B40" s="14" t="s">
        <v>371</v>
      </c>
      <c r="C40" s="15" t="s">
        <v>359</v>
      </c>
      <c r="D40" s="15" t="s">
        <v>360</v>
      </c>
      <c r="E40" s="15" t="s">
        <v>372</v>
      </c>
    </row>
    <row r="41" spans="2:5" x14ac:dyDescent="0.35">
      <c r="B41" s="3" t="s">
        <v>17</v>
      </c>
      <c r="C41" s="68" t="s">
        <v>373</v>
      </c>
      <c r="D41" s="6" t="str">
        <f>Calc_Base!D61</f>
        <v>not reached</v>
      </c>
      <c r="E41" s="6" t="str">
        <f>IF(AND(0&gt;0,Calc_Base!D60&gt;0),Calc_Base!D60-0&amp;" months","n/a")</f>
        <v>n/a</v>
      </c>
    </row>
    <row r="42" spans="2:5" x14ac:dyDescent="0.35">
      <c r="B42" s="3" t="s">
        <v>261</v>
      </c>
      <c r="C42" s="68" t="s">
        <v>374</v>
      </c>
      <c r="D42" s="6" t="str">
        <f>Calc_Base!D63</f>
        <v>not reached</v>
      </c>
      <c r="E42" s="6" t="str">
        <f>IF(AND(60&gt;0,Calc_Base!D62&gt;0),Calc_Base!D62-60&amp;" months","n/a")</f>
        <v>n/a</v>
      </c>
    </row>
    <row r="43" spans="2:5" x14ac:dyDescent="0.35">
      <c r="B43" s="3" t="s">
        <v>15</v>
      </c>
      <c r="C43" s="60">
        <v>454182.37009398767</v>
      </c>
      <c r="D43" s="40">
        <f>Calc_Base!D64</f>
        <v>423589.53254519962</v>
      </c>
      <c r="E43" s="20">
        <f>D43-C43</f>
        <v>-30592.837548788055</v>
      </c>
    </row>
    <row r="44" spans="2:5" x14ac:dyDescent="0.35">
      <c r="B44" s="3" t="s">
        <v>16</v>
      </c>
      <c r="C44" s="68" t="s">
        <v>375</v>
      </c>
      <c r="D44" s="6" t="str">
        <f>Calc_Base!D66</f>
        <v>Jul 2027 (month 7)</v>
      </c>
      <c r="E44" s="6" t="str">
        <f>IF(AND(7&gt;0,Calc_Base!D65&gt;0),Calc_Base!D65-7&amp;" months","n/a")</f>
        <v>0 months</v>
      </c>
    </row>
    <row r="45" spans="2:5" x14ac:dyDescent="0.35">
      <c r="B45" s="3" t="s">
        <v>269</v>
      </c>
      <c r="C45" s="60">
        <v>27530763.070879489</v>
      </c>
      <c r="D45" s="40">
        <f>Rounds_Exit!D42</f>
        <v>28369442.247176304</v>
      </c>
      <c r="E45" s="20">
        <f>D45-C45</f>
        <v>838679.17629681528</v>
      </c>
    </row>
    <row r="46" spans="2:5" x14ac:dyDescent="0.35">
      <c r="B46" s="3" t="s">
        <v>18</v>
      </c>
      <c r="C46" s="60">
        <v>33957308.910814248</v>
      </c>
      <c r="D46" s="40">
        <f>Rounds_Exit!D44</f>
        <v>34337864.306650318</v>
      </c>
      <c r="E46" s="20">
        <f>D46-C46</f>
        <v>380555.39583607018</v>
      </c>
    </row>
    <row r="47" spans="2:5" x14ac:dyDescent="0.35">
      <c r="B47" s="3" t="s">
        <v>376</v>
      </c>
      <c r="C47" s="69">
        <v>2.1251198650578909</v>
      </c>
      <c r="D47" s="70">
        <f>Rounds_Exit!N31</f>
        <v>2.4419239220181401</v>
      </c>
      <c r="E47" s="71">
        <f>D47-C47</f>
        <v>0.31680405696024927</v>
      </c>
    </row>
    <row r="48" spans="2:5" x14ac:dyDescent="0.35">
      <c r="B48" s="3" t="s">
        <v>377</v>
      </c>
      <c r="C48" s="69">
        <v>1.55635600612986</v>
      </c>
      <c r="D48" s="70">
        <f>Rounds_Exit!N32</f>
        <v>1.7884304326380374</v>
      </c>
      <c r="E48" s="71">
        <f>D48-C48</f>
        <v>0.23207442650817733</v>
      </c>
    </row>
    <row r="49" spans="2:5" x14ac:dyDescent="0.35">
      <c r="B49" s="3" t="s">
        <v>378</v>
      </c>
      <c r="C49" s="69">
        <v>0.93382737186622244</v>
      </c>
      <c r="D49" s="70">
        <f>Rounds_Exit!N33</f>
        <v>1.0730582595828224</v>
      </c>
      <c r="E49" s="71">
        <f>D49-C49</f>
        <v>0.13923088771659997</v>
      </c>
    </row>
    <row r="51" spans="2:5" x14ac:dyDescent="0.35">
      <c r="B51" s="2" t="s">
        <v>379</v>
      </c>
    </row>
    <row r="52" spans="2:5" x14ac:dyDescent="0.35">
      <c r="B52" s="3" t="s">
        <v>380</v>
      </c>
    </row>
    <row r="53" spans="2:5" x14ac:dyDescent="0.35">
      <c r="B53" s="3" t="s">
        <v>381</v>
      </c>
    </row>
    <row r="54" spans="2:5" x14ac:dyDescent="0.35">
      <c r="B54" s="3" t="s">
        <v>382</v>
      </c>
    </row>
    <row r="55" spans="2:5" x14ac:dyDescent="0.35">
      <c r="B55" s="3" t="s">
        <v>383</v>
      </c>
    </row>
    <row r="56" spans="2:5" x14ac:dyDescent="0.35">
      <c r="B56" s="3" t="s">
        <v>384</v>
      </c>
    </row>
    <row r="57" spans="2:5" x14ac:dyDescent="0.35">
      <c r="B57" s="3" t="s">
        <v>385</v>
      </c>
    </row>
    <row r="58" spans="2:5" x14ac:dyDescent="0.35">
      <c r="B58" s="3" t="s">
        <v>386</v>
      </c>
    </row>
    <row r="59" spans="2:5" x14ac:dyDescent="0.35">
      <c r="B59" s="3" t="s">
        <v>387</v>
      </c>
    </row>
    <row r="60" spans="2:5" x14ac:dyDescent="0.35">
      <c r="B60" s="3" t="s">
        <v>388</v>
      </c>
    </row>
    <row r="61" spans="2:5" x14ac:dyDescent="0.35">
      <c r="B61" s="3" t="s">
        <v>389</v>
      </c>
    </row>
    <row r="62" spans="2:5" x14ac:dyDescent="0.35">
      <c r="B62" s="3" t="s">
        <v>390</v>
      </c>
    </row>
    <row r="63" spans="2:5" x14ac:dyDescent="0.35">
      <c r="B63" s="3" t="s">
        <v>391</v>
      </c>
    </row>
    <row r="64" spans="2:5" x14ac:dyDescent="0.35">
      <c r="B64" s="3" t="s">
        <v>392</v>
      </c>
    </row>
    <row r="65" spans="2:2" x14ac:dyDescent="0.35">
      <c r="B65" s="3" t="s">
        <v>393</v>
      </c>
    </row>
    <row r="66" spans="2:2" x14ac:dyDescent="0.35">
      <c r="B66" s="3" t="s">
        <v>394</v>
      </c>
    </row>
  </sheetData>
  <pageMargins left="0.4" right="0.4" top="0.5" bottom="0.5" header="0.5" footer="0.5"/>
  <pageSetup paperSize="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0AD47"/>
    <pageSetUpPr fitToPage="1"/>
  </sheetPr>
  <dimension ref="B1:F15"/>
  <sheetViews>
    <sheetView showGridLines="0" workbookViewId="0"/>
  </sheetViews>
  <sheetFormatPr defaultRowHeight="14.5" x14ac:dyDescent="0.35"/>
  <cols>
    <col min="1" max="1" width="2" customWidth="1"/>
    <col min="2" max="2" width="6" customWidth="1"/>
    <col min="3" max="3" width="84" customWidth="1"/>
    <col min="4" max="4" width="16" customWidth="1"/>
    <col min="5" max="5" width="12" customWidth="1"/>
    <col min="6" max="6" width="11" customWidth="1"/>
  </cols>
  <sheetData>
    <row r="1" spans="2:6" ht="20" x14ac:dyDescent="0.4">
      <c r="B1" s="11" t="s">
        <v>20</v>
      </c>
    </row>
    <row r="2" spans="2:6" x14ac:dyDescent="0.35">
      <c r="B2" s="9" t="s">
        <v>95</v>
      </c>
    </row>
    <row r="3" spans="2:6" x14ac:dyDescent="0.35">
      <c r="B3" s="9" t="s">
        <v>395</v>
      </c>
    </row>
    <row r="4" spans="2:6" ht="15.5" x14ac:dyDescent="0.35">
      <c r="C4" s="7" t="s">
        <v>396</v>
      </c>
      <c r="D4" s="7" t="str">
        <f>IF(F4="OK","All checks OK","Some checks need attention")</f>
        <v>All checks OK</v>
      </c>
      <c r="F4" s="7" t="str">
        <f>IF(SUMPRODUCT(--(F7:F15="OK"))=9,"OK","CHECK")</f>
        <v>OK</v>
      </c>
    </row>
    <row r="6" spans="2:6" x14ac:dyDescent="0.35">
      <c r="B6" s="14" t="s">
        <v>397</v>
      </c>
      <c r="C6" s="15" t="s">
        <v>398</v>
      </c>
      <c r="D6" s="15" t="s">
        <v>399</v>
      </c>
      <c r="E6" s="15" t="s">
        <v>400</v>
      </c>
      <c r="F6" s="15" t="s">
        <v>107</v>
      </c>
    </row>
    <row r="7" spans="2:6" ht="25" x14ac:dyDescent="0.35">
      <c r="B7" s="72">
        <v>1</v>
      </c>
      <c r="C7" s="73" t="s">
        <v>401</v>
      </c>
      <c r="D7" s="74">
        <f>Calc_Base!D72</f>
        <v>0</v>
      </c>
      <c r="E7" s="75">
        <v>0.01</v>
      </c>
      <c r="F7" s="18" t="str">
        <f t="shared" ref="F7:F15" si="0">IF(ISERROR(D7),"CHECK",IF(ABS(D7)&lt;=E7,"OK","CHECK"))</f>
        <v>OK</v>
      </c>
    </row>
    <row r="8" spans="2:6" ht="25" x14ac:dyDescent="0.35">
      <c r="B8" s="72">
        <v>2</v>
      </c>
      <c r="C8" s="73" t="s">
        <v>402</v>
      </c>
      <c r="D8" s="74">
        <f>Calc_Upside!D72</f>
        <v>0</v>
      </c>
      <c r="E8" s="75">
        <v>0.01</v>
      </c>
      <c r="F8" s="18" t="str">
        <f t="shared" si="0"/>
        <v>OK</v>
      </c>
    </row>
    <row r="9" spans="2:6" ht="25" x14ac:dyDescent="0.35">
      <c r="B9" s="72">
        <v>3</v>
      </c>
      <c r="C9" s="73" t="s">
        <v>403</v>
      </c>
      <c r="D9" s="74">
        <f>Calc_Downside!D72</f>
        <v>4.4237822294235229E-9</v>
      </c>
      <c r="E9" s="75">
        <v>0.01</v>
      </c>
      <c r="F9" s="18" t="str">
        <f t="shared" si="0"/>
        <v>OK</v>
      </c>
    </row>
    <row r="10" spans="2:6" x14ac:dyDescent="0.35">
      <c r="B10" s="72">
        <v>4</v>
      </c>
      <c r="C10" s="73" t="s">
        <v>404</v>
      </c>
      <c r="D10" s="76">
        <f>SUMPRODUCT(--ISERROR(Calc_Base!D9:BL72))+SUMPRODUCT(--ISERROR(Calc_Upside!D9:BL72))+SUMPRODUCT(--ISERROR(Calc_Downside!D9:BL72))+SUMPRODUCT(--ISERROR(Monthly!D9:BL36))+SUMPRODUCT(--ISERROR(Annual!D5:I112))+SUMPRODUCT(--ISERROR(Rounds_Exit!B5:P94))+SUMPRODUCT(--ISERROR(Inputs!D6:I87))+SUMPRODUCT(--ISERROR(Ramp!Q6:R53))+SUMPRODUCT(--ISERROR(Reconciliation!D6:I66))+SUMPRODUCT(--ISERROR(Dashboard!C6:I22))</f>
        <v>0</v>
      </c>
      <c r="E10" s="72">
        <v>0</v>
      </c>
      <c r="F10" s="18" t="str">
        <f t="shared" si="0"/>
        <v>OK</v>
      </c>
    </row>
    <row r="11" spans="2:6" ht="25" x14ac:dyDescent="0.35">
      <c r="B11" s="72">
        <v>5</v>
      </c>
      <c r="C11" s="73" t="s">
        <v>405</v>
      </c>
      <c r="D11" s="76">
        <f>SUMPRODUCT(--(Inputs!I9:I87="CHECK"))</f>
        <v>0</v>
      </c>
      <c r="E11" s="72">
        <v>0</v>
      </c>
      <c r="F11" s="18" t="str">
        <f t="shared" si="0"/>
        <v>OK</v>
      </c>
    </row>
    <row r="12" spans="2:6" ht="25" x14ac:dyDescent="0.35">
      <c r="B12" s="72">
        <v>6</v>
      </c>
      <c r="C12" s="73" t="s">
        <v>406</v>
      </c>
      <c r="D12" s="76">
        <f>SUMPRODUCT(--(Ramp!R6:R53="CHECK"))</f>
        <v>0</v>
      </c>
      <c r="E12" s="72">
        <v>0</v>
      </c>
      <c r="F12" s="18" t="str">
        <f t="shared" si="0"/>
        <v>OK</v>
      </c>
    </row>
    <row r="13" spans="2:6" x14ac:dyDescent="0.35">
      <c r="B13" s="72">
        <v>7</v>
      </c>
      <c r="C13" s="73" t="s">
        <v>407</v>
      </c>
      <c r="D13" s="76">
        <f>IF(AND(Inputs!$D$74&gt;0,OR(Inputs!$D$73&lt;1,Inputs!$D$73&gt;60,Inputs!$D$75&lt;=0)),1,0)+IF(AND(Inputs!$D$77&gt;0,OR(Inputs!$D$76&lt;1,Inputs!$D$76&gt;60,Inputs!$D$78&lt;=0)),1,0)+IF(AND(Inputs!$D$80&gt;0,OR(Inputs!$D$79&lt;1,Inputs!$D$79&gt;60,Inputs!$D$81&lt;=0)),1,0)+IF(AND(Inputs!$D$83&gt;0,OR(Inputs!$D$82&lt;1,Inputs!$D$82&gt;60,Inputs!$D$84&lt;=0)),1,0)+IF(AND(Inputs!$E$74&gt;0,OR(Inputs!$E$73&lt;1,Inputs!$E$73&gt;60,Inputs!$E$75&lt;=0)),1,0)+IF(AND(Inputs!$E$77&gt;0,OR(Inputs!$E$76&lt;1,Inputs!$E$76&gt;60,Inputs!$E$78&lt;=0)),1,0)+IF(AND(Inputs!$E$80&gt;0,OR(Inputs!$E$79&lt;1,Inputs!$E$79&gt;60,Inputs!$E$81&lt;=0)),1,0)+IF(AND(Inputs!$E$83&gt;0,OR(Inputs!$E$82&lt;1,Inputs!$E$82&gt;60,Inputs!$E$84&lt;=0)),1,0)+IF(AND(Inputs!$F$74&gt;0,OR(Inputs!$F$73&lt;1,Inputs!$F$73&gt;60,Inputs!$F$75&lt;=0)),1,0)+IF(AND(Inputs!$F$77&gt;0,OR(Inputs!$F$76&lt;1,Inputs!$F$76&gt;60,Inputs!$F$78&lt;=0)),1,0)+IF(AND(Inputs!$F$80&gt;0,OR(Inputs!$F$79&lt;1,Inputs!$F$79&gt;60,Inputs!$F$81&lt;=0)),1,0)+IF(AND(Inputs!$F$83&gt;0,OR(Inputs!$F$82&lt;1,Inputs!$F$82&gt;60,Inputs!$F$84&lt;=0)),1,0)</f>
        <v>0</v>
      </c>
      <c r="E13" s="72">
        <v>0</v>
      </c>
      <c r="F13" s="18" t="str">
        <f t="shared" si="0"/>
        <v>OK</v>
      </c>
    </row>
    <row r="14" spans="2:6" x14ac:dyDescent="0.35">
      <c r="B14" s="72">
        <v>8</v>
      </c>
      <c r="C14" s="73" t="s">
        <v>408</v>
      </c>
      <c r="D14" s="76">
        <f>SUMPRODUCT(--(Rounds_Exit!P31:P34=0))+SUMPRODUCT(--(Rounds_Exit!P54:P57=0))+SUMPRODUCT(--(Rounds_Exit!P77:P80=0))</f>
        <v>0</v>
      </c>
      <c r="E14" s="72">
        <v>0</v>
      </c>
      <c r="F14" s="18" t="str">
        <f t="shared" si="0"/>
        <v>OK</v>
      </c>
    </row>
    <row r="15" spans="2:6" ht="25" x14ac:dyDescent="0.35">
      <c r="B15" s="72">
        <v>9</v>
      </c>
      <c r="C15" s="73" t="s">
        <v>409</v>
      </c>
      <c r="D15" s="74">
        <f>MAX(ABS(Annual!I37-Calc_Base!D13),ABS(Annual!I45-Calc_Base!D28),ABS(Annual!I51-Calc_Base!D41),ABS(Annual!I55-Calc_Base!D45),ABS(Annual!I57-Calc_Base!D48),ABS(Annual!I64-Calc_Upside!D13),ABS(Annual!I72-Calc_Upside!D28),ABS(Annual!I78-Calc_Upside!D41),ABS(Annual!I82-Calc_Upside!D45),ABS(Annual!I84-Calc_Upside!D48),ABS(Annual!I91-Calc_Downside!D13),ABS(Annual!I99-Calc_Downside!D28),ABS(Annual!I105-Calc_Downside!D41),ABS(Annual!I109-Calc_Downside!D45),ABS(Annual!I111-Calc_Downside!D48))</f>
        <v>7.4505805969238281E-9</v>
      </c>
      <c r="E15" s="75">
        <v>0.01</v>
      </c>
      <c r="F15" s="18" t="str">
        <f t="shared" si="0"/>
        <v>OK</v>
      </c>
    </row>
  </sheetData>
  <conditionalFormatting sqref="F4">
    <cfRule type="cellIs" dxfId="3" priority="3" operator="equal">
      <formula>"OK"</formula>
    </cfRule>
    <cfRule type="cellIs" dxfId="2" priority="4" operator="equal">
      <formula>"CHECK"</formula>
    </cfRule>
  </conditionalFormatting>
  <conditionalFormatting sqref="F7:F15">
    <cfRule type="cellIs" dxfId="1" priority="1" operator="equal">
      <formula>"OK"</formula>
    </cfRule>
    <cfRule type="cellIs" dxfId="0" priority="2" operator="equal">
      <formula>"CHECK"</formula>
    </cfRule>
  </conditionalFormatting>
  <pageMargins left="0.4" right="0.4" top="0.5" bottom="0.5" header="0.5" footer="0.5"/>
  <pageSetup paperSize="9"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F7F7F"/>
    <pageSetUpPr fitToPage="1"/>
  </sheetPr>
  <dimension ref="B1:BL72"/>
  <sheetViews>
    <sheetView showGridLines="0" workbookViewId="0">
      <pane xSplit="4" ySplit="8" topLeftCell="E9" activePane="bottomRight" state="frozen"/>
      <selection pane="topRight"/>
      <selection pane="bottomLeft"/>
      <selection pane="bottomRight"/>
    </sheetView>
  </sheetViews>
  <sheetFormatPr defaultRowHeight="14.5" x14ac:dyDescent="0.35"/>
  <cols>
    <col min="1" max="1" width="2" customWidth="1"/>
    <col min="2" max="2" width="62" customWidth="1"/>
    <col min="3" max="3" width="9" customWidth="1"/>
    <col min="4" max="4" width="16" customWidth="1"/>
    <col min="5" max="64" width="11.453125" customWidth="1"/>
  </cols>
  <sheetData>
    <row r="1" spans="2:64" ht="20" x14ac:dyDescent="0.4">
      <c r="B1" s="11" t="s">
        <v>410</v>
      </c>
    </row>
    <row r="2" spans="2:64" x14ac:dyDescent="0.35">
      <c r="B2" s="9" t="s">
        <v>95</v>
      </c>
    </row>
    <row r="3" spans="2:64" x14ac:dyDescent="0.35">
      <c r="B3" s="9" t="s">
        <v>411</v>
      </c>
    </row>
    <row r="4" spans="2:64" x14ac:dyDescent="0.35">
      <c r="B4" s="3" t="s">
        <v>277</v>
      </c>
      <c r="E4" s="13">
        <v>1</v>
      </c>
      <c r="F4" s="13">
        <f t="shared" ref="F4:AK4" si="0">E4+1</f>
        <v>2</v>
      </c>
      <c r="G4" s="13">
        <f t="shared" si="0"/>
        <v>3</v>
      </c>
      <c r="H4" s="13">
        <f t="shared" si="0"/>
        <v>4</v>
      </c>
      <c r="I4" s="13">
        <f t="shared" si="0"/>
        <v>5</v>
      </c>
      <c r="J4" s="13">
        <f t="shared" si="0"/>
        <v>6</v>
      </c>
      <c r="K4" s="13">
        <f t="shared" si="0"/>
        <v>7</v>
      </c>
      <c r="L4" s="13">
        <f t="shared" si="0"/>
        <v>8</v>
      </c>
      <c r="M4" s="13">
        <f t="shared" si="0"/>
        <v>9</v>
      </c>
      <c r="N4" s="13">
        <f t="shared" si="0"/>
        <v>10</v>
      </c>
      <c r="O4" s="13">
        <f t="shared" si="0"/>
        <v>11</v>
      </c>
      <c r="P4" s="13">
        <f t="shared" si="0"/>
        <v>12</v>
      </c>
      <c r="Q4" s="13">
        <f t="shared" si="0"/>
        <v>13</v>
      </c>
      <c r="R4" s="13">
        <f t="shared" si="0"/>
        <v>14</v>
      </c>
      <c r="S4" s="13">
        <f t="shared" si="0"/>
        <v>15</v>
      </c>
      <c r="T4" s="13">
        <f t="shared" si="0"/>
        <v>16</v>
      </c>
      <c r="U4" s="13">
        <f t="shared" si="0"/>
        <v>17</v>
      </c>
      <c r="V4" s="13">
        <f t="shared" si="0"/>
        <v>18</v>
      </c>
      <c r="W4" s="13">
        <f t="shared" si="0"/>
        <v>19</v>
      </c>
      <c r="X4" s="13">
        <f t="shared" si="0"/>
        <v>20</v>
      </c>
      <c r="Y4" s="13">
        <f t="shared" si="0"/>
        <v>21</v>
      </c>
      <c r="Z4" s="13">
        <f t="shared" si="0"/>
        <v>22</v>
      </c>
      <c r="AA4" s="13">
        <f t="shared" si="0"/>
        <v>23</v>
      </c>
      <c r="AB4" s="13">
        <f t="shared" si="0"/>
        <v>24</v>
      </c>
      <c r="AC4" s="13">
        <f t="shared" si="0"/>
        <v>25</v>
      </c>
      <c r="AD4" s="13">
        <f t="shared" si="0"/>
        <v>26</v>
      </c>
      <c r="AE4" s="13">
        <f t="shared" si="0"/>
        <v>27</v>
      </c>
      <c r="AF4" s="13">
        <f t="shared" si="0"/>
        <v>28</v>
      </c>
      <c r="AG4" s="13">
        <f t="shared" si="0"/>
        <v>29</v>
      </c>
      <c r="AH4" s="13">
        <f t="shared" si="0"/>
        <v>30</v>
      </c>
      <c r="AI4" s="13">
        <f t="shared" si="0"/>
        <v>31</v>
      </c>
      <c r="AJ4" s="13">
        <f t="shared" si="0"/>
        <v>32</v>
      </c>
      <c r="AK4" s="13">
        <f t="shared" si="0"/>
        <v>33</v>
      </c>
      <c r="AL4" s="13">
        <f t="shared" ref="AL4:BL4" si="1">AK4+1</f>
        <v>34</v>
      </c>
      <c r="AM4" s="13">
        <f t="shared" si="1"/>
        <v>35</v>
      </c>
      <c r="AN4" s="13">
        <f t="shared" si="1"/>
        <v>36</v>
      </c>
      <c r="AO4" s="13">
        <f t="shared" si="1"/>
        <v>37</v>
      </c>
      <c r="AP4" s="13">
        <f t="shared" si="1"/>
        <v>38</v>
      </c>
      <c r="AQ4" s="13">
        <f t="shared" si="1"/>
        <v>39</v>
      </c>
      <c r="AR4" s="13">
        <f t="shared" si="1"/>
        <v>40</v>
      </c>
      <c r="AS4" s="13">
        <f t="shared" si="1"/>
        <v>41</v>
      </c>
      <c r="AT4" s="13">
        <f t="shared" si="1"/>
        <v>42</v>
      </c>
      <c r="AU4" s="13">
        <f t="shared" si="1"/>
        <v>43</v>
      </c>
      <c r="AV4" s="13">
        <f t="shared" si="1"/>
        <v>44</v>
      </c>
      <c r="AW4" s="13">
        <f t="shared" si="1"/>
        <v>45</v>
      </c>
      <c r="AX4" s="13">
        <f t="shared" si="1"/>
        <v>46</v>
      </c>
      <c r="AY4" s="13">
        <f t="shared" si="1"/>
        <v>47</v>
      </c>
      <c r="AZ4" s="13">
        <f t="shared" si="1"/>
        <v>48</v>
      </c>
      <c r="BA4" s="13">
        <f t="shared" si="1"/>
        <v>49</v>
      </c>
      <c r="BB4" s="13">
        <f t="shared" si="1"/>
        <v>50</v>
      </c>
      <c r="BC4" s="13">
        <f t="shared" si="1"/>
        <v>51</v>
      </c>
      <c r="BD4" s="13">
        <f t="shared" si="1"/>
        <v>52</v>
      </c>
      <c r="BE4" s="13">
        <f t="shared" si="1"/>
        <v>53</v>
      </c>
      <c r="BF4" s="13">
        <f t="shared" si="1"/>
        <v>54</v>
      </c>
      <c r="BG4" s="13">
        <f t="shared" si="1"/>
        <v>55</v>
      </c>
      <c r="BH4" s="13">
        <f t="shared" si="1"/>
        <v>56</v>
      </c>
      <c r="BI4" s="13">
        <f t="shared" si="1"/>
        <v>57</v>
      </c>
      <c r="BJ4" s="13">
        <f t="shared" si="1"/>
        <v>58</v>
      </c>
      <c r="BK4" s="13">
        <f t="shared" si="1"/>
        <v>59</v>
      </c>
      <c r="BL4" s="13">
        <f t="shared" si="1"/>
        <v>60</v>
      </c>
    </row>
    <row r="5" spans="2:64" x14ac:dyDescent="0.35">
      <c r="B5" s="3" t="s">
        <v>278</v>
      </c>
      <c r="E5" s="38">
        <f t="shared" ref="E5:AJ5" si="2">DATE(2027,E4,1)</f>
        <v>46388</v>
      </c>
      <c r="F5" s="38">
        <f t="shared" si="2"/>
        <v>46419</v>
      </c>
      <c r="G5" s="38">
        <f t="shared" si="2"/>
        <v>46447</v>
      </c>
      <c r="H5" s="38">
        <f t="shared" si="2"/>
        <v>46478</v>
      </c>
      <c r="I5" s="38">
        <f t="shared" si="2"/>
        <v>46508</v>
      </c>
      <c r="J5" s="38">
        <f t="shared" si="2"/>
        <v>46539</v>
      </c>
      <c r="K5" s="38">
        <f t="shared" si="2"/>
        <v>46569</v>
      </c>
      <c r="L5" s="38">
        <f t="shared" si="2"/>
        <v>46600</v>
      </c>
      <c r="M5" s="38">
        <f t="shared" si="2"/>
        <v>46631</v>
      </c>
      <c r="N5" s="38">
        <f t="shared" si="2"/>
        <v>46661</v>
      </c>
      <c r="O5" s="38">
        <f t="shared" si="2"/>
        <v>46692</v>
      </c>
      <c r="P5" s="38">
        <f t="shared" si="2"/>
        <v>46722</v>
      </c>
      <c r="Q5" s="38">
        <f t="shared" si="2"/>
        <v>46753</v>
      </c>
      <c r="R5" s="38">
        <f t="shared" si="2"/>
        <v>46784</v>
      </c>
      <c r="S5" s="38">
        <f t="shared" si="2"/>
        <v>46813</v>
      </c>
      <c r="T5" s="38">
        <f t="shared" si="2"/>
        <v>46844</v>
      </c>
      <c r="U5" s="38">
        <f t="shared" si="2"/>
        <v>46874</v>
      </c>
      <c r="V5" s="38">
        <f t="shared" si="2"/>
        <v>46905</v>
      </c>
      <c r="W5" s="38">
        <f t="shared" si="2"/>
        <v>46935</v>
      </c>
      <c r="X5" s="38">
        <f t="shared" si="2"/>
        <v>46966</v>
      </c>
      <c r="Y5" s="38">
        <f t="shared" si="2"/>
        <v>46997</v>
      </c>
      <c r="Z5" s="38">
        <f t="shared" si="2"/>
        <v>47027</v>
      </c>
      <c r="AA5" s="38">
        <f t="shared" si="2"/>
        <v>47058</v>
      </c>
      <c r="AB5" s="38">
        <f t="shared" si="2"/>
        <v>47088</v>
      </c>
      <c r="AC5" s="38">
        <f t="shared" si="2"/>
        <v>47119</v>
      </c>
      <c r="AD5" s="38">
        <f t="shared" si="2"/>
        <v>47150</v>
      </c>
      <c r="AE5" s="38">
        <f t="shared" si="2"/>
        <v>47178</v>
      </c>
      <c r="AF5" s="38">
        <f t="shared" si="2"/>
        <v>47209</v>
      </c>
      <c r="AG5" s="38">
        <f t="shared" si="2"/>
        <v>47239</v>
      </c>
      <c r="AH5" s="38">
        <f t="shared" si="2"/>
        <v>47270</v>
      </c>
      <c r="AI5" s="38">
        <f t="shared" si="2"/>
        <v>47300</v>
      </c>
      <c r="AJ5" s="38">
        <f t="shared" si="2"/>
        <v>47331</v>
      </c>
      <c r="AK5" s="38">
        <f t="shared" ref="AK5:BP5" si="3">DATE(2027,AK4,1)</f>
        <v>47362</v>
      </c>
      <c r="AL5" s="38">
        <f t="shared" si="3"/>
        <v>47392</v>
      </c>
      <c r="AM5" s="38">
        <f t="shared" si="3"/>
        <v>47423</v>
      </c>
      <c r="AN5" s="38">
        <f t="shared" si="3"/>
        <v>47453</v>
      </c>
      <c r="AO5" s="38">
        <f t="shared" si="3"/>
        <v>47484</v>
      </c>
      <c r="AP5" s="38">
        <f t="shared" si="3"/>
        <v>47515</v>
      </c>
      <c r="AQ5" s="38">
        <f t="shared" si="3"/>
        <v>47543</v>
      </c>
      <c r="AR5" s="38">
        <f t="shared" si="3"/>
        <v>47574</v>
      </c>
      <c r="AS5" s="38">
        <f t="shared" si="3"/>
        <v>47604</v>
      </c>
      <c r="AT5" s="38">
        <f t="shared" si="3"/>
        <v>47635</v>
      </c>
      <c r="AU5" s="38">
        <f t="shared" si="3"/>
        <v>47665</v>
      </c>
      <c r="AV5" s="38">
        <f t="shared" si="3"/>
        <v>47696</v>
      </c>
      <c r="AW5" s="38">
        <f t="shared" si="3"/>
        <v>47727</v>
      </c>
      <c r="AX5" s="38">
        <f t="shared" si="3"/>
        <v>47757</v>
      </c>
      <c r="AY5" s="38">
        <f t="shared" si="3"/>
        <v>47788</v>
      </c>
      <c r="AZ5" s="38">
        <f t="shared" si="3"/>
        <v>47818</v>
      </c>
      <c r="BA5" s="38">
        <f t="shared" si="3"/>
        <v>47849</v>
      </c>
      <c r="BB5" s="38">
        <f t="shared" si="3"/>
        <v>47880</v>
      </c>
      <c r="BC5" s="38">
        <f t="shared" si="3"/>
        <v>47908</v>
      </c>
      <c r="BD5" s="38">
        <f t="shared" si="3"/>
        <v>47939</v>
      </c>
      <c r="BE5" s="38">
        <f t="shared" si="3"/>
        <v>47969</v>
      </c>
      <c r="BF5" s="38">
        <f t="shared" si="3"/>
        <v>48000</v>
      </c>
      <c r="BG5" s="38">
        <f t="shared" si="3"/>
        <v>48030</v>
      </c>
      <c r="BH5" s="38">
        <f t="shared" si="3"/>
        <v>48061</v>
      </c>
      <c r="BI5" s="38">
        <f t="shared" si="3"/>
        <v>48092</v>
      </c>
      <c r="BJ5" s="38">
        <f t="shared" si="3"/>
        <v>48122</v>
      </c>
      <c r="BK5" s="38">
        <f t="shared" si="3"/>
        <v>48153</v>
      </c>
      <c r="BL5" s="38">
        <f t="shared" si="3"/>
        <v>48183</v>
      </c>
    </row>
    <row r="6" spans="2:64" x14ac:dyDescent="0.35">
      <c r="B6" s="3" t="s">
        <v>279</v>
      </c>
      <c r="E6" s="13">
        <f t="shared" ref="E6:AJ6" si="4">YEAR(E5)</f>
        <v>2027</v>
      </c>
      <c r="F6" s="13">
        <f t="shared" si="4"/>
        <v>2027</v>
      </c>
      <c r="G6" s="13">
        <f t="shared" si="4"/>
        <v>2027</v>
      </c>
      <c r="H6" s="13">
        <f t="shared" si="4"/>
        <v>2027</v>
      </c>
      <c r="I6" s="13">
        <f t="shared" si="4"/>
        <v>2027</v>
      </c>
      <c r="J6" s="13">
        <f t="shared" si="4"/>
        <v>2027</v>
      </c>
      <c r="K6" s="13">
        <f t="shared" si="4"/>
        <v>2027</v>
      </c>
      <c r="L6" s="13">
        <f t="shared" si="4"/>
        <v>2027</v>
      </c>
      <c r="M6" s="13">
        <f t="shared" si="4"/>
        <v>2027</v>
      </c>
      <c r="N6" s="13">
        <f t="shared" si="4"/>
        <v>2027</v>
      </c>
      <c r="O6" s="13">
        <f t="shared" si="4"/>
        <v>2027</v>
      </c>
      <c r="P6" s="13">
        <f t="shared" si="4"/>
        <v>2027</v>
      </c>
      <c r="Q6" s="13">
        <f t="shared" si="4"/>
        <v>2028</v>
      </c>
      <c r="R6" s="13">
        <f t="shared" si="4"/>
        <v>2028</v>
      </c>
      <c r="S6" s="13">
        <f t="shared" si="4"/>
        <v>2028</v>
      </c>
      <c r="T6" s="13">
        <f t="shared" si="4"/>
        <v>2028</v>
      </c>
      <c r="U6" s="13">
        <f t="shared" si="4"/>
        <v>2028</v>
      </c>
      <c r="V6" s="13">
        <f t="shared" si="4"/>
        <v>2028</v>
      </c>
      <c r="W6" s="13">
        <f t="shared" si="4"/>
        <v>2028</v>
      </c>
      <c r="X6" s="13">
        <f t="shared" si="4"/>
        <v>2028</v>
      </c>
      <c r="Y6" s="13">
        <f t="shared" si="4"/>
        <v>2028</v>
      </c>
      <c r="Z6" s="13">
        <f t="shared" si="4"/>
        <v>2028</v>
      </c>
      <c r="AA6" s="13">
        <f t="shared" si="4"/>
        <v>2028</v>
      </c>
      <c r="AB6" s="13">
        <f t="shared" si="4"/>
        <v>2028</v>
      </c>
      <c r="AC6" s="13">
        <f t="shared" si="4"/>
        <v>2029</v>
      </c>
      <c r="AD6" s="13">
        <f t="shared" si="4"/>
        <v>2029</v>
      </c>
      <c r="AE6" s="13">
        <f t="shared" si="4"/>
        <v>2029</v>
      </c>
      <c r="AF6" s="13">
        <f t="shared" si="4"/>
        <v>2029</v>
      </c>
      <c r="AG6" s="13">
        <f t="shared" si="4"/>
        <v>2029</v>
      </c>
      <c r="AH6" s="13">
        <f t="shared" si="4"/>
        <v>2029</v>
      </c>
      <c r="AI6" s="13">
        <f t="shared" si="4"/>
        <v>2029</v>
      </c>
      <c r="AJ6" s="13">
        <f t="shared" si="4"/>
        <v>2029</v>
      </c>
      <c r="AK6" s="13">
        <f t="shared" ref="AK6:BP6" si="5">YEAR(AK5)</f>
        <v>2029</v>
      </c>
      <c r="AL6" s="13">
        <f t="shared" si="5"/>
        <v>2029</v>
      </c>
      <c r="AM6" s="13">
        <f t="shared" si="5"/>
        <v>2029</v>
      </c>
      <c r="AN6" s="13">
        <f t="shared" si="5"/>
        <v>2029</v>
      </c>
      <c r="AO6" s="13">
        <f t="shared" si="5"/>
        <v>2030</v>
      </c>
      <c r="AP6" s="13">
        <f t="shared" si="5"/>
        <v>2030</v>
      </c>
      <c r="AQ6" s="13">
        <f t="shared" si="5"/>
        <v>2030</v>
      </c>
      <c r="AR6" s="13">
        <f t="shared" si="5"/>
        <v>2030</v>
      </c>
      <c r="AS6" s="13">
        <f t="shared" si="5"/>
        <v>2030</v>
      </c>
      <c r="AT6" s="13">
        <f t="shared" si="5"/>
        <v>2030</v>
      </c>
      <c r="AU6" s="13">
        <f t="shared" si="5"/>
        <v>2030</v>
      </c>
      <c r="AV6" s="13">
        <f t="shared" si="5"/>
        <v>2030</v>
      </c>
      <c r="AW6" s="13">
        <f t="shared" si="5"/>
        <v>2030</v>
      </c>
      <c r="AX6" s="13">
        <f t="shared" si="5"/>
        <v>2030</v>
      </c>
      <c r="AY6" s="13">
        <f t="shared" si="5"/>
        <v>2030</v>
      </c>
      <c r="AZ6" s="13">
        <f t="shared" si="5"/>
        <v>2030</v>
      </c>
      <c r="BA6" s="13">
        <f t="shared" si="5"/>
        <v>2031</v>
      </c>
      <c r="BB6" s="13">
        <f t="shared" si="5"/>
        <v>2031</v>
      </c>
      <c r="BC6" s="13">
        <f t="shared" si="5"/>
        <v>2031</v>
      </c>
      <c r="BD6" s="13">
        <f t="shared" si="5"/>
        <v>2031</v>
      </c>
      <c r="BE6" s="13">
        <f t="shared" si="5"/>
        <v>2031</v>
      </c>
      <c r="BF6" s="13">
        <f t="shared" si="5"/>
        <v>2031</v>
      </c>
      <c r="BG6" s="13">
        <f t="shared" si="5"/>
        <v>2031</v>
      </c>
      <c r="BH6" s="13">
        <f t="shared" si="5"/>
        <v>2031</v>
      </c>
      <c r="BI6" s="13">
        <f t="shared" si="5"/>
        <v>2031</v>
      </c>
      <c r="BJ6" s="13">
        <f t="shared" si="5"/>
        <v>2031</v>
      </c>
      <c r="BK6" s="13">
        <f t="shared" si="5"/>
        <v>2031</v>
      </c>
      <c r="BL6" s="13">
        <f t="shared" si="5"/>
        <v>2031</v>
      </c>
    </row>
    <row r="7" spans="2:64" x14ac:dyDescent="0.35">
      <c r="B7" s="3" t="s">
        <v>280</v>
      </c>
      <c r="E7" s="13">
        <f t="shared" ref="E7:AJ7" si="6">MONTH(E5)</f>
        <v>1</v>
      </c>
      <c r="F7" s="13">
        <f t="shared" si="6"/>
        <v>2</v>
      </c>
      <c r="G7" s="13">
        <f t="shared" si="6"/>
        <v>3</v>
      </c>
      <c r="H7" s="13">
        <f t="shared" si="6"/>
        <v>4</v>
      </c>
      <c r="I7" s="13">
        <f t="shared" si="6"/>
        <v>5</v>
      </c>
      <c r="J7" s="13">
        <f t="shared" si="6"/>
        <v>6</v>
      </c>
      <c r="K7" s="13">
        <f t="shared" si="6"/>
        <v>7</v>
      </c>
      <c r="L7" s="13">
        <f t="shared" si="6"/>
        <v>8</v>
      </c>
      <c r="M7" s="13">
        <f t="shared" si="6"/>
        <v>9</v>
      </c>
      <c r="N7" s="13">
        <f t="shared" si="6"/>
        <v>10</v>
      </c>
      <c r="O7" s="13">
        <f t="shared" si="6"/>
        <v>11</v>
      </c>
      <c r="P7" s="13">
        <f t="shared" si="6"/>
        <v>12</v>
      </c>
      <c r="Q7" s="13">
        <f t="shared" si="6"/>
        <v>1</v>
      </c>
      <c r="R7" s="13">
        <f t="shared" si="6"/>
        <v>2</v>
      </c>
      <c r="S7" s="13">
        <f t="shared" si="6"/>
        <v>3</v>
      </c>
      <c r="T7" s="13">
        <f t="shared" si="6"/>
        <v>4</v>
      </c>
      <c r="U7" s="13">
        <f t="shared" si="6"/>
        <v>5</v>
      </c>
      <c r="V7" s="13">
        <f t="shared" si="6"/>
        <v>6</v>
      </c>
      <c r="W7" s="13">
        <f t="shared" si="6"/>
        <v>7</v>
      </c>
      <c r="X7" s="13">
        <f t="shared" si="6"/>
        <v>8</v>
      </c>
      <c r="Y7" s="13">
        <f t="shared" si="6"/>
        <v>9</v>
      </c>
      <c r="Z7" s="13">
        <f t="shared" si="6"/>
        <v>10</v>
      </c>
      <c r="AA7" s="13">
        <f t="shared" si="6"/>
        <v>11</v>
      </c>
      <c r="AB7" s="13">
        <f t="shared" si="6"/>
        <v>12</v>
      </c>
      <c r="AC7" s="13">
        <f t="shared" si="6"/>
        <v>1</v>
      </c>
      <c r="AD7" s="13">
        <f t="shared" si="6"/>
        <v>2</v>
      </c>
      <c r="AE7" s="13">
        <f t="shared" si="6"/>
        <v>3</v>
      </c>
      <c r="AF7" s="13">
        <f t="shared" si="6"/>
        <v>4</v>
      </c>
      <c r="AG7" s="13">
        <f t="shared" si="6"/>
        <v>5</v>
      </c>
      <c r="AH7" s="13">
        <f t="shared" si="6"/>
        <v>6</v>
      </c>
      <c r="AI7" s="13">
        <f t="shared" si="6"/>
        <v>7</v>
      </c>
      <c r="AJ7" s="13">
        <f t="shared" si="6"/>
        <v>8</v>
      </c>
      <c r="AK7" s="13">
        <f t="shared" ref="AK7:BL7" si="7">MONTH(AK5)</f>
        <v>9</v>
      </c>
      <c r="AL7" s="13">
        <f t="shared" si="7"/>
        <v>10</v>
      </c>
      <c r="AM7" s="13">
        <f t="shared" si="7"/>
        <v>11</v>
      </c>
      <c r="AN7" s="13">
        <f t="shared" si="7"/>
        <v>12</v>
      </c>
      <c r="AO7" s="13">
        <f t="shared" si="7"/>
        <v>1</v>
      </c>
      <c r="AP7" s="13">
        <f t="shared" si="7"/>
        <v>2</v>
      </c>
      <c r="AQ7" s="13">
        <f t="shared" si="7"/>
        <v>3</v>
      </c>
      <c r="AR7" s="13">
        <f t="shared" si="7"/>
        <v>4</v>
      </c>
      <c r="AS7" s="13">
        <f t="shared" si="7"/>
        <v>5</v>
      </c>
      <c r="AT7" s="13">
        <f t="shared" si="7"/>
        <v>6</v>
      </c>
      <c r="AU7" s="13">
        <f t="shared" si="7"/>
        <v>7</v>
      </c>
      <c r="AV7" s="13">
        <f t="shared" si="7"/>
        <v>8</v>
      </c>
      <c r="AW7" s="13">
        <f t="shared" si="7"/>
        <v>9</v>
      </c>
      <c r="AX7" s="13">
        <f t="shared" si="7"/>
        <v>10</v>
      </c>
      <c r="AY7" s="13">
        <f t="shared" si="7"/>
        <v>11</v>
      </c>
      <c r="AZ7" s="13">
        <f t="shared" si="7"/>
        <v>12</v>
      </c>
      <c r="BA7" s="13">
        <f t="shared" si="7"/>
        <v>1</v>
      </c>
      <c r="BB7" s="13">
        <f t="shared" si="7"/>
        <v>2</v>
      </c>
      <c r="BC7" s="13">
        <f t="shared" si="7"/>
        <v>3</v>
      </c>
      <c r="BD7" s="13">
        <f t="shared" si="7"/>
        <v>4</v>
      </c>
      <c r="BE7" s="13">
        <f t="shared" si="7"/>
        <v>5</v>
      </c>
      <c r="BF7" s="13">
        <f t="shared" si="7"/>
        <v>6</v>
      </c>
      <c r="BG7" s="13">
        <f t="shared" si="7"/>
        <v>7</v>
      </c>
      <c r="BH7" s="13">
        <f t="shared" si="7"/>
        <v>8</v>
      </c>
      <c r="BI7" s="13">
        <f t="shared" si="7"/>
        <v>9</v>
      </c>
      <c r="BJ7" s="13">
        <f t="shared" si="7"/>
        <v>10</v>
      </c>
      <c r="BK7" s="13">
        <f t="shared" si="7"/>
        <v>11</v>
      </c>
      <c r="BL7" s="13">
        <f t="shared" si="7"/>
        <v>12</v>
      </c>
    </row>
    <row r="8" spans="2:64" ht="26" x14ac:dyDescent="0.35">
      <c r="B8" s="14" t="s">
        <v>281</v>
      </c>
      <c r="C8" s="15" t="s">
        <v>102</v>
      </c>
      <c r="D8" s="15" t="s">
        <v>412</v>
      </c>
      <c r="E8" s="39" t="str">
        <f t="shared" ref="E8:AJ8" si="8">CHOOSE(E7,"Jan","Feb","Mar","Apr","May","Jun","Jul","Aug","Sep","Oct","Nov","Dec")&amp;" "&amp;(E6-2000)</f>
        <v>Jan 27</v>
      </c>
      <c r="F8" s="39" t="str">
        <f t="shared" si="8"/>
        <v>Feb 27</v>
      </c>
      <c r="G8" s="39" t="str">
        <f t="shared" si="8"/>
        <v>Mar 27</v>
      </c>
      <c r="H8" s="39" t="str">
        <f t="shared" si="8"/>
        <v>Apr 27</v>
      </c>
      <c r="I8" s="39" t="str">
        <f t="shared" si="8"/>
        <v>May 27</v>
      </c>
      <c r="J8" s="39" t="str">
        <f t="shared" si="8"/>
        <v>Jun 27</v>
      </c>
      <c r="K8" s="39" t="str">
        <f t="shared" si="8"/>
        <v>Jul 27</v>
      </c>
      <c r="L8" s="39" t="str">
        <f t="shared" si="8"/>
        <v>Aug 27</v>
      </c>
      <c r="M8" s="39" t="str">
        <f t="shared" si="8"/>
        <v>Sep 27</v>
      </c>
      <c r="N8" s="39" t="str">
        <f t="shared" si="8"/>
        <v>Oct 27</v>
      </c>
      <c r="O8" s="39" t="str">
        <f t="shared" si="8"/>
        <v>Nov 27</v>
      </c>
      <c r="P8" s="39" t="str">
        <f t="shared" si="8"/>
        <v>Dec 27</v>
      </c>
      <c r="Q8" s="39" t="str">
        <f t="shared" si="8"/>
        <v>Jan 28</v>
      </c>
      <c r="R8" s="39" t="str">
        <f t="shared" si="8"/>
        <v>Feb 28</v>
      </c>
      <c r="S8" s="39" t="str">
        <f t="shared" si="8"/>
        <v>Mar 28</v>
      </c>
      <c r="T8" s="39" t="str">
        <f t="shared" si="8"/>
        <v>Apr 28</v>
      </c>
      <c r="U8" s="39" t="str">
        <f t="shared" si="8"/>
        <v>May 28</v>
      </c>
      <c r="V8" s="39" t="str">
        <f t="shared" si="8"/>
        <v>Jun 28</v>
      </c>
      <c r="W8" s="39" t="str">
        <f t="shared" si="8"/>
        <v>Jul 28</v>
      </c>
      <c r="X8" s="39" t="str">
        <f t="shared" si="8"/>
        <v>Aug 28</v>
      </c>
      <c r="Y8" s="39" t="str">
        <f t="shared" si="8"/>
        <v>Sep 28</v>
      </c>
      <c r="Z8" s="39" t="str">
        <f t="shared" si="8"/>
        <v>Oct 28</v>
      </c>
      <c r="AA8" s="39" t="str">
        <f t="shared" si="8"/>
        <v>Nov 28</v>
      </c>
      <c r="AB8" s="39" t="str">
        <f t="shared" si="8"/>
        <v>Dec 28</v>
      </c>
      <c r="AC8" s="39" t="str">
        <f t="shared" si="8"/>
        <v>Jan 29</v>
      </c>
      <c r="AD8" s="39" t="str">
        <f t="shared" si="8"/>
        <v>Feb 29</v>
      </c>
      <c r="AE8" s="39" t="str">
        <f t="shared" si="8"/>
        <v>Mar 29</v>
      </c>
      <c r="AF8" s="39" t="str">
        <f t="shared" si="8"/>
        <v>Apr 29</v>
      </c>
      <c r="AG8" s="39" t="str">
        <f t="shared" si="8"/>
        <v>May 29</v>
      </c>
      <c r="AH8" s="39" t="str">
        <f t="shared" si="8"/>
        <v>Jun 29</v>
      </c>
      <c r="AI8" s="39" t="str">
        <f t="shared" si="8"/>
        <v>Jul 29</v>
      </c>
      <c r="AJ8" s="39" t="str">
        <f t="shared" si="8"/>
        <v>Aug 29</v>
      </c>
      <c r="AK8" s="39" t="str">
        <f t="shared" ref="AK8:BP8" si="9">CHOOSE(AK7,"Jan","Feb","Mar","Apr","May","Jun","Jul","Aug","Sep","Oct","Nov","Dec")&amp;" "&amp;(AK6-2000)</f>
        <v>Sep 29</v>
      </c>
      <c r="AL8" s="39" t="str">
        <f t="shared" si="9"/>
        <v>Oct 29</v>
      </c>
      <c r="AM8" s="39" t="str">
        <f t="shared" si="9"/>
        <v>Nov 29</v>
      </c>
      <c r="AN8" s="39" t="str">
        <f t="shared" si="9"/>
        <v>Dec 29</v>
      </c>
      <c r="AO8" s="39" t="str">
        <f t="shared" si="9"/>
        <v>Jan 30</v>
      </c>
      <c r="AP8" s="39" t="str">
        <f t="shared" si="9"/>
        <v>Feb 30</v>
      </c>
      <c r="AQ8" s="39" t="str">
        <f t="shared" si="9"/>
        <v>Mar 30</v>
      </c>
      <c r="AR8" s="39" t="str">
        <f t="shared" si="9"/>
        <v>Apr 30</v>
      </c>
      <c r="AS8" s="39" t="str">
        <f t="shared" si="9"/>
        <v>May 30</v>
      </c>
      <c r="AT8" s="39" t="str">
        <f t="shared" si="9"/>
        <v>Jun 30</v>
      </c>
      <c r="AU8" s="39" t="str">
        <f t="shared" si="9"/>
        <v>Jul 30</v>
      </c>
      <c r="AV8" s="39" t="str">
        <f t="shared" si="9"/>
        <v>Aug 30</v>
      </c>
      <c r="AW8" s="39" t="str">
        <f t="shared" si="9"/>
        <v>Sep 30</v>
      </c>
      <c r="AX8" s="39" t="str">
        <f t="shared" si="9"/>
        <v>Oct 30</v>
      </c>
      <c r="AY8" s="39" t="str">
        <f t="shared" si="9"/>
        <v>Nov 30</v>
      </c>
      <c r="AZ8" s="39" t="str">
        <f t="shared" si="9"/>
        <v>Dec 30</v>
      </c>
      <c r="BA8" s="39" t="str">
        <f t="shared" si="9"/>
        <v>Jan 31</v>
      </c>
      <c r="BB8" s="39" t="str">
        <f t="shared" si="9"/>
        <v>Feb 31</v>
      </c>
      <c r="BC8" s="39" t="str">
        <f t="shared" si="9"/>
        <v>Mar 31</v>
      </c>
      <c r="BD8" s="39" t="str">
        <f t="shared" si="9"/>
        <v>Apr 31</v>
      </c>
      <c r="BE8" s="39" t="str">
        <f t="shared" si="9"/>
        <v>May 31</v>
      </c>
      <c r="BF8" s="39" t="str">
        <f t="shared" si="9"/>
        <v>Jun 31</v>
      </c>
      <c r="BG8" s="39" t="str">
        <f t="shared" si="9"/>
        <v>Jul 31</v>
      </c>
      <c r="BH8" s="39" t="str">
        <f t="shared" si="9"/>
        <v>Aug 31</v>
      </c>
      <c r="BI8" s="39" t="str">
        <f t="shared" si="9"/>
        <v>Sep 31</v>
      </c>
      <c r="BJ8" s="39" t="str">
        <f t="shared" si="9"/>
        <v>Oct 31</v>
      </c>
      <c r="BK8" s="39" t="str">
        <f t="shared" si="9"/>
        <v>Nov 31</v>
      </c>
      <c r="BL8" s="39" t="str">
        <f t="shared" si="9"/>
        <v>Dec 31</v>
      </c>
    </row>
    <row r="9" spans="2:64" x14ac:dyDescent="0.35">
      <c r="B9" s="16" t="s">
        <v>413</v>
      </c>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row>
    <row r="10" spans="2:64" x14ac:dyDescent="0.35">
      <c r="B10" s="3" t="s">
        <v>147</v>
      </c>
      <c r="C10" s="18" t="s">
        <v>111</v>
      </c>
      <c r="D10" s="20">
        <f>SUM(E10:BL10)</f>
        <v>2686105.8801056184</v>
      </c>
      <c r="E10" s="40">
        <f>Inputs!$D$10*Ramp!$E$6</f>
        <v>0</v>
      </c>
      <c r="F10" s="40">
        <f>Inputs!$D$10*Ramp!$F$6</f>
        <v>0</v>
      </c>
      <c r="G10" s="40">
        <f>Inputs!$D$10*Ramp!$G$6</f>
        <v>0</v>
      </c>
      <c r="H10" s="40">
        <f>Inputs!$D$10*Ramp!$H$6</f>
        <v>0</v>
      </c>
      <c r="I10" s="40">
        <f>Inputs!$D$10*Ramp!$I$6</f>
        <v>0</v>
      </c>
      <c r="J10" s="40">
        <f>Inputs!$D$10*Ramp!$J$6</f>
        <v>0</v>
      </c>
      <c r="K10" s="40">
        <f>Inputs!$D$10*Ramp!$K$6</f>
        <v>0</v>
      </c>
      <c r="L10" s="40">
        <f>Inputs!$D$10*Ramp!$L$6</f>
        <v>0</v>
      </c>
      <c r="M10" s="40">
        <f>Inputs!$D$10*Ramp!$M$6</f>
        <v>0</v>
      </c>
      <c r="N10" s="40">
        <f>Inputs!$D$10*Ramp!$N$6</f>
        <v>1070.0514590600001</v>
      </c>
      <c r="O10" s="40">
        <f>Inputs!$D$10*Ramp!$O$6</f>
        <v>1963.15281891</v>
      </c>
      <c r="P10" s="40">
        <f>Inputs!$D$10*Ramp!$P$6</f>
        <v>2847.6857220300003</v>
      </c>
      <c r="Q10" s="40">
        <f>Inputs!$D$11*Ramp!$E$9</f>
        <v>4257.0100221599996</v>
      </c>
      <c r="R10" s="40">
        <f>Inputs!$D$11*Ramp!$F$9</f>
        <v>5719.7692171199997</v>
      </c>
      <c r="S10" s="40">
        <f>Inputs!$D$11*Ramp!$G$9</f>
        <v>7196.3070614399994</v>
      </c>
      <c r="T10" s="40">
        <f>Inputs!$D$11*Ramp!$H$9</f>
        <v>8680.99356936</v>
      </c>
      <c r="U10" s="40">
        <f>Inputs!$D$11*Ramp!$I$9</f>
        <v>10170.421117919999</v>
      </c>
      <c r="V10" s="40">
        <f>Inputs!$D$11*Ramp!$J$9</f>
        <v>11662.663659359998</v>
      </c>
      <c r="W10" s="40">
        <f>Inputs!$D$11*Ramp!$K$9</f>
        <v>13156.980406079998</v>
      </c>
      <c r="X10" s="40">
        <f>Inputs!$D$11*Ramp!$L$9</f>
        <v>14653.519515599999</v>
      </c>
      <c r="Y10" s="40">
        <f>Inputs!$D$11*Ramp!$M$9</f>
        <v>16152.1328304</v>
      </c>
      <c r="Z10" s="40">
        <f>Inputs!$D$11*Ramp!$N$9</f>
        <v>17484.068935200001</v>
      </c>
      <c r="AA10" s="40">
        <f>Inputs!$D$11*Ramp!$O$9</f>
        <v>18836.7470928</v>
      </c>
      <c r="AB10" s="40">
        <f>Inputs!$D$11*Ramp!$P$9</f>
        <v>20186.906572560001</v>
      </c>
      <c r="AC10" s="40">
        <f>IF($D$14=1,Inputs!$D$15*Ramp!$E$12,AB10*(1+Inputs!$D$12)^(1/12))</f>
        <v>21977.251910284795</v>
      </c>
      <c r="AD10" s="40">
        <f>IF($D$14=1,Inputs!$D$15*Ramp!$F$12,AC10*(1+Inputs!$D$12)^(1/12))</f>
        <v>23926.380190645777</v>
      </c>
      <c r="AE10" s="40">
        <f>IF($D$14=1,Inputs!$D$15*Ramp!$G$12,AD10*(1+Inputs!$D$12)^(1/12))</f>
        <v>26048.373625795521</v>
      </c>
      <c r="AF10" s="40">
        <f>IF($D$14=1,Inputs!$D$15*Ramp!$H$12,AE10*(1+Inputs!$D$12)^(1/12))</f>
        <v>28358.563357373714</v>
      </c>
      <c r="AG10" s="40">
        <f>IF($D$14=1,Inputs!$D$15*Ramp!$I$12,AF10*(1+Inputs!$D$12)^(1/12))</f>
        <v>30873.640222120339</v>
      </c>
      <c r="AH10" s="40">
        <f>IF($D$14=1,Inputs!$D$15*Ramp!$J$12,AG10*(1+Inputs!$D$12)^(1/12))</f>
        <v>33611.775341118722</v>
      </c>
      <c r="AI10" s="40">
        <f>IF($D$14=1,Inputs!$D$15*Ramp!$K$12,AH10*(1+Inputs!$D$12)^(1/12))</f>
        <v>36592.751403910981</v>
      </c>
      <c r="AJ10" s="40">
        <f>IF($D$14=1,Inputs!$D$15*Ramp!$L$12,AI10*(1+Inputs!$D$12)^(1/12))</f>
        <v>39838.105595997396</v>
      </c>
      <c r="AK10" s="40">
        <f>IF($D$14=1,Inputs!$D$15*Ramp!$M$12,AJ10*(1+Inputs!$D$12)^(1/12))</f>
        <v>43371.285202353349</v>
      </c>
      <c r="AL10" s="40">
        <f>IF($D$14=1,Inputs!$D$15*Ramp!$N$12,AK10*(1+Inputs!$D$12)^(1/12))</f>
        <v>47217.817011180094</v>
      </c>
      <c r="AM10" s="40">
        <f>IF($D$14=1,Inputs!$D$15*Ramp!$O$12,AL10*(1+Inputs!$D$12)^(1/12))</f>
        <v>51405.49174181062</v>
      </c>
      <c r="AN10" s="40">
        <f>IF($D$14=1,Inputs!$D$15*Ramp!$P$12,AM10*(1+Inputs!$D$12)^(1/12))</f>
        <v>55964.564829239578</v>
      </c>
      <c r="AO10" s="40">
        <f>AN10*(1+Inputs!$D$13)^(1/12)</f>
        <v>57841.922890501774</v>
      </c>
      <c r="AP10" s="40">
        <f>AO10*(1+Inputs!$D$13)^(1/12)</f>
        <v>59782.257824736</v>
      </c>
      <c r="AQ10" s="40">
        <f>AP10*(1+Inputs!$D$13)^(1/12)</f>
        <v>61787.682221229923</v>
      </c>
      <c r="AR10" s="40">
        <f>AQ10*(1+Inputs!$D$13)^(1/12)</f>
        <v>63860.379537088047</v>
      </c>
      <c r="AS10" s="40">
        <f>AR10*(1+Inputs!$D$13)^(1/12)</f>
        <v>66002.606474526459</v>
      </c>
      <c r="AT10" s="40">
        <f>AS10*(1+Inputs!$D$13)^(1/12)</f>
        <v>68216.695437915114</v>
      </c>
      <c r="AU10" s="40">
        <f>AT10*(1+Inputs!$D$13)^(1/12)</f>
        <v>70505.057073242744</v>
      </c>
      <c r="AV10" s="40">
        <f>AU10*(1+Inputs!$D$13)^(1/12)</f>
        <v>72870.182892769313</v>
      </c>
      <c r="AW10" s="40">
        <f>AV10*(1+Inputs!$D$13)^(1/12)</f>
        <v>75314.647987723743</v>
      </c>
      <c r="AX10" s="40">
        <f>AW10*(1+Inputs!$D$13)^(1/12)</f>
        <v>77841.113832000352</v>
      </c>
      <c r="AY10" s="40">
        <f>AX10*(1+Inputs!$D$13)^(1/12)</f>
        <v>80452.3311799066</v>
      </c>
      <c r="AZ10" s="40">
        <f>AY10*(1+Inputs!$D$13)^(1/12)</f>
        <v>83151.143061117211</v>
      </c>
      <c r="BA10" s="40">
        <f>AZ10*(1+Inputs!$D$14)^(1/12)</f>
        <v>86047.444730741321</v>
      </c>
      <c r="BB10" s="40">
        <f>BA10*(1+Inputs!$D$14)^(1/12)</f>
        <v>89044.629720217112</v>
      </c>
      <c r="BC10" s="40">
        <f>BB10*(1+Inputs!$D$14)^(1/12)</f>
        <v>92146.211974356003</v>
      </c>
      <c r="BD10" s="40">
        <f>BC10*(1+Inputs!$D$14)^(1/12)</f>
        <v>95355.827834894459</v>
      </c>
      <c r="BE10" s="40">
        <f>BD10*(1+Inputs!$D$14)^(1/12)</f>
        <v>98677.240303795799</v>
      </c>
      <c r="BF10" s="40">
        <f>BE10*(1+Inputs!$D$14)^(1/12)</f>
        <v>102114.34345505034</v>
      </c>
      <c r="BG10" s="40">
        <f>BF10*(1+Inputs!$D$14)^(1/12)</f>
        <v>105671.16700014639</v>
      </c>
      <c r="BH10" s="40">
        <f>BG10*(1+Inputs!$D$14)^(1/12)</f>
        <v>109351.88101256469</v>
      </c>
      <c r="BI10" s="40">
        <f>BH10*(1+Inputs!$D$14)^(1/12)</f>
        <v>113160.8008168353</v>
      </c>
      <c r="BJ10" s="40">
        <f>BI10*(1+Inputs!$D$14)^(1/12)</f>
        <v>117102.39204788912</v>
      </c>
      <c r="BK10" s="40">
        <f>BJ10*(1+Inputs!$D$14)^(1/12)</f>
        <v>121181.2758866355</v>
      </c>
      <c r="BL10" s="40">
        <f>BK10*(1+Inputs!$D$14)^(1/12)</f>
        <v>125402.23447790428</v>
      </c>
    </row>
    <row r="11" spans="2:64" x14ac:dyDescent="0.35">
      <c r="B11" s="3" t="s">
        <v>149</v>
      </c>
      <c r="C11" s="18" t="s">
        <v>111</v>
      </c>
      <c r="D11" s="20">
        <f>SUM(E11:BL11)</f>
        <v>5656967.2277558241</v>
      </c>
      <c r="E11" s="40">
        <f>Inputs!$D$17*Ramp!$E$15</f>
        <v>0</v>
      </c>
      <c r="F11" s="40">
        <f>Inputs!$D$17*Ramp!$F$15</f>
        <v>0</v>
      </c>
      <c r="G11" s="40">
        <f>Inputs!$D$17*Ramp!$G$15</f>
        <v>0</v>
      </c>
      <c r="H11" s="40">
        <f>Inputs!$D$17*Ramp!$H$15</f>
        <v>0</v>
      </c>
      <c r="I11" s="40">
        <f>Inputs!$D$17*Ramp!$I$15</f>
        <v>0</v>
      </c>
      <c r="J11" s="40">
        <f>Inputs!$D$17*Ramp!$J$15</f>
        <v>0</v>
      </c>
      <c r="K11" s="40">
        <f>Inputs!$D$17*Ramp!$K$15</f>
        <v>0</v>
      </c>
      <c r="L11" s="40">
        <f>Inputs!$D$17*Ramp!$L$15</f>
        <v>0</v>
      </c>
      <c r="M11" s="40">
        <f>Inputs!$D$17*Ramp!$M$15</f>
        <v>0</v>
      </c>
      <c r="N11" s="40">
        <f>Inputs!$D$17*Ramp!$N$15</f>
        <v>0</v>
      </c>
      <c r="O11" s="40">
        <f>Inputs!$D$17*Ramp!$O$15</f>
        <v>0</v>
      </c>
      <c r="P11" s="40">
        <f>Inputs!$D$17*Ramp!$P$15</f>
        <v>0</v>
      </c>
      <c r="Q11" s="40">
        <f>Inputs!$D$18*Ramp!$E$18</f>
        <v>1684.87606486</v>
      </c>
      <c r="R11" s="40">
        <f>Inputs!$D$18*Ramp!$F$18</f>
        <v>3633.27101576</v>
      </c>
      <c r="S11" s="40">
        <f>Inputs!$D$18*Ramp!$G$18</f>
        <v>5696.10245502</v>
      </c>
      <c r="T11" s="40">
        <f>Inputs!$D$18*Ramp!$H$18</f>
        <v>7912.21579612</v>
      </c>
      <c r="U11" s="40">
        <f>Inputs!$D$18*Ramp!$I$18</f>
        <v>10248.01500578</v>
      </c>
      <c r="V11" s="40">
        <f>Inputs!$D$18*Ramp!$J$18</f>
        <v>12697.02584842</v>
      </c>
      <c r="W11" s="40">
        <f>Inputs!$D$18*Ramp!$K$18</f>
        <v>15246.649811560001</v>
      </c>
      <c r="X11" s="40">
        <f>Inputs!$D$18*Ramp!$L$18</f>
        <v>17906.860717579999</v>
      </c>
      <c r="Y11" s="40">
        <f>Inputs!$D$18*Ramp!$M$18</f>
        <v>20654.386314260002</v>
      </c>
      <c r="Z11" s="40">
        <f>Inputs!$D$18*Ramp!$N$18</f>
        <v>23472.078626280003</v>
      </c>
      <c r="AA11" s="40">
        <f>Inputs!$D$18*Ramp!$O$18</f>
        <v>26400.532860520001</v>
      </c>
      <c r="AB11" s="40">
        <f>Inputs!$D$18*Ramp!$P$18</f>
        <v>29427.325483839999</v>
      </c>
      <c r="AC11" s="40">
        <f>IF($D$15=1,Inputs!$D$22*Ramp!$E$21,AB11*(1+Inputs!$D$19)^(1/12))</f>
        <v>32635.059274991381</v>
      </c>
      <c r="AD11" s="40">
        <f>IF($D$15=1,Inputs!$D$22*Ramp!$F$21,AC11*(1+Inputs!$D$19)^(1/12))</f>
        <v>36192.452979359987</v>
      </c>
      <c r="AE11" s="40">
        <f>IF($D$15=1,Inputs!$D$22*Ramp!$G$21,AD11*(1+Inputs!$D$19)^(1/12))</f>
        <v>40137.621372943853</v>
      </c>
      <c r="AF11" s="40">
        <f>IF($D$15=1,Inputs!$D$22*Ramp!$H$21,AE11*(1+Inputs!$D$19)^(1/12))</f>
        <v>44512.833943489401</v>
      </c>
      <c r="AG11" s="40">
        <f>IF($D$15=1,Inputs!$D$22*Ramp!$I$21,AF11*(1+Inputs!$D$19)^(1/12))</f>
        <v>49364.967775999998</v>
      </c>
      <c r="AH11" s="40">
        <f>IF($D$15=1,Inputs!$D$22*Ramp!$J$21,AG11*(1+Inputs!$D$19)^(1/12))</f>
        <v>54746.009805155249</v>
      </c>
      <c r="AI11" s="40">
        <f>IF($D$15=1,Inputs!$D$22*Ramp!$K$21,AH11*(1+Inputs!$D$19)^(1/12))</f>
        <v>60713.613815894787</v>
      </c>
      <c r="AJ11" s="40">
        <f>IF($D$15=1,Inputs!$D$22*Ramp!$L$21,AI11*(1+Inputs!$D$19)^(1/12))</f>
        <v>67331.71816000549</v>
      </c>
      <c r="AK11" s="40">
        <f>IF($D$15=1,Inputs!$D$22*Ramp!$M$21,AJ11*(1+Inputs!$D$19)^(1/12))</f>
        <v>74671.230807076921</v>
      </c>
      <c r="AL11" s="40">
        <f>IF($D$15=1,Inputs!$D$22*Ramp!$N$21,AK11*(1+Inputs!$D$19)^(1/12))</f>
        <v>82810.78906962648</v>
      </c>
      <c r="AM11" s="40">
        <f>IF($D$15=1,Inputs!$D$22*Ramp!$O$21,AL11*(1+Inputs!$D$19)^(1/12))</f>
        <v>91837.602142272983</v>
      </c>
      <c r="AN11" s="40">
        <f>IF($D$15=1,Inputs!$D$22*Ramp!$P$21,AM11*(1+Inputs!$D$19)^(1/12))</f>
        <v>101848.38548212696</v>
      </c>
      <c r="AO11" s="40">
        <f>AN11*(1+Inputs!$D$20)^(1/12)</f>
        <v>107121.60909622953</v>
      </c>
      <c r="AP11" s="40">
        <f>AO11*(1+Inputs!$D$20)^(1/12)</f>
        <v>112667.85507737991</v>
      </c>
      <c r="AQ11" s="40">
        <f>AP11*(1+Inputs!$D$20)^(1/12)</f>
        <v>118501.25922150927</v>
      </c>
      <c r="AR11" s="40">
        <f>AQ11*(1+Inputs!$D$20)^(1/12)</f>
        <v>124636.68920863862</v>
      </c>
      <c r="AS11" s="40">
        <f>AR11*(1+Inputs!$D$20)^(1/12)</f>
        <v>131089.78249634607</v>
      </c>
      <c r="AT11" s="40">
        <f>AS11*(1+Inputs!$D$20)^(1/12)</f>
        <v>137876.98617517718</v>
      </c>
      <c r="AU11" s="40">
        <f>AT11*(1+Inputs!$D$20)^(1/12)</f>
        <v>145015.59888757826</v>
      </c>
      <c r="AV11" s="40">
        <f>AU11*(1+Inputs!$D$20)^(1/12)</f>
        <v>152523.81491719218</v>
      </c>
      <c r="AW11" s="40">
        <f>AV11*(1+Inputs!$D$20)^(1/12)</f>
        <v>160420.77056088758</v>
      </c>
      <c r="AX11" s="40">
        <f>AW11*(1+Inputs!$D$20)^(1/12)</f>
        <v>168726.59290171057</v>
      </c>
      <c r="AY11" s="40">
        <f>AX11*(1+Inputs!$D$20)^(1/12)</f>
        <v>177462.45110706726</v>
      </c>
      <c r="AZ11" s="40">
        <f>AY11*(1+Inputs!$D$20)^(1/12)</f>
        <v>186650.61038288148</v>
      </c>
      <c r="BA11" s="40">
        <f>AZ11*(1+Inputs!$D$21)^(1/12)</f>
        <v>195107.23073469754</v>
      </c>
      <c r="BB11" s="40">
        <f>BA11*(1+Inputs!$D$21)^(1/12)</f>
        <v>203946.99704905853</v>
      </c>
      <c r="BC11" s="40">
        <f>BB11*(1+Inputs!$D$21)^(1/12)</f>
        <v>213187.26860455415</v>
      </c>
      <c r="BD11" s="40">
        <f>BC11*(1+Inputs!$D$21)^(1/12)</f>
        <v>222846.19118043603</v>
      </c>
      <c r="BE11" s="40">
        <f>BD11*(1+Inputs!$D$21)^(1/12)</f>
        <v>232942.73269077658</v>
      </c>
      <c r="BF11" s="40">
        <f>BE11*(1+Inputs!$D$21)^(1/12)</f>
        <v>243496.72043311261</v>
      </c>
      <c r="BG11" s="40">
        <f>BF11*(1+Inputs!$D$21)^(1/12)</f>
        <v>254528.88002472132</v>
      </c>
      <c r="BH11" s="40">
        <f>BG11*(1+Inputs!$D$21)^(1/12)</f>
        <v>266060.87610299088</v>
      </c>
      <c r="BI11" s="40">
        <f>BH11*(1+Inputs!$D$21)^(1/12)</f>
        <v>278115.35486981156</v>
      </c>
      <c r="BJ11" s="40">
        <f>BI11*(1+Inputs!$D$21)^(1/12)</f>
        <v>290715.98856353504</v>
      </c>
      <c r="BK11" s="40">
        <f>BJ11*(1+Inputs!$D$21)^(1/12)</f>
        <v>303887.52194583463</v>
      </c>
      <c r="BL11" s="40">
        <f>BK11*(1+Inputs!$D$21)^(1/12)</f>
        <v>317655.82089475566</v>
      </c>
    </row>
    <row r="12" spans="2:64" x14ac:dyDescent="0.35">
      <c r="B12" s="3" t="s">
        <v>150</v>
      </c>
      <c r="C12" s="18" t="s">
        <v>111</v>
      </c>
      <c r="D12" s="20">
        <f>SUM(E12:BL12)</f>
        <v>2339835.0491529293</v>
      </c>
      <c r="E12" s="40">
        <f>Inputs!$D$24*Ramp!$E$24</f>
        <v>0</v>
      </c>
      <c r="F12" s="40">
        <f>Inputs!$D$24*Ramp!$F$24</f>
        <v>0</v>
      </c>
      <c r="G12" s="40">
        <f>Inputs!$D$24*Ramp!$G$24</f>
        <v>0</v>
      </c>
      <c r="H12" s="40">
        <f>Inputs!$D$24*Ramp!$H$24</f>
        <v>0</v>
      </c>
      <c r="I12" s="40">
        <f>Inputs!$D$24*Ramp!$I$24</f>
        <v>0</v>
      </c>
      <c r="J12" s="40">
        <f>Inputs!$D$24*Ramp!$J$24</f>
        <v>0</v>
      </c>
      <c r="K12" s="40">
        <f>Inputs!$D$24*Ramp!$K$24</f>
        <v>0</v>
      </c>
      <c r="L12" s="40">
        <f>Inputs!$D$24*Ramp!$L$24</f>
        <v>0</v>
      </c>
      <c r="M12" s="40">
        <f>Inputs!$D$24*Ramp!$M$24</f>
        <v>0</v>
      </c>
      <c r="N12" s="40">
        <f>Inputs!$D$24*Ramp!$N$24</f>
        <v>0</v>
      </c>
      <c r="O12" s="40">
        <f>Inputs!$D$24*Ramp!$O$24</f>
        <v>0</v>
      </c>
      <c r="P12" s="40">
        <f>Inputs!$D$24*Ramp!$P$24</f>
        <v>0</v>
      </c>
      <c r="Q12" s="40">
        <f>Inputs!$D$25*Ramp!$E$27</f>
        <v>0</v>
      </c>
      <c r="R12" s="40">
        <f>Inputs!$D$25*Ramp!$F$27</f>
        <v>0</v>
      </c>
      <c r="S12" s="40">
        <f>Inputs!$D$25*Ramp!$G$27</f>
        <v>0</v>
      </c>
      <c r="T12" s="40">
        <f>Inputs!$D$25*Ramp!$H$27</f>
        <v>0</v>
      </c>
      <c r="U12" s="40">
        <f>Inputs!$D$25*Ramp!$I$27</f>
        <v>0</v>
      </c>
      <c r="V12" s="40">
        <f>Inputs!$D$25*Ramp!$J$27</f>
        <v>0</v>
      </c>
      <c r="W12" s="40">
        <f>Inputs!$D$25*Ramp!$K$27</f>
        <v>0</v>
      </c>
      <c r="X12" s="40">
        <f>Inputs!$D$25*Ramp!$L$27</f>
        <v>0</v>
      </c>
      <c r="Y12" s="40">
        <f>Inputs!$D$25*Ramp!$M$27</f>
        <v>0</v>
      </c>
      <c r="Z12" s="40">
        <f>Inputs!$D$25*Ramp!$N$27</f>
        <v>0</v>
      </c>
      <c r="AA12" s="40">
        <f>Inputs!$D$25*Ramp!$O$27</f>
        <v>0</v>
      </c>
      <c r="AB12" s="40">
        <f>Inputs!$D$25*Ramp!$P$27</f>
        <v>0</v>
      </c>
      <c r="AC12" s="40">
        <f>IF($D$16=1,Inputs!$D$29*Ramp!$E$30,AB12*(1+Inputs!$D$26)^(1/12))</f>
        <v>2416.7585000000004</v>
      </c>
      <c r="AD12" s="40">
        <f>IF($D$16=1,Inputs!$D$29*Ramp!$F$30,AC12*(1+Inputs!$D$26)^(1/12))</f>
        <v>4833.3285000000005</v>
      </c>
      <c r="AE12" s="40">
        <f>IF($D$16=1,Inputs!$D$29*Ramp!$G$30,AD12*(1+Inputs!$D$26)^(1/12))</f>
        <v>7250.0870000000004</v>
      </c>
      <c r="AF12" s="40">
        <f>IF($D$16=1,Inputs!$D$29*Ramp!$H$30,AE12*(1+Inputs!$D$26)^(1/12))</f>
        <v>9666.6570000000011</v>
      </c>
      <c r="AG12" s="40">
        <f>IF($D$16=1,Inputs!$D$29*Ramp!$I$30,AF12*(1+Inputs!$D$26)^(1/12))</f>
        <v>12083.415499999999</v>
      </c>
      <c r="AH12" s="40">
        <f>IF($D$16=1,Inputs!$D$29*Ramp!$J$30,AG12*(1+Inputs!$D$26)^(1/12))</f>
        <v>14499.985500000001</v>
      </c>
      <c r="AI12" s="40">
        <f>IF($D$16=1,Inputs!$D$29*Ramp!$K$30,AH12*(1+Inputs!$D$26)^(1/12))</f>
        <v>16916.744000000002</v>
      </c>
      <c r="AJ12" s="40">
        <f>IF($D$16=1,Inputs!$D$29*Ramp!$L$30,AI12*(1+Inputs!$D$26)^(1/12))</f>
        <v>19333.314000000002</v>
      </c>
      <c r="AK12" s="40">
        <f>IF($D$16=1,Inputs!$D$29*Ramp!$M$30,AJ12*(1+Inputs!$D$26)^(1/12))</f>
        <v>21750.072500000002</v>
      </c>
      <c r="AL12" s="40">
        <f>IF($D$16=1,Inputs!$D$29*Ramp!$N$30,AK12*(1+Inputs!$D$26)^(1/12))</f>
        <v>24166.642500000002</v>
      </c>
      <c r="AM12" s="40">
        <f>IF($D$16=1,Inputs!$D$29*Ramp!$O$30,AL12*(1+Inputs!$D$26)^(1/12))</f>
        <v>26583.401000000002</v>
      </c>
      <c r="AN12" s="40">
        <f>IF($D$16=1,Inputs!$D$29*Ramp!$P$30,AM12*(1+Inputs!$D$26)^(1/12))</f>
        <v>28999.594000000001</v>
      </c>
      <c r="AO12" s="40">
        <f>AN12*(1+Inputs!$D$27)^(1/12)</f>
        <v>31986.666149185767</v>
      </c>
      <c r="AP12" s="40">
        <f>AO12*(1+Inputs!$D$27)^(1/12)</f>
        <v>35281.418468805685</v>
      </c>
      <c r="AQ12" s="40">
        <f>AP12*(1+Inputs!$D$27)^(1/12)</f>
        <v>38915.543225584617</v>
      </c>
      <c r="AR12" s="40">
        <f>AQ12*(1+Inputs!$D$27)^(1/12)</f>
        <v>42923.997114269354</v>
      </c>
      <c r="AS12" s="40">
        <f>AR12*(1+Inputs!$D$27)^(1/12)</f>
        <v>47345.337506543954</v>
      </c>
      <c r="AT12" s="40">
        <f>AS12*(1+Inputs!$D$27)^(1/12)</f>
        <v>52222.093334904777</v>
      </c>
      <c r="AU12" s="40">
        <f>AT12*(1+Inputs!$D$27)^(1/12)</f>
        <v>57601.174179032234</v>
      </c>
      <c r="AV12" s="40">
        <f>AU12*(1+Inputs!$D$27)^(1/12)</f>
        <v>63534.321489666494</v>
      </c>
      <c r="AW12" s="40">
        <f>AV12*(1+Inputs!$D$27)^(1/12)</f>
        <v>70078.606290315685</v>
      </c>
      <c r="AX12" s="40">
        <f>AW12*(1+Inputs!$D$27)^(1/12)</f>
        <v>77296.978144195993</v>
      </c>
      <c r="AY12" s="40">
        <f>AX12*(1+Inputs!$D$27)^(1/12)</f>
        <v>85258.87066692402</v>
      </c>
      <c r="AZ12" s="40">
        <f>AY12*(1+Inputs!$D$27)^(1/12)</f>
        <v>94040.869409396066</v>
      </c>
      <c r="BA12" s="40">
        <f>AZ12*(1+Inputs!$D$28)^(1/12)</f>
        <v>97661.159404364371</v>
      </c>
      <c r="BB12" s="40">
        <f>BA12*(1+Inputs!$D$28)^(1/12)</f>
        <v>101420.81965111768</v>
      </c>
      <c r="BC12" s="40">
        <f>BB12*(1+Inputs!$D$28)^(1/12)</f>
        <v>105325.21548423129</v>
      </c>
      <c r="BD12" s="40">
        <f>BC12*(1+Inputs!$D$28)^(1/12)</f>
        <v>109379.91878748835</v>
      </c>
      <c r="BE12" s="40">
        <f>BD12*(1+Inputs!$D$28)^(1/12)</f>
        <v>113590.71594540175</v>
      </c>
      <c r="BF12" s="40">
        <f>BE12*(1+Inputs!$D$28)^(1/12)</f>
        <v>117963.61610084563</v>
      </c>
      <c r="BG12" s="40">
        <f>BF12*(1+Inputs!$D$28)^(1/12)</f>
        <v>122504.85973058076</v>
      </c>
      <c r="BH12" s="40">
        <f>BG12*(1+Inputs!$D$28)^(1/12)</f>
        <v>127220.92755091193</v>
      </c>
      <c r="BI12" s="40">
        <f>BH12*(1+Inputs!$D$28)^(1/12)</f>
        <v>132118.5497661861</v>
      </c>
      <c r="BJ12" s="40">
        <f>BI12*(1+Inputs!$D$28)^(1/12)</f>
        <v>137204.71567333004</v>
      </c>
      <c r="BK12" s="40">
        <f>BJ12*(1+Inputs!$D$28)^(1/12)</f>
        <v>142486.68363613365</v>
      </c>
      <c r="BL12" s="40">
        <f>BK12*(1+Inputs!$D$28)^(1/12)</f>
        <v>147971.99144351308</v>
      </c>
    </row>
    <row r="13" spans="2:64" x14ac:dyDescent="0.35">
      <c r="B13" s="4" t="s">
        <v>284</v>
      </c>
      <c r="C13" s="18" t="s">
        <v>111</v>
      </c>
      <c r="D13" s="56">
        <f>SUM(E13:BL13)</f>
        <v>10682908.157014374</v>
      </c>
      <c r="E13" s="56">
        <f t="shared" ref="E13:AJ13" si="10">E10+E11+E12</f>
        <v>0</v>
      </c>
      <c r="F13" s="56">
        <f t="shared" si="10"/>
        <v>0</v>
      </c>
      <c r="G13" s="56">
        <f t="shared" si="10"/>
        <v>0</v>
      </c>
      <c r="H13" s="56">
        <f t="shared" si="10"/>
        <v>0</v>
      </c>
      <c r="I13" s="56">
        <f t="shared" si="10"/>
        <v>0</v>
      </c>
      <c r="J13" s="56">
        <f t="shared" si="10"/>
        <v>0</v>
      </c>
      <c r="K13" s="56">
        <f t="shared" si="10"/>
        <v>0</v>
      </c>
      <c r="L13" s="56">
        <f t="shared" si="10"/>
        <v>0</v>
      </c>
      <c r="M13" s="56">
        <f t="shared" si="10"/>
        <v>0</v>
      </c>
      <c r="N13" s="56">
        <f t="shared" si="10"/>
        <v>1070.0514590600001</v>
      </c>
      <c r="O13" s="56">
        <f t="shared" si="10"/>
        <v>1963.15281891</v>
      </c>
      <c r="P13" s="56">
        <f t="shared" si="10"/>
        <v>2847.6857220300003</v>
      </c>
      <c r="Q13" s="56">
        <f t="shared" si="10"/>
        <v>5941.8860870199996</v>
      </c>
      <c r="R13" s="56">
        <f t="shared" si="10"/>
        <v>9353.0402328799992</v>
      </c>
      <c r="S13" s="56">
        <f t="shared" si="10"/>
        <v>12892.40951646</v>
      </c>
      <c r="T13" s="56">
        <f t="shared" si="10"/>
        <v>16593.209365480001</v>
      </c>
      <c r="U13" s="56">
        <f t="shared" si="10"/>
        <v>20418.436123699998</v>
      </c>
      <c r="V13" s="56">
        <f t="shared" si="10"/>
        <v>24359.68950778</v>
      </c>
      <c r="W13" s="56">
        <f t="shared" si="10"/>
        <v>28403.630217639999</v>
      </c>
      <c r="X13" s="56">
        <f t="shared" si="10"/>
        <v>32560.380233179996</v>
      </c>
      <c r="Y13" s="56">
        <f t="shared" si="10"/>
        <v>36806.51914466</v>
      </c>
      <c r="Z13" s="56">
        <f t="shared" si="10"/>
        <v>40956.14756148</v>
      </c>
      <c r="AA13" s="56">
        <f t="shared" si="10"/>
        <v>45237.279953320001</v>
      </c>
      <c r="AB13" s="56">
        <f t="shared" si="10"/>
        <v>49614.232056399997</v>
      </c>
      <c r="AC13" s="56">
        <f t="shared" si="10"/>
        <v>57029.069685276183</v>
      </c>
      <c r="AD13" s="56">
        <f t="shared" si="10"/>
        <v>64952.161670005764</v>
      </c>
      <c r="AE13" s="56">
        <f t="shared" si="10"/>
        <v>73436.081998739377</v>
      </c>
      <c r="AF13" s="56">
        <f t="shared" si="10"/>
        <v>82538.054300863121</v>
      </c>
      <c r="AG13" s="56">
        <f t="shared" si="10"/>
        <v>92322.023498120339</v>
      </c>
      <c r="AH13" s="56">
        <f t="shared" si="10"/>
        <v>102857.77064627396</v>
      </c>
      <c r="AI13" s="56">
        <f t="shared" si="10"/>
        <v>114223.10921980577</v>
      </c>
      <c r="AJ13" s="56">
        <f t="shared" si="10"/>
        <v>126503.13775600288</v>
      </c>
      <c r="AK13" s="56">
        <f t="shared" ref="AK13:BP13" si="11">AK10+AK11+AK12</f>
        <v>139792.58850943026</v>
      </c>
      <c r="AL13" s="56">
        <f t="shared" si="11"/>
        <v>154195.2485808066</v>
      </c>
      <c r="AM13" s="56">
        <f t="shared" si="11"/>
        <v>169826.49488408363</v>
      </c>
      <c r="AN13" s="56">
        <f t="shared" si="11"/>
        <v>186812.54431136654</v>
      </c>
      <c r="AO13" s="56">
        <f t="shared" si="11"/>
        <v>196950.19813591707</v>
      </c>
      <c r="AP13" s="56">
        <f t="shared" si="11"/>
        <v>207731.53137092158</v>
      </c>
      <c r="AQ13" s="56">
        <f t="shared" si="11"/>
        <v>219204.4846683238</v>
      </c>
      <c r="AR13" s="56">
        <f t="shared" si="11"/>
        <v>231421.06585999602</v>
      </c>
      <c r="AS13" s="56">
        <f t="shared" si="11"/>
        <v>244437.72647741649</v>
      </c>
      <c r="AT13" s="56">
        <f t="shared" si="11"/>
        <v>258315.7749479971</v>
      </c>
      <c r="AU13" s="56">
        <f t="shared" si="11"/>
        <v>273121.83013985323</v>
      </c>
      <c r="AV13" s="56">
        <f t="shared" si="11"/>
        <v>288928.31929962797</v>
      </c>
      <c r="AW13" s="56">
        <f t="shared" si="11"/>
        <v>305814.02483892703</v>
      </c>
      <c r="AX13" s="56">
        <f t="shared" si="11"/>
        <v>323864.68487790693</v>
      </c>
      <c r="AY13" s="56">
        <f t="shared" si="11"/>
        <v>343173.65295389784</v>
      </c>
      <c r="AZ13" s="56">
        <f t="shared" si="11"/>
        <v>363842.62285339477</v>
      </c>
      <c r="BA13" s="56">
        <f t="shared" si="11"/>
        <v>378815.83486980322</v>
      </c>
      <c r="BB13" s="56">
        <f t="shared" si="11"/>
        <v>394412.4464203933</v>
      </c>
      <c r="BC13" s="56">
        <f t="shared" si="11"/>
        <v>410658.69606314145</v>
      </c>
      <c r="BD13" s="56">
        <f t="shared" si="11"/>
        <v>427581.93780281884</v>
      </c>
      <c r="BE13" s="56">
        <f t="shared" si="11"/>
        <v>445210.68893997412</v>
      </c>
      <c r="BF13" s="56">
        <f t="shared" si="11"/>
        <v>463574.67998900858</v>
      </c>
      <c r="BG13" s="56">
        <f t="shared" si="11"/>
        <v>482704.90675544849</v>
      </c>
      <c r="BH13" s="56">
        <f t="shared" si="11"/>
        <v>502633.68466646748</v>
      </c>
      <c r="BI13" s="56">
        <f t="shared" si="11"/>
        <v>523394.70545283298</v>
      </c>
      <c r="BJ13" s="56">
        <f t="shared" si="11"/>
        <v>545023.09628475423</v>
      </c>
      <c r="BK13" s="56">
        <f t="shared" si="11"/>
        <v>567555.48146860383</v>
      </c>
      <c r="BL13" s="56">
        <f t="shared" si="11"/>
        <v>591030.04681617301</v>
      </c>
    </row>
    <row r="14" spans="2:64" x14ac:dyDescent="0.35">
      <c r="B14" s="3" t="s">
        <v>414</v>
      </c>
      <c r="C14" s="18" t="s">
        <v>415</v>
      </c>
      <c r="D14" s="13">
        <f>IF(AB10=0,1,0)</f>
        <v>0</v>
      </c>
    </row>
    <row r="15" spans="2:64" x14ac:dyDescent="0.35">
      <c r="B15" s="3" t="s">
        <v>416</v>
      </c>
      <c r="C15" s="18" t="s">
        <v>415</v>
      </c>
      <c r="D15" s="13">
        <f>IF(AB11=0,1,0)</f>
        <v>0</v>
      </c>
    </row>
    <row r="16" spans="2:64" x14ac:dyDescent="0.35">
      <c r="B16" s="3" t="s">
        <v>417</v>
      </c>
      <c r="C16" s="18" t="s">
        <v>415</v>
      </c>
      <c r="D16" s="13">
        <f>IF(AB12=0,1,0)</f>
        <v>1</v>
      </c>
    </row>
    <row r="17" spans="2:64" x14ac:dyDescent="0.35">
      <c r="B17" s="16" t="s">
        <v>418</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row>
    <row r="18" spans="2:64" x14ac:dyDescent="0.35">
      <c r="B18" s="3" t="s">
        <v>419</v>
      </c>
      <c r="C18" s="18" t="s">
        <v>111</v>
      </c>
      <c r="D18" s="20">
        <f>SUM(E18:BL18)</f>
        <v>453207.42460216413</v>
      </c>
      <c r="E18" s="40">
        <f>E10*(1-Inputs!$D$32)</f>
        <v>0</v>
      </c>
      <c r="F18" s="40">
        <f>F10*(1-Inputs!$D$32)</f>
        <v>0</v>
      </c>
      <c r="G18" s="40">
        <f>G10*(1-Inputs!$D$32)</f>
        <v>0</v>
      </c>
      <c r="H18" s="40">
        <f>H10*(1-Inputs!$D$32)</f>
        <v>0</v>
      </c>
      <c r="I18" s="40">
        <f>I10*(1-Inputs!$D$32)</f>
        <v>0</v>
      </c>
      <c r="J18" s="40">
        <f>J10*(1-Inputs!$D$32)</f>
        <v>0</v>
      </c>
      <c r="K18" s="40">
        <f>K10*(1-Inputs!$D$32)</f>
        <v>0</v>
      </c>
      <c r="L18" s="40">
        <f>L10*(1-Inputs!$D$32)</f>
        <v>0</v>
      </c>
      <c r="M18" s="40">
        <f>M10*(1-Inputs!$D$32)</f>
        <v>0</v>
      </c>
      <c r="N18" s="40">
        <f>N10*(1-Inputs!$D$32)</f>
        <v>3561.945564912025</v>
      </c>
      <c r="O18" s="40">
        <f>O10*(1-Inputs!$D$32)</f>
        <v>6534.8665406276705</v>
      </c>
      <c r="P18" s="40">
        <f>P10*(1-Inputs!$D$32)</f>
        <v>9479.2651717503068</v>
      </c>
      <c r="Q18" s="40">
        <f>Q10*(1-Inputs!$E$32)</f>
        <v>1186.066847324108</v>
      </c>
      <c r="R18" s="40">
        <f>R10*(1-Inputs!$E$32)</f>
        <v>1593.6135004278883</v>
      </c>
      <c r="S18" s="40">
        <f>S10*(1-Inputs!$E$32)</f>
        <v>2004.999091923105</v>
      </c>
      <c r="T18" s="40">
        <f>T10*(1-Inputs!$E$32)</f>
        <v>2418.655023327236</v>
      </c>
      <c r="U18" s="40">
        <f>U10*(1-Inputs!$E$32)</f>
        <v>2833.6318797692802</v>
      </c>
      <c r="V18" s="40">
        <f>V10*(1-Inputs!$E$32)</f>
        <v>3249.3930354525851</v>
      </c>
      <c r="W18" s="40">
        <f>W10*(1-Inputs!$E$32)</f>
        <v>3665.7320958399778</v>
      </c>
      <c r="X18" s="40">
        <f>X10*(1-Inputs!$E$32)</f>
        <v>4082.6903398388931</v>
      </c>
      <c r="Y18" s="40">
        <f>Y10*(1-Inputs!$E$32)</f>
        <v>4500.2264885418954</v>
      </c>
      <c r="Z18" s="40">
        <f>Z10*(1-Inputs!$E$32)</f>
        <v>4871.3238663807469</v>
      </c>
      <c r="AA18" s="40">
        <f>AA10*(1-Inputs!$E$32)</f>
        <v>5248.2002912604712</v>
      </c>
      <c r="AB18" s="40">
        <f>AB10*(1-Inputs!$E$32)</f>
        <v>5624.3749747138036</v>
      </c>
      <c r="AC18" s="40">
        <f>AC10*(1-Inputs!$F$32)</f>
        <v>3983.9483172887863</v>
      </c>
      <c r="AD18" s="40">
        <f>AD10*(1-Inputs!$F$32)</f>
        <v>4337.2784954395038</v>
      </c>
      <c r="AE18" s="40">
        <f>AE10*(1-Inputs!$F$32)</f>
        <v>4721.9449773897086</v>
      </c>
      <c r="AF18" s="40">
        <f>AF10*(1-Inputs!$F$32)</f>
        <v>5140.7269311712771</v>
      </c>
      <c r="AG18" s="40">
        <f>AG10*(1-Inputs!$F$32)</f>
        <v>5596.6500049050865</v>
      </c>
      <c r="AH18" s="40">
        <f>AH10*(1-Inputs!$F$32)</f>
        <v>6093.0081867366371</v>
      </c>
      <c r="AI18" s="40">
        <f>AI10*(1-Inputs!$F$32)</f>
        <v>6633.3876034953664</v>
      </c>
      <c r="AJ18" s="40">
        <f>AJ10*(1-Inputs!$F$32)</f>
        <v>7221.6924300200235</v>
      </c>
      <c r="AK18" s="40">
        <f>AK10*(1-Inputs!$F$32)</f>
        <v>7862.1730963418049</v>
      </c>
      <c r="AL18" s="40">
        <f>AL10*(1-Inputs!$F$32)</f>
        <v>8559.456996518682</v>
      </c>
      <c r="AM18" s="40">
        <f>AM10*(1-Inputs!$F$32)</f>
        <v>9318.5819209884612</v>
      </c>
      <c r="AN18" s="40">
        <f>AN10*(1-Inputs!$F$32)</f>
        <v>10145.032453985234</v>
      </c>
      <c r="AO18" s="40">
        <f>AO10*(1-Inputs!$G$32)</f>
        <v>9019.9851393906283</v>
      </c>
      <c r="AP18" s="40">
        <f>AP10*(1-Inputs!$G$32)</f>
        <v>9322.5648497049824</v>
      </c>
      <c r="AQ18" s="40">
        <f>AQ10*(1-Inputs!$G$32)</f>
        <v>9635.2947409430381</v>
      </c>
      <c r="AR18" s="40">
        <f>AR10*(1-Inputs!$G$32)</f>
        <v>9958.5153057725856</v>
      </c>
      <c r="AS18" s="40">
        <f>AS10*(1-Inputs!$G$32)</f>
        <v>10292.578458850607</v>
      </c>
      <c r="AT18" s="40">
        <f>AT10*(1-Inputs!$G$32)</f>
        <v>10637.84791997936</v>
      </c>
      <c r="AU18" s="40">
        <f>AU10*(1-Inputs!$G$32)</f>
        <v>10994.699610115622</v>
      </c>
      <c r="AV18" s="40">
        <f>AV10*(1-Inputs!$G$32)</f>
        <v>11363.522060664234</v>
      </c>
      <c r="AW18" s="40">
        <f>AW10*(1-Inputs!$G$32)</f>
        <v>11744.716836501619</v>
      </c>
      <c r="AX18" s="40">
        <f>AX10*(1-Inputs!$G$32)</f>
        <v>12138.698973189801</v>
      </c>
      <c r="AY18" s="40">
        <f>AY10*(1-Inputs!$G$32)</f>
        <v>12545.897428856997</v>
      </c>
      <c r="AZ18" s="40">
        <f>AZ10*(1-Inputs!$G$32)</f>
        <v>12966.755551236742</v>
      </c>
      <c r="BA18" s="40">
        <f>BA10*(1-Inputs!$H$32)</f>
        <v>12484.107471314874</v>
      </c>
      <c r="BB18" s="40">
        <f>BB10*(1-Inputs!$H$32)</f>
        <v>12918.951058327979</v>
      </c>
      <c r="BC18" s="40">
        <f>BC10*(1-Inputs!$H$32)</f>
        <v>13368.941018087466</v>
      </c>
      <c r="BD18" s="40">
        <f>BD10*(1-Inputs!$H$32)</f>
        <v>13834.604925597827</v>
      </c>
      <c r="BE18" s="40">
        <f>BE10*(1-Inputs!$H$32)</f>
        <v>14316.488732235908</v>
      </c>
      <c r="BF18" s="40">
        <f>BF10*(1-Inputs!$H$32)</f>
        <v>14815.157405832524</v>
      </c>
      <c r="BG18" s="40">
        <f>BG10*(1-Inputs!$H$32)</f>
        <v>15331.195593049239</v>
      </c>
      <c r="BH18" s="40">
        <f>BH10*(1-Inputs!$H$32)</f>
        <v>15865.208304826934</v>
      </c>
      <c r="BI18" s="40">
        <f>BI10*(1-Inputs!$H$32)</f>
        <v>16417.82162570973</v>
      </c>
      <c r="BJ18" s="40">
        <f>BJ10*(1-Inputs!$H$32)</f>
        <v>16989.683447875945</v>
      </c>
      <c r="BK18" s="40">
        <f>BK10*(1-Inputs!$H$32)</f>
        <v>17581.464230736623</v>
      </c>
      <c r="BL18" s="40">
        <f>BL10*(1-Inputs!$H$32)</f>
        <v>18193.857786992263</v>
      </c>
    </row>
    <row r="19" spans="2:64" x14ac:dyDescent="0.35">
      <c r="B19" s="3" t="s">
        <v>420</v>
      </c>
      <c r="C19" s="18" t="s">
        <v>111</v>
      </c>
      <c r="D19" s="20">
        <f>SUM(E19:BL19)</f>
        <v>3413893.9378995011</v>
      </c>
      <c r="E19" s="40">
        <f>E11*(1-Inputs!$D$35)</f>
        <v>0</v>
      </c>
      <c r="F19" s="40">
        <f>F11*(1-Inputs!$D$35)</f>
        <v>0</v>
      </c>
      <c r="G19" s="40">
        <f>G11*(1-Inputs!$D$35)</f>
        <v>0</v>
      </c>
      <c r="H19" s="40">
        <f>H11*(1-Inputs!$D$35)</f>
        <v>0</v>
      </c>
      <c r="I19" s="40">
        <f>I11*(1-Inputs!$D$35)</f>
        <v>0</v>
      </c>
      <c r="J19" s="40">
        <f>J11*(1-Inputs!$D$35)</f>
        <v>0</v>
      </c>
      <c r="K19" s="40">
        <f>K11*(1-Inputs!$D$35)</f>
        <v>0</v>
      </c>
      <c r="L19" s="40">
        <f>L11*(1-Inputs!$D$35)</f>
        <v>0</v>
      </c>
      <c r="M19" s="40">
        <f>M11*(1-Inputs!$D$35)</f>
        <v>0</v>
      </c>
      <c r="N19" s="40">
        <f>N11*(1-Inputs!$D$35)</f>
        <v>0</v>
      </c>
      <c r="O19" s="40">
        <f>O11*(1-Inputs!$D$35)</f>
        <v>0</v>
      </c>
      <c r="P19" s="40">
        <f>P11*(1-Inputs!$D$35)</f>
        <v>0</v>
      </c>
      <c r="Q19" s="40">
        <f>Q11*(1-Inputs!$E$35)</f>
        <v>1214.2868101924723</v>
      </c>
      <c r="R19" s="40">
        <f>R11*(1-Inputs!$E$35)</f>
        <v>2618.4911545162008</v>
      </c>
      <c r="S19" s="40">
        <f>S11*(1-Inputs!$E$35)</f>
        <v>4105.1696471280047</v>
      </c>
      <c r="T19" s="40">
        <f>T11*(1-Inputs!$E$35)</f>
        <v>5702.3180998320922</v>
      </c>
      <c r="U19" s="40">
        <f>U11*(1-Inputs!$E$35)</f>
        <v>7385.7239186356355</v>
      </c>
      <c r="V19" s="40">
        <f>V11*(1-Inputs!$E$35)</f>
        <v>9150.7211349045974</v>
      </c>
      <c r="W19" s="40">
        <f>W11*(1-Inputs!$E$35)</f>
        <v>10988.230025891671</v>
      </c>
      <c r="X19" s="40">
        <f>X11*(1-Inputs!$E$35)</f>
        <v>12905.438705438472</v>
      </c>
      <c r="Y19" s="40">
        <f>Y11*(1-Inputs!$E$35)</f>
        <v>14885.574907914557</v>
      </c>
      <c r="Z19" s="40">
        <f>Z11*(1-Inputs!$E$35)</f>
        <v>16916.280121802745</v>
      </c>
      <c r="AA19" s="40">
        <f>AA11*(1-Inputs!$E$35)</f>
        <v>19026.811231511045</v>
      </c>
      <c r="AB19" s="40">
        <f>AB11*(1-Inputs!$E$35)</f>
        <v>21208.214621552521</v>
      </c>
      <c r="AC19" s="40">
        <f>AC11*(1-Inputs!$F$35)</f>
        <v>20416.884703145908</v>
      </c>
      <c r="AD19" s="40">
        <f>AD11*(1-Inputs!$F$35)</f>
        <v>22642.432893323363</v>
      </c>
      <c r="AE19" s="40">
        <f>AE11*(1-Inputs!$F$35)</f>
        <v>25110.577582370152</v>
      </c>
      <c r="AF19" s="40">
        <f>AF11*(1-Inputs!$F$35)</f>
        <v>27847.763069054294</v>
      </c>
      <c r="AG19" s="40">
        <f>AG11*(1-Inputs!$F$35)</f>
        <v>30883.316220278914</v>
      </c>
      <c r="AH19" s="40">
        <f>AH11*(1-Inputs!$F$35)</f>
        <v>34249.760686222791</v>
      </c>
      <c r="AI19" s="40">
        <f>AI11*(1-Inputs!$F$35)</f>
        <v>37983.165366589572</v>
      </c>
      <c r="AJ19" s="40">
        <f>AJ11*(1-Inputs!$F$35)</f>
        <v>42123.530861517356</v>
      </c>
      <c r="AK19" s="40">
        <f>AK11*(1-Inputs!$F$35)</f>
        <v>46715.218047677008</v>
      </c>
      <c r="AL19" s="40">
        <f>AL11*(1-Inputs!$F$35)</f>
        <v>51807.423371427169</v>
      </c>
      <c r="AM19" s="40">
        <f>AM11*(1-Inputs!$F$35)</f>
        <v>57454.705951431693</v>
      </c>
      <c r="AN19" s="40">
        <f>AN11*(1-Inputs!$F$35)</f>
        <v>63717.572138244417</v>
      </c>
      <c r="AO19" s="40">
        <f>AO11*(1-Inputs!$G$35)</f>
        <v>64491.600661903125</v>
      </c>
      <c r="AP19" s="40">
        <f>AP11*(1-Inputs!$G$35)</f>
        <v>67830.668138640889</v>
      </c>
      <c r="AQ19" s="40">
        <f>AQ11*(1-Inputs!$G$35)</f>
        <v>71342.616602976675</v>
      </c>
      <c r="AR19" s="40">
        <f>AR11*(1-Inputs!$G$35)</f>
        <v>75036.397007858017</v>
      </c>
      <c r="AS19" s="40">
        <f>AS11*(1-Inputs!$G$35)</f>
        <v>78921.423743882697</v>
      </c>
      <c r="AT19" s="40">
        <f>AT11*(1-Inputs!$G$35)</f>
        <v>83007.598633889851</v>
      </c>
      <c r="AU19" s="40">
        <f>AU11*(1-Inputs!$G$35)</f>
        <v>87305.336169876507</v>
      </c>
      <c r="AV19" s="40">
        <f>AV11*(1-Inputs!$G$35)</f>
        <v>91825.590056561312</v>
      </c>
      <c r="AW19" s="40">
        <f>AW11*(1-Inputs!$G$35)</f>
        <v>96579.881129247326</v>
      </c>
      <c r="AX19" s="40">
        <f>AX11*(1-Inputs!$G$35)</f>
        <v>101580.32671713874</v>
      </c>
      <c r="AY19" s="40">
        <f>AY11*(1-Inputs!$G$35)</f>
        <v>106839.67152694988</v>
      </c>
      <c r="AZ19" s="40">
        <f>AZ11*(1-Inputs!$G$35)</f>
        <v>112371.32012552036</v>
      </c>
      <c r="BA19" s="40">
        <f>BA11*(1-Inputs!$H$35)</f>
        <v>115528.45432047498</v>
      </c>
      <c r="BB19" s="40">
        <f>BB11*(1-Inputs!$H$35)</f>
        <v>120762.72746866492</v>
      </c>
      <c r="BC19" s="40">
        <f>BC11*(1-Inputs!$H$35)</f>
        <v>126234.15098427744</v>
      </c>
      <c r="BD19" s="40">
        <f>BD11*(1-Inputs!$H$35)</f>
        <v>131953.46949128923</v>
      </c>
      <c r="BE19" s="40">
        <f>BE11*(1-Inputs!$H$35)</f>
        <v>137931.91442272416</v>
      </c>
      <c r="BF19" s="40">
        <f>BF11*(1-Inputs!$H$35)</f>
        <v>144181.2260766181</v>
      </c>
      <c r="BG19" s="40">
        <f>BG11*(1-Inputs!$H$35)</f>
        <v>150713.6766712782</v>
      </c>
      <c r="BH19" s="40">
        <f>BH11*(1-Inputs!$H$35)</f>
        <v>157542.09444511178</v>
      </c>
      <c r="BI19" s="40">
        <f>BI11*(1-Inputs!$H$35)</f>
        <v>164679.88884835178</v>
      </c>
      <c r="BJ19" s="40">
        <f>BJ11*(1-Inputs!$H$35)</f>
        <v>172141.07687614887</v>
      </c>
      <c r="BK19" s="40">
        <f>BK11*(1-Inputs!$H$35)</f>
        <v>179940.31059474318</v>
      </c>
      <c r="BL19" s="40">
        <f>BL11*(1-Inputs!$H$35)</f>
        <v>188092.90591476989</v>
      </c>
    </row>
    <row r="20" spans="2:64" x14ac:dyDescent="0.35">
      <c r="B20" s="3" t="s">
        <v>421</v>
      </c>
      <c r="C20" s="18" t="s">
        <v>111</v>
      </c>
      <c r="D20" s="20">
        <f>SUM(E20:BL20)</f>
        <v>100412.57302772079</v>
      </c>
      <c r="E20" s="40">
        <f>E12*(1-Inputs!$D$38)</f>
        <v>0</v>
      </c>
      <c r="F20" s="40">
        <f>F12*(1-Inputs!$D$38)</f>
        <v>0</v>
      </c>
      <c r="G20" s="40">
        <f>G12*(1-Inputs!$D$38)</f>
        <v>0</v>
      </c>
      <c r="H20" s="40">
        <f>H12*(1-Inputs!$D$38)</f>
        <v>0</v>
      </c>
      <c r="I20" s="40">
        <f>I12*(1-Inputs!$D$38)</f>
        <v>0</v>
      </c>
      <c r="J20" s="40">
        <f>J12*(1-Inputs!$D$38)</f>
        <v>0</v>
      </c>
      <c r="K20" s="40">
        <f>K12*(1-Inputs!$D$38)</f>
        <v>0</v>
      </c>
      <c r="L20" s="40">
        <f>L12*(1-Inputs!$D$38)</f>
        <v>0</v>
      </c>
      <c r="M20" s="40">
        <f>M12*(1-Inputs!$D$38)</f>
        <v>0</v>
      </c>
      <c r="N20" s="40">
        <f>N12*(1-Inputs!$D$38)</f>
        <v>0</v>
      </c>
      <c r="O20" s="40">
        <f>O12*(1-Inputs!$D$38)</f>
        <v>0</v>
      </c>
      <c r="P20" s="40">
        <f>P12*(1-Inputs!$D$38)</f>
        <v>0</v>
      </c>
      <c r="Q20" s="40">
        <f>Q12*(1-Inputs!$E$38)</f>
        <v>0</v>
      </c>
      <c r="R20" s="40">
        <f>R12*(1-Inputs!$E$38)</f>
        <v>0</v>
      </c>
      <c r="S20" s="40">
        <f>S12*(1-Inputs!$E$38)</f>
        <v>0</v>
      </c>
      <c r="T20" s="40">
        <f>T12*(1-Inputs!$E$38)</f>
        <v>0</v>
      </c>
      <c r="U20" s="40">
        <f>U12*(1-Inputs!$E$38)</f>
        <v>0</v>
      </c>
      <c r="V20" s="40">
        <f>V12*(1-Inputs!$E$38)</f>
        <v>0</v>
      </c>
      <c r="W20" s="40">
        <f>W12*(1-Inputs!$E$38)</f>
        <v>0</v>
      </c>
      <c r="X20" s="40">
        <f>X12*(1-Inputs!$E$38)</f>
        <v>0</v>
      </c>
      <c r="Y20" s="40">
        <f>Y12*(1-Inputs!$E$38)</f>
        <v>0</v>
      </c>
      <c r="Z20" s="40">
        <f>Z12*(1-Inputs!$E$38)</f>
        <v>0</v>
      </c>
      <c r="AA20" s="40">
        <f>AA12*(1-Inputs!$E$38)</f>
        <v>0</v>
      </c>
      <c r="AB20" s="40">
        <f>AB12*(1-Inputs!$E$38)</f>
        <v>0</v>
      </c>
      <c r="AC20" s="40">
        <f>AC12*(1-Inputs!$F$38)</f>
        <v>168.37556469500004</v>
      </c>
      <c r="AD20" s="40">
        <f>AD12*(1-Inputs!$F$38)</f>
        <v>336.73799659500008</v>
      </c>
      <c r="AE20" s="40">
        <f>AE12*(1-Inputs!$F$38)</f>
        <v>505.11356129000012</v>
      </c>
      <c r="AF20" s="40">
        <f>AF12*(1-Inputs!$F$38)</f>
        <v>673.47599319000017</v>
      </c>
      <c r="AG20" s="40">
        <f>AG12*(1-Inputs!$F$38)</f>
        <v>841.85155788500003</v>
      </c>
      <c r="AH20" s="40">
        <f>AH12*(1-Inputs!$F$38)</f>
        <v>1010.2139897850002</v>
      </c>
      <c r="AI20" s="40">
        <f>AI12*(1-Inputs!$F$38)</f>
        <v>1178.5895544800003</v>
      </c>
      <c r="AJ20" s="40">
        <f>AJ12*(1-Inputs!$F$38)</f>
        <v>1346.9519863800003</v>
      </c>
      <c r="AK20" s="40">
        <f>AK12*(1-Inputs!$F$38)</f>
        <v>1515.3275510750004</v>
      </c>
      <c r="AL20" s="40">
        <f>AL12*(1-Inputs!$F$38)</f>
        <v>1683.6899829750002</v>
      </c>
      <c r="AM20" s="40">
        <f>AM12*(1-Inputs!$F$38)</f>
        <v>1852.0655476700003</v>
      </c>
      <c r="AN20" s="40">
        <f>AN12*(1-Inputs!$F$38)</f>
        <v>2020.4017139800003</v>
      </c>
      <c r="AO20" s="40">
        <f>AO12*(1-Inputs!$G$38)</f>
        <v>1502.893509019495</v>
      </c>
      <c r="AP20" s="40">
        <f>AP12*(1-Inputs!$G$38)</f>
        <v>1657.6974467568371</v>
      </c>
      <c r="AQ20" s="40">
        <f>AQ12*(1-Inputs!$G$38)</f>
        <v>1828.4467984540954</v>
      </c>
      <c r="AR20" s="40">
        <f>AR12*(1-Inputs!$G$38)</f>
        <v>2016.784004413948</v>
      </c>
      <c r="AS20" s="40">
        <f>AS12*(1-Inputs!$G$38)</f>
        <v>2224.5206827449701</v>
      </c>
      <c r="AT20" s="40">
        <f>AT12*(1-Inputs!$G$38)</f>
        <v>2453.6550553405036</v>
      </c>
      <c r="AU20" s="40">
        <f>AU12*(1-Inputs!$G$38)</f>
        <v>2706.3911688018325</v>
      </c>
      <c r="AV20" s="40">
        <f>AV12*(1-Inputs!$G$38)</f>
        <v>2985.1600951919836</v>
      </c>
      <c r="AW20" s="40">
        <f>AW12*(1-Inputs!$G$38)</f>
        <v>3292.6433165504864</v>
      </c>
      <c r="AX20" s="40">
        <f>AX12*(1-Inputs!$G$38)</f>
        <v>3631.7985181050531</v>
      </c>
      <c r="AY20" s="40">
        <f>AY12*(1-Inputs!$G$38)</f>
        <v>4005.8880382854295</v>
      </c>
      <c r="AZ20" s="40">
        <f>AZ12*(1-Inputs!$G$38)</f>
        <v>4418.5102492004789</v>
      </c>
      <c r="BA20" s="40">
        <f>BA12*(1-Inputs!$H$38)</f>
        <v>3662.1958165042547</v>
      </c>
      <c r="BB20" s="40">
        <f>BB12*(1-Inputs!$H$38)</f>
        <v>3803.1793160972566</v>
      </c>
      <c r="BC20" s="40">
        <f>BC12*(1-Inputs!$H$38)</f>
        <v>3949.5902554431837</v>
      </c>
      <c r="BD20" s="40">
        <f>BD12*(1-Inputs!$H$38)</f>
        <v>4101.6375746120202</v>
      </c>
      <c r="BE20" s="40">
        <f>BE12*(1-Inputs!$H$38)</f>
        <v>4259.5382572366143</v>
      </c>
      <c r="BF20" s="40">
        <f>BF12*(1-Inputs!$H$38)</f>
        <v>4423.5176401656045</v>
      </c>
      <c r="BG20" s="40">
        <f>BG12*(1-Inputs!$H$38)</f>
        <v>4593.8097350370417</v>
      </c>
      <c r="BH20" s="40">
        <f>BH12*(1-Inputs!$H$38)</f>
        <v>4770.6575622316404</v>
      </c>
      <c r="BI20" s="40">
        <f>BI12*(1-Inputs!$H$38)</f>
        <v>4954.3134976822057</v>
      </c>
      <c r="BJ20" s="40">
        <f>BJ12*(1-Inputs!$H$38)</f>
        <v>5145.0396330341964</v>
      </c>
      <c r="BK20" s="40">
        <f>BK12*(1-Inputs!$H$38)</f>
        <v>5343.1081496713687</v>
      </c>
      <c r="BL20" s="40">
        <f>BL12*(1-Inputs!$H$38)</f>
        <v>5548.8017071402892</v>
      </c>
    </row>
    <row r="21" spans="2:64" x14ac:dyDescent="0.35">
      <c r="B21" s="4" t="s">
        <v>285</v>
      </c>
      <c r="C21" s="18" t="s">
        <v>111</v>
      </c>
      <c r="D21" s="56">
        <f>SUM(E21:BL21)</f>
        <v>3967513.9355293852</v>
      </c>
      <c r="E21" s="56">
        <f t="shared" ref="E21:AJ21" si="12">E18+E19+E20</f>
        <v>0</v>
      </c>
      <c r="F21" s="56">
        <f t="shared" si="12"/>
        <v>0</v>
      </c>
      <c r="G21" s="56">
        <f t="shared" si="12"/>
        <v>0</v>
      </c>
      <c r="H21" s="56">
        <f t="shared" si="12"/>
        <v>0</v>
      </c>
      <c r="I21" s="56">
        <f t="shared" si="12"/>
        <v>0</v>
      </c>
      <c r="J21" s="56">
        <f t="shared" si="12"/>
        <v>0</v>
      </c>
      <c r="K21" s="56">
        <f t="shared" si="12"/>
        <v>0</v>
      </c>
      <c r="L21" s="56">
        <f t="shared" si="12"/>
        <v>0</v>
      </c>
      <c r="M21" s="56">
        <f t="shared" si="12"/>
        <v>0</v>
      </c>
      <c r="N21" s="56">
        <f t="shared" si="12"/>
        <v>3561.945564912025</v>
      </c>
      <c r="O21" s="56">
        <f t="shared" si="12"/>
        <v>6534.8665406276705</v>
      </c>
      <c r="P21" s="56">
        <f t="shared" si="12"/>
        <v>9479.2651717503068</v>
      </c>
      <c r="Q21" s="56">
        <f t="shared" si="12"/>
        <v>2400.3536575165804</v>
      </c>
      <c r="R21" s="56">
        <f t="shared" si="12"/>
        <v>4212.1046549440889</v>
      </c>
      <c r="S21" s="56">
        <f t="shared" si="12"/>
        <v>6110.1687390511097</v>
      </c>
      <c r="T21" s="56">
        <f t="shared" si="12"/>
        <v>8120.9731231593287</v>
      </c>
      <c r="U21" s="56">
        <f t="shared" si="12"/>
        <v>10219.355798404915</v>
      </c>
      <c r="V21" s="56">
        <f t="shared" si="12"/>
        <v>12400.114170357183</v>
      </c>
      <c r="W21" s="56">
        <f t="shared" si="12"/>
        <v>14653.962121731649</v>
      </c>
      <c r="X21" s="56">
        <f t="shared" si="12"/>
        <v>16988.129045277365</v>
      </c>
      <c r="Y21" s="56">
        <f t="shared" si="12"/>
        <v>19385.801396456452</v>
      </c>
      <c r="Z21" s="56">
        <f t="shared" si="12"/>
        <v>21787.603988183491</v>
      </c>
      <c r="AA21" s="56">
        <f t="shared" si="12"/>
        <v>24275.011522771514</v>
      </c>
      <c r="AB21" s="56">
        <f t="shared" si="12"/>
        <v>26832.589596266323</v>
      </c>
      <c r="AC21" s="56">
        <f t="shared" si="12"/>
        <v>24569.208585129694</v>
      </c>
      <c r="AD21" s="56">
        <f t="shared" si="12"/>
        <v>27316.449385357864</v>
      </c>
      <c r="AE21" s="56">
        <f t="shared" si="12"/>
        <v>30337.636121049862</v>
      </c>
      <c r="AF21" s="56">
        <f t="shared" si="12"/>
        <v>33661.965993415572</v>
      </c>
      <c r="AG21" s="56">
        <f t="shared" si="12"/>
        <v>37321.817783068997</v>
      </c>
      <c r="AH21" s="56">
        <f t="shared" si="12"/>
        <v>41352.982862744429</v>
      </c>
      <c r="AI21" s="56">
        <f t="shared" si="12"/>
        <v>45795.142524564937</v>
      </c>
      <c r="AJ21" s="56">
        <f t="shared" si="12"/>
        <v>50692.175277917384</v>
      </c>
      <c r="AK21" s="56">
        <f t="shared" ref="AK21:BP21" si="13">AK18+AK19+AK20</f>
        <v>56092.718695093812</v>
      </c>
      <c r="AL21" s="56">
        <f t="shared" si="13"/>
        <v>62050.570350920854</v>
      </c>
      <c r="AM21" s="56">
        <f t="shared" si="13"/>
        <v>68625.353420090163</v>
      </c>
      <c r="AN21" s="56">
        <f t="shared" si="13"/>
        <v>75883.006306209645</v>
      </c>
      <c r="AO21" s="56">
        <f t="shared" si="13"/>
        <v>75014.479310313254</v>
      </c>
      <c r="AP21" s="56">
        <f t="shared" si="13"/>
        <v>78810.930435102709</v>
      </c>
      <c r="AQ21" s="56">
        <f t="shared" si="13"/>
        <v>82806.358142373807</v>
      </c>
      <c r="AR21" s="56">
        <f t="shared" si="13"/>
        <v>87011.696318044545</v>
      </c>
      <c r="AS21" s="56">
        <f t="shared" si="13"/>
        <v>91438.522885478276</v>
      </c>
      <c r="AT21" s="56">
        <f t="shared" si="13"/>
        <v>96099.101609209727</v>
      </c>
      <c r="AU21" s="56">
        <f t="shared" si="13"/>
        <v>101006.42694879396</v>
      </c>
      <c r="AV21" s="56">
        <f t="shared" si="13"/>
        <v>106174.27221241753</v>
      </c>
      <c r="AW21" s="56">
        <f t="shared" si="13"/>
        <v>111617.24128229944</v>
      </c>
      <c r="AX21" s="56">
        <f t="shared" si="13"/>
        <v>117350.82420843359</v>
      </c>
      <c r="AY21" s="56">
        <f t="shared" si="13"/>
        <v>123391.45699409231</v>
      </c>
      <c r="AZ21" s="56">
        <f t="shared" si="13"/>
        <v>129756.58592595758</v>
      </c>
      <c r="BA21" s="56">
        <f t="shared" si="13"/>
        <v>131674.75760829411</v>
      </c>
      <c r="BB21" s="56">
        <f t="shared" si="13"/>
        <v>137484.85784309017</v>
      </c>
      <c r="BC21" s="56">
        <f t="shared" si="13"/>
        <v>143552.68225780808</v>
      </c>
      <c r="BD21" s="56">
        <f t="shared" si="13"/>
        <v>149889.71199149906</v>
      </c>
      <c r="BE21" s="56">
        <f t="shared" si="13"/>
        <v>156507.9414121967</v>
      </c>
      <c r="BF21" s="56">
        <f t="shared" si="13"/>
        <v>163419.90112261623</v>
      </c>
      <c r="BG21" s="56">
        <f t="shared" si="13"/>
        <v>170638.68199936446</v>
      </c>
      <c r="BH21" s="56">
        <f t="shared" si="13"/>
        <v>178177.96031217035</v>
      </c>
      <c r="BI21" s="56">
        <f t="shared" si="13"/>
        <v>186052.02397174374</v>
      </c>
      <c r="BJ21" s="56">
        <f t="shared" si="13"/>
        <v>194275.79995705903</v>
      </c>
      <c r="BK21" s="56">
        <f t="shared" si="13"/>
        <v>202864.88297515118</v>
      </c>
      <c r="BL21" s="56">
        <f t="shared" si="13"/>
        <v>211835.56540890245</v>
      </c>
    </row>
    <row r="22" spans="2:64" x14ac:dyDescent="0.35">
      <c r="B22" s="4" t="s">
        <v>286</v>
      </c>
      <c r="C22" s="18" t="s">
        <v>111</v>
      </c>
      <c r="D22" s="56">
        <f>SUM(E22:BL22)</f>
        <v>6715394.221484988</v>
      </c>
      <c r="E22" s="56">
        <f t="shared" ref="E22:AJ22" si="14">E13-E21</f>
        <v>0</v>
      </c>
      <c r="F22" s="56">
        <f t="shared" si="14"/>
        <v>0</v>
      </c>
      <c r="G22" s="56">
        <f t="shared" si="14"/>
        <v>0</v>
      </c>
      <c r="H22" s="56">
        <f t="shared" si="14"/>
        <v>0</v>
      </c>
      <c r="I22" s="56">
        <f t="shared" si="14"/>
        <v>0</v>
      </c>
      <c r="J22" s="56">
        <f t="shared" si="14"/>
        <v>0</v>
      </c>
      <c r="K22" s="56">
        <f t="shared" si="14"/>
        <v>0</v>
      </c>
      <c r="L22" s="56">
        <f t="shared" si="14"/>
        <v>0</v>
      </c>
      <c r="M22" s="56">
        <f t="shared" si="14"/>
        <v>0</v>
      </c>
      <c r="N22" s="56">
        <f t="shared" si="14"/>
        <v>-2491.8941058520249</v>
      </c>
      <c r="O22" s="56">
        <f t="shared" si="14"/>
        <v>-4571.7137217176705</v>
      </c>
      <c r="P22" s="56">
        <f t="shared" si="14"/>
        <v>-6631.579449720306</v>
      </c>
      <c r="Q22" s="56">
        <f t="shared" si="14"/>
        <v>3541.5324295034193</v>
      </c>
      <c r="R22" s="56">
        <f t="shared" si="14"/>
        <v>5140.9355779359103</v>
      </c>
      <c r="S22" s="56">
        <f t="shared" si="14"/>
        <v>6782.2407774088906</v>
      </c>
      <c r="T22" s="56">
        <f t="shared" si="14"/>
        <v>8472.2362423206723</v>
      </c>
      <c r="U22" s="56">
        <f t="shared" si="14"/>
        <v>10199.080325295083</v>
      </c>
      <c r="V22" s="56">
        <f t="shared" si="14"/>
        <v>11959.575337422817</v>
      </c>
      <c r="W22" s="56">
        <f t="shared" si="14"/>
        <v>13749.66809590835</v>
      </c>
      <c r="X22" s="56">
        <f t="shared" si="14"/>
        <v>15572.251187902632</v>
      </c>
      <c r="Y22" s="56">
        <f t="shared" si="14"/>
        <v>17420.717748203548</v>
      </c>
      <c r="Z22" s="56">
        <f t="shared" si="14"/>
        <v>19168.543573296509</v>
      </c>
      <c r="AA22" s="56">
        <f t="shared" si="14"/>
        <v>20962.268430548487</v>
      </c>
      <c r="AB22" s="56">
        <f t="shared" si="14"/>
        <v>22781.642460133673</v>
      </c>
      <c r="AC22" s="56">
        <f t="shared" si="14"/>
        <v>32459.861100146489</v>
      </c>
      <c r="AD22" s="56">
        <f t="shared" si="14"/>
        <v>37635.712284647903</v>
      </c>
      <c r="AE22" s="56">
        <f t="shared" si="14"/>
        <v>43098.445877689519</v>
      </c>
      <c r="AF22" s="56">
        <f t="shared" si="14"/>
        <v>48876.08830744755</v>
      </c>
      <c r="AG22" s="56">
        <f t="shared" si="14"/>
        <v>55000.205715051343</v>
      </c>
      <c r="AH22" s="56">
        <f t="shared" si="14"/>
        <v>61504.787783529529</v>
      </c>
      <c r="AI22" s="56">
        <f t="shared" si="14"/>
        <v>68427.966695240844</v>
      </c>
      <c r="AJ22" s="56">
        <f t="shared" si="14"/>
        <v>75810.962478085494</v>
      </c>
      <c r="AK22" s="56">
        <f t="shared" ref="AK22:BP22" si="15">AK13-AK21</f>
        <v>83699.869814336445</v>
      </c>
      <c r="AL22" s="56">
        <f t="shared" si="15"/>
        <v>92144.678229885743</v>
      </c>
      <c r="AM22" s="56">
        <f t="shared" si="15"/>
        <v>101201.14146399347</v>
      </c>
      <c r="AN22" s="56">
        <f t="shared" si="15"/>
        <v>110929.53800515689</v>
      </c>
      <c r="AO22" s="56">
        <f t="shared" si="15"/>
        <v>121935.71882560382</v>
      </c>
      <c r="AP22" s="56">
        <f t="shared" si="15"/>
        <v>128920.60093581887</v>
      </c>
      <c r="AQ22" s="56">
        <f t="shared" si="15"/>
        <v>136398.12652594998</v>
      </c>
      <c r="AR22" s="56">
        <f t="shared" si="15"/>
        <v>144409.36954195146</v>
      </c>
      <c r="AS22" s="56">
        <f t="shared" si="15"/>
        <v>152999.20359193822</v>
      </c>
      <c r="AT22" s="56">
        <f t="shared" si="15"/>
        <v>162216.67333878737</v>
      </c>
      <c r="AU22" s="56">
        <f t="shared" si="15"/>
        <v>172115.40319105927</v>
      </c>
      <c r="AV22" s="56">
        <f t="shared" si="15"/>
        <v>182754.04708721043</v>
      </c>
      <c r="AW22" s="56">
        <f t="shared" si="15"/>
        <v>194196.78355662758</v>
      </c>
      <c r="AX22" s="56">
        <f t="shared" si="15"/>
        <v>206513.86066947333</v>
      </c>
      <c r="AY22" s="56">
        <f t="shared" si="15"/>
        <v>219782.19595980551</v>
      </c>
      <c r="AZ22" s="56">
        <f t="shared" si="15"/>
        <v>234086.03692743718</v>
      </c>
      <c r="BA22" s="56">
        <f t="shared" si="15"/>
        <v>247141.07726150911</v>
      </c>
      <c r="BB22" s="56">
        <f t="shared" si="15"/>
        <v>256927.58857730313</v>
      </c>
      <c r="BC22" s="56">
        <f t="shared" si="15"/>
        <v>267106.01380533341</v>
      </c>
      <c r="BD22" s="56">
        <f t="shared" si="15"/>
        <v>277692.22581131977</v>
      </c>
      <c r="BE22" s="56">
        <f t="shared" si="15"/>
        <v>288702.74752777745</v>
      </c>
      <c r="BF22" s="56">
        <f t="shared" si="15"/>
        <v>300154.77886639233</v>
      </c>
      <c r="BG22" s="56">
        <f t="shared" si="15"/>
        <v>312066.22475608403</v>
      </c>
      <c r="BH22" s="56">
        <f t="shared" si="15"/>
        <v>324455.72435429716</v>
      </c>
      <c r="BI22" s="56">
        <f t="shared" si="15"/>
        <v>337342.68148108921</v>
      </c>
      <c r="BJ22" s="56">
        <f t="shared" si="15"/>
        <v>350747.29632769519</v>
      </c>
      <c r="BK22" s="56">
        <f t="shared" si="15"/>
        <v>364690.59849345265</v>
      </c>
      <c r="BL22" s="56">
        <f t="shared" si="15"/>
        <v>379194.48140727053</v>
      </c>
    </row>
    <row r="23" spans="2:64" x14ac:dyDescent="0.35">
      <c r="B23" s="16" t="s">
        <v>422</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row>
    <row r="24" spans="2:64" x14ac:dyDescent="0.35">
      <c r="B24" s="3" t="s">
        <v>243</v>
      </c>
      <c r="C24" s="18" t="s">
        <v>111</v>
      </c>
      <c r="D24" s="20">
        <f>SUM(E24:BL24)</f>
        <v>7551416.9900000067</v>
      </c>
      <c r="E24" s="40">
        <f>Inputs!$D$42*Ramp!$E$42</f>
        <v>0</v>
      </c>
      <c r="F24" s="40">
        <f>Inputs!$D$42*Ramp!$F$42</f>
        <v>0</v>
      </c>
      <c r="G24" s="40">
        <f>Inputs!$D$42*Ramp!$G$42</f>
        <v>0</v>
      </c>
      <c r="H24" s="40">
        <f>Inputs!$D$42*Ramp!$H$42</f>
        <v>0</v>
      </c>
      <c r="I24" s="40">
        <f>Inputs!$D$42*Ramp!$I$42</f>
        <v>0</v>
      </c>
      <c r="J24" s="40">
        <f>Inputs!$D$42*Ramp!$J$42</f>
        <v>0</v>
      </c>
      <c r="K24" s="40">
        <f>Inputs!$D$42*Ramp!$K$42</f>
        <v>0</v>
      </c>
      <c r="L24" s="40">
        <f>Inputs!$D$42*Ramp!$L$42</f>
        <v>4999.9115272500003</v>
      </c>
      <c r="M24" s="40">
        <f>Inputs!$D$42*Ramp!$M$42</f>
        <v>4999.9115272500003</v>
      </c>
      <c r="N24" s="40">
        <f>Inputs!$D$42*Ramp!$N$42</f>
        <v>60000.080076539991</v>
      </c>
      <c r="O24" s="40">
        <f>Inputs!$D$42*Ramp!$O$42</f>
        <v>60114.825905309997</v>
      </c>
      <c r="P24" s="40">
        <f>Inputs!$D$42*Ramp!$P$42</f>
        <v>60176.860963649997</v>
      </c>
      <c r="Q24" s="40">
        <f>Inputs!$D$43*Ramp!$E$45</f>
        <v>95232.697733999987</v>
      </c>
      <c r="R24" s="40">
        <f>Inputs!$D$43*Ramp!$F$45</f>
        <v>95342.965964399991</v>
      </c>
      <c r="S24" s="40">
        <f>Inputs!$D$43*Ramp!$G$45</f>
        <v>95438.302038599984</v>
      </c>
      <c r="T24" s="40">
        <f>Inputs!$D$43*Ramp!$H$45</f>
        <v>95526.746348400004</v>
      </c>
      <c r="U24" s="40">
        <f>Inputs!$D$43*Ramp!$I$45</f>
        <v>95611.744775999992</v>
      </c>
      <c r="V24" s="40">
        <f>Inputs!$D$43*Ramp!$J$45</f>
        <v>95694.445948799985</v>
      </c>
      <c r="W24" s="40">
        <f>Inputs!$D$43*Ramp!$K$45</f>
        <v>95773.70123939999</v>
      </c>
      <c r="X24" s="40">
        <f>Inputs!$D$43*Ramp!$L$45</f>
        <v>95850.659275199985</v>
      </c>
      <c r="Y24" s="40">
        <f>Inputs!$D$43*Ramp!$M$45</f>
        <v>95927.617310999995</v>
      </c>
      <c r="Z24" s="40">
        <f>Inputs!$D$43*Ramp!$N$45</f>
        <v>96002.278091999993</v>
      </c>
      <c r="AA24" s="40">
        <f>Inputs!$D$43*Ramp!$O$45</f>
        <v>96075.790245599987</v>
      </c>
      <c r="AB24" s="40">
        <f>Inputs!$D$43*Ramp!$P$45</f>
        <v>96150.4510266</v>
      </c>
      <c r="AC24" s="40">
        <f>Inputs!$D$44/12</f>
        <v>147127.73000000001</v>
      </c>
      <c r="AD24" s="40">
        <f>Inputs!$D$44/12</f>
        <v>147127.73000000001</v>
      </c>
      <c r="AE24" s="40">
        <f>Inputs!$D$44/12</f>
        <v>147127.73000000001</v>
      </c>
      <c r="AF24" s="40">
        <f>Inputs!$D$44/12</f>
        <v>147127.73000000001</v>
      </c>
      <c r="AG24" s="40">
        <f>Inputs!$D$44/12</f>
        <v>147127.73000000001</v>
      </c>
      <c r="AH24" s="40">
        <f>Inputs!$D$44/12</f>
        <v>147127.73000000001</v>
      </c>
      <c r="AI24" s="40">
        <f>Inputs!$D$44/12</f>
        <v>147127.73000000001</v>
      </c>
      <c r="AJ24" s="40">
        <f>Inputs!$D$44/12</f>
        <v>147127.73000000001</v>
      </c>
      <c r="AK24" s="40">
        <f>Inputs!$D$44/12</f>
        <v>147127.73000000001</v>
      </c>
      <c r="AL24" s="40">
        <f>Inputs!$D$44/12</f>
        <v>147127.73000000001</v>
      </c>
      <c r="AM24" s="40">
        <f>Inputs!$D$44/12</f>
        <v>147127.73000000001</v>
      </c>
      <c r="AN24" s="40">
        <f>Inputs!$D$44/12</f>
        <v>147127.73000000001</v>
      </c>
      <c r="AO24" s="40">
        <f>Inputs!$D$45/12</f>
        <v>184158.34916666665</v>
      </c>
      <c r="AP24" s="40">
        <f>Inputs!$D$45/12</f>
        <v>184158.34916666665</v>
      </c>
      <c r="AQ24" s="40">
        <f>Inputs!$D$45/12</f>
        <v>184158.34916666665</v>
      </c>
      <c r="AR24" s="40">
        <f>Inputs!$D$45/12</f>
        <v>184158.34916666665</v>
      </c>
      <c r="AS24" s="40">
        <f>Inputs!$D$45/12</f>
        <v>184158.34916666665</v>
      </c>
      <c r="AT24" s="40">
        <f>Inputs!$D$45/12</f>
        <v>184158.34916666665</v>
      </c>
      <c r="AU24" s="40">
        <f>Inputs!$D$45/12</f>
        <v>184158.34916666665</v>
      </c>
      <c r="AV24" s="40">
        <f>Inputs!$D$45/12</f>
        <v>184158.34916666665</v>
      </c>
      <c r="AW24" s="40">
        <f>Inputs!$D$45/12</f>
        <v>184158.34916666665</v>
      </c>
      <c r="AX24" s="40">
        <f>Inputs!$D$45/12</f>
        <v>184158.34916666665</v>
      </c>
      <c r="AY24" s="40">
        <f>Inputs!$D$45/12</f>
        <v>184158.34916666665</v>
      </c>
      <c r="AZ24" s="40">
        <f>Inputs!$D$45/12</f>
        <v>184158.34916666665</v>
      </c>
      <c r="BA24" s="40">
        <f>Inputs!$D$46/12</f>
        <v>186422.08749999999</v>
      </c>
      <c r="BB24" s="40">
        <f>Inputs!$D$46/12</f>
        <v>186422.08749999999</v>
      </c>
      <c r="BC24" s="40">
        <f>Inputs!$D$46/12</f>
        <v>186422.08749999999</v>
      </c>
      <c r="BD24" s="40">
        <f>Inputs!$D$46/12</f>
        <v>186422.08749999999</v>
      </c>
      <c r="BE24" s="40">
        <f>Inputs!$D$46/12</f>
        <v>186422.08749999999</v>
      </c>
      <c r="BF24" s="40">
        <f>Inputs!$D$46/12</f>
        <v>186422.08749999999</v>
      </c>
      <c r="BG24" s="40">
        <f>Inputs!$D$46/12</f>
        <v>186422.08749999999</v>
      </c>
      <c r="BH24" s="40">
        <f>Inputs!$D$46/12</f>
        <v>186422.08749999999</v>
      </c>
      <c r="BI24" s="40">
        <f>Inputs!$D$46/12</f>
        <v>186422.08749999999</v>
      </c>
      <c r="BJ24" s="40">
        <f>Inputs!$D$46/12</f>
        <v>186422.08749999999</v>
      </c>
      <c r="BK24" s="40">
        <f>Inputs!$D$46/12</f>
        <v>186422.08749999999</v>
      </c>
      <c r="BL24" s="40">
        <f>Inputs!$D$46/12</f>
        <v>186422.08749999999</v>
      </c>
    </row>
    <row r="25" spans="2:64" x14ac:dyDescent="0.35">
      <c r="B25" s="3" t="s">
        <v>160</v>
      </c>
      <c r="C25" s="18" t="s">
        <v>160</v>
      </c>
      <c r="D25" s="25">
        <f>AVERAGE(E25:BL25)</f>
        <v>14.25</v>
      </c>
      <c r="E25" s="42">
        <f>Inputs!$D$47*12*Ramp!$E$36</f>
        <v>2.9999841153840001</v>
      </c>
      <c r="F25" s="42">
        <f>Inputs!$D$47*12*Ramp!$F$36</f>
        <v>4.0000481538480006</v>
      </c>
      <c r="G25" s="42">
        <f>Inputs!$D$47*12*Ramp!$G$36</f>
        <v>5.000008192308</v>
      </c>
      <c r="H25" s="42">
        <f>Inputs!$D$47*12*Ramp!$H$36</f>
        <v>7.0000322692320012</v>
      </c>
      <c r="I25" s="42">
        <f>Inputs!$D$47*12*Ramp!$I$36</f>
        <v>7.9999923076920005</v>
      </c>
      <c r="J25" s="42">
        <f>Inputs!$D$47*12*Ramp!$J$36</f>
        <v>7.9999923076920005</v>
      </c>
      <c r="K25" s="42">
        <f>Inputs!$D$47*12*Ramp!$K$36</f>
        <v>7.9999923076920005</v>
      </c>
      <c r="L25" s="42">
        <f>Inputs!$D$47*12*Ramp!$L$36</f>
        <v>10.000016384616</v>
      </c>
      <c r="M25" s="42">
        <f>Inputs!$D$47*12*Ramp!$M$36</f>
        <v>12.000040461540001</v>
      </c>
      <c r="N25" s="42">
        <f>Inputs!$D$47*12*Ramp!$N$36</f>
        <v>13.000000500000001</v>
      </c>
      <c r="O25" s="42">
        <f>Inputs!$D$47*12*Ramp!$O$36</f>
        <v>13.000000500000001</v>
      </c>
      <c r="P25" s="42">
        <f>Inputs!$D$47*12*Ramp!$P$36</f>
        <v>12.999896499996</v>
      </c>
      <c r="Q25" s="42">
        <f>Inputs!$D$48*12*Ramp!$E$39</f>
        <v>13.999999680000002</v>
      </c>
      <c r="R25" s="42">
        <f>Inputs!$D$48*12*Ramp!$F$39</f>
        <v>13.999999680000002</v>
      </c>
      <c r="S25" s="42">
        <f>Inputs!$D$48*12*Ramp!$G$39</f>
        <v>13.999999680000002</v>
      </c>
      <c r="T25" s="42">
        <f>Inputs!$D$48*12*Ramp!$H$39</f>
        <v>13.999999680000002</v>
      </c>
      <c r="U25" s="42">
        <f>Inputs!$D$48*12*Ramp!$I$39</f>
        <v>13.999999680000002</v>
      </c>
      <c r="V25" s="42">
        <f>Inputs!$D$48*12*Ramp!$J$39</f>
        <v>13.999999680000002</v>
      </c>
      <c r="W25" s="42">
        <f>Inputs!$D$48*12*Ramp!$K$39</f>
        <v>14.999949657144001</v>
      </c>
      <c r="X25" s="42">
        <f>Inputs!$D$48*12*Ramp!$L$39</f>
        <v>14.999949657144001</v>
      </c>
      <c r="Y25" s="42">
        <f>Inputs!$D$48*12*Ramp!$M$39</f>
        <v>14.999949657144001</v>
      </c>
      <c r="Z25" s="42">
        <f>Inputs!$D$48*12*Ramp!$N$39</f>
        <v>14.999949657144001</v>
      </c>
      <c r="AA25" s="42">
        <f>Inputs!$D$48*12*Ramp!$O$39</f>
        <v>14.999949657144001</v>
      </c>
      <c r="AB25" s="42">
        <f>Inputs!$D$48*12*Ramp!$P$39</f>
        <v>16.000249634279999</v>
      </c>
      <c r="AC25" s="42">
        <f>Inputs!$D$49</f>
        <v>16</v>
      </c>
      <c r="AD25" s="42">
        <f>Inputs!$D$49</f>
        <v>16</v>
      </c>
      <c r="AE25" s="42">
        <f>Inputs!$D$49</f>
        <v>16</v>
      </c>
      <c r="AF25" s="42">
        <f>Inputs!$D$49</f>
        <v>16</v>
      </c>
      <c r="AG25" s="42">
        <f>Inputs!$D$49</f>
        <v>16</v>
      </c>
      <c r="AH25" s="42">
        <f>Inputs!$D$49</f>
        <v>16</v>
      </c>
      <c r="AI25" s="42">
        <f>Inputs!$D$49</f>
        <v>16</v>
      </c>
      <c r="AJ25" s="42">
        <f>Inputs!$D$49</f>
        <v>16</v>
      </c>
      <c r="AK25" s="42">
        <f>Inputs!$D$49</f>
        <v>16</v>
      </c>
      <c r="AL25" s="42">
        <f>Inputs!$D$49</f>
        <v>16</v>
      </c>
      <c r="AM25" s="42">
        <f>Inputs!$D$49</f>
        <v>16</v>
      </c>
      <c r="AN25" s="42">
        <f>Inputs!$D$49</f>
        <v>16</v>
      </c>
      <c r="AO25" s="42">
        <f>Inputs!$D$50</f>
        <v>16</v>
      </c>
      <c r="AP25" s="42">
        <f>Inputs!$D$50</f>
        <v>16</v>
      </c>
      <c r="AQ25" s="42">
        <f>Inputs!$D$50</f>
        <v>16</v>
      </c>
      <c r="AR25" s="42">
        <f>Inputs!$D$50</f>
        <v>16</v>
      </c>
      <c r="AS25" s="42">
        <f>Inputs!$D$50</f>
        <v>16</v>
      </c>
      <c r="AT25" s="42">
        <f>Inputs!$D$50</f>
        <v>16</v>
      </c>
      <c r="AU25" s="42">
        <f>Inputs!$D$50</f>
        <v>16</v>
      </c>
      <c r="AV25" s="42">
        <f>Inputs!$D$50</f>
        <v>16</v>
      </c>
      <c r="AW25" s="42">
        <f>Inputs!$D$50</f>
        <v>16</v>
      </c>
      <c r="AX25" s="42">
        <f>Inputs!$D$50</f>
        <v>16</v>
      </c>
      <c r="AY25" s="42">
        <f>Inputs!$D$50</f>
        <v>16</v>
      </c>
      <c r="AZ25" s="42">
        <f>Inputs!$D$50</f>
        <v>16</v>
      </c>
      <c r="BA25" s="42">
        <f>Inputs!$D$51</f>
        <v>16</v>
      </c>
      <c r="BB25" s="42">
        <f>Inputs!$D$51</f>
        <v>16</v>
      </c>
      <c r="BC25" s="42">
        <f>Inputs!$D$51</f>
        <v>16</v>
      </c>
      <c r="BD25" s="42">
        <f>Inputs!$D$51</f>
        <v>16</v>
      </c>
      <c r="BE25" s="42">
        <f>Inputs!$D$51</f>
        <v>16</v>
      </c>
      <c r="BF25" s="42">
        <f>Inputs!$D$51</f>
        <v>16</v>
      </c>
      <c r="BG25" s="42">
        <f>Inputs!$D$51</f>
        <v>16</v>
      </c>
      <c r="BH25" s="42">
        <f>Inputs!$D$51</f>
        <v>16</v>
      </c>
      <c r="BI25" s="42">
        <f>Inputs!$D$51</f>
        <v>16</v>
      </c>
      <c r="BJ25" s="42">
        <f>Inputs!$D$51</f>
        <v>16</v>
      </c>
      <c r="BK25" s="42">
        <f>Inputs!$D$51</f>
        <v>16</v>
      </c>
      <c r="BL25" s="42">
        <f>Inputs!$D$51</f>
        <v>16</v>
      </c>
    </row>
    <row r="26" spans="2:64" x14ac:dyDescent="0.35">
      <c r="B26" s="3" t="s">
        <v>287</v>
      </c>
      <c r="C26" s="18" t="s">
        <v>111</v>
      </c>
      <c r="D26" s="20">
        <f>SUM(E26:BL26)</f>
        <v>7618299.7443952924</v>
      </c>
      <c r="E26" s="40">
        <f>E25*Inputs!$D$52*(1+Inputs!$D$53)^(E$6-2027)/12</f>
        <v>23662.822207721842</v>
      </c>
      <c r="F26" s="40">
        <f>F25*Inputs!$D$52*(1+Inputs!$D$53)^(F$6-2027)/12</f>
        <v>31550.976487325719</v>
      </c>
      <c r="G26" s="40">
        <f>G25*Inputs!$D$52*(1+Inputs!$D$53)^(G$6-2027)/12</f>
        <v>39438.310451384699</v>
      </c>
      <c r="H26" s="40">
        <f>H25*Inputs!$D$52*(1+Inputs!$D$53)^(H$6-2027)/12</f>
        <v>55213.798695047568</v>
      </c>
      <c r="I26" s="40">
        <f>I25*Inputs!$D$52*(1+Inputs!$D$53)^(I$6-2027)/12</f>
        <v>63101.132659106544</v>
      </c>
      <c r="J26" s="40">
        <f>J25*Inputs!$D$52*(1+Inputs!$D$53)^(J$6-2027)/12</f>
        <v>63101.132659106544</v>
      </c>
      <c r="K26" s="40">
        <f>K25*Inputs!$D$52*(1+Inputs!$D$53)^(K$6-2027)/12</f>
        <v>63101.132659106544</v>
      </c>
      <c r="L26" s="40">
        <f>L25*Inputs!$D$52*(1+Inputs!$D$53)^(L$6-2027)/12</f>
        <v>78876.620902769399</v>
      </c>
      <c r="M26" s="40">
        <f>M25*Inputs!$D$52*(1+Inputs!$D$53)^(M$6-2027)/12</f>
        <v>94652.109146432267</v>
      </c>
      <c r="N26" s="40">
        <f>N25*Inputs!$D$52*(1+Inputs!$D$53)^(N$6-2027)/12</f>
        <v>102539.44311049125</v>
      </c>
      <c r="O26" s="40">
        <f>O25*Inputs!$D$52*(1+Inputs!$D$53)^(O$6-2027)/12</f>
        <v>102539.44311049125</v>
      </c>
      <c r="P26" s="40">
        <f>P25*Inputs!$D$52*(1+Inputs!$D$53)^(P$6-2027)/12</f>
        <v>102538.62279494636</v>
      </c>
      <c r="Q26" s="40">
        <f>Q25*Inputs!$D$52*(1+Inputs!$D$53)^(Q$6-2027)/12</f>
        <v>116511.87553248719</v>
      </c>
      <c r="R26" s="40">
        <f>R25*Inputs!$D$52*(1+Inputs!$D$53)^(R$6-2027)/12</f>
        <v>116511.87553248719</v>
      </c>
      <c r="S26" s="40">
        <f>S25*Inputs!$D$52*(1+Inputs!$D$53)^(S$6-2027)/12</f>
        <v>116511.87553248719</v>
      </c>
      <c r="T26" s="40">
        <f>T25*Inputs!$D$52*(1+Inputs!$D$53)^(T$6-2027)/12</f>
        <v>116511.87553248719</v>
      </c>
      <c r="U26" s="40">
        <f>U25*Inputs!$D$52*(1+Inputs!$D$53)^(U$6-2027)/12</f>
        <v>116511.87553248719</v>
      </c>
      <c r="V26" s="40">
        <f>V25*Inputs!$D$52*(1+Inputs!$D$53)^(V$6-2027)/12</f>
        <v>116511.87553248719</v>
      </c>
      <c r="W26" s="40">
        <f>W25*Inputs!$D$52*(1+Inputs!$D$53)^(W$6-2027)/12</f>
        <v>124833.73624239507</v>
      </c>
      <c r="X26" s="40">
        <f>X25*Inputs!$D$52*(1+Inputs!$D$53)^(X$6-2027)/12</f>
        <v>124833.73624239507</v>
      </c>
      <c r="Y26" s="40">
        <f>Y25*Inputs!$D$52*(1+Inputs!$D$53)^(Y$6-2027)/12</f>
        <v>124833.73624239507</v>
      </c>
      <c r="Z26" s="40">
        <f>Z25*Inputs!$D$52*(1+Inputs!$D$53)^(Z$6-2027)/12</f>
        <v>124833.73624239507</v>
      </c>
      <c r="AA26" s="40">
        <f>AA25*Inputs!$D$52*(1+Inputs!$D$53)^(AA$6-2027)/12</f>
        <v>124833.73624239507</v>
      </c>
      <c r="AB26" s="40">
        <f>AB25*Inputs!$D$52*(1+Inputs!$D$53)^(AB$6-2027)/12</f>
        <v>133158.50974919126</v>
      </c>
      <c r="AC26" s="40">
        <f>AC25*Inputs!$D$52*(1+Inputs!$D$53)^(AC$6-2027)/12</f>
        <v>140493.66189356623</v>
      </c>
      <c r="AD26" s="40">
        <f>AD25*Inputs!$D$52*(1+Inputs!$D$53)^(AD$6-2027)/12</f>
        <v>140493.66189356623</v>
      </c>
      <c r="AE26" s="40">
        <f>AE25*Inputs!$D$52*(1+Inputs!$D$53)^(AE$6-2027)/12</f>
        <v>140493.66189356623</v>
      </c>
      <c r="AF26" s="40">
        <f>AF25*Inputs!$D$52*(1+Inputs!$D$53)^(AF$6-2027)/12</f>
        <v>140493.66189356623</v>
      </c>
      <c r="AG26" s="40">
        <f>AG25*Inputs!$D$52*(1+Inputs!$D$53)^(AG$6-2027)/12</f>
        <v>140493.66189356623</v>
      </c>
      <c r="AH26" s="40">
        <f>AH25*Inputs!$D$52*(1+Inputs!$D$53)^(AH$6-2027)/12</f>
        <v>140493.66189356623</v>
      </c>
      <c r="AI26" s="40">
        <f>AI25*Inputs!$D$52*(1+Inputs!$D$53)^(AI$6-2027)/12</f>
        <v>140493.66189356623</v>
      </c>
      <c r="AJ26" s="40">
        <f>AJ25*Inputs!$D$52*(1+Inputs!$D$53)^(AJ$6-2027)/12</f>
        <v>140493.66189356623</v>
      </c>
      <c r="AK26" s="40">
        <f>AK25*Inputs!$D$52*(1+Inputs!$D$53)^(AK$6-2027)/12</f>
        <v>140493.66189356623</v>
      </c>
      <c r="AL26" s="40">
        <f>AL25*Inputs!$D$52*(1+Inputs!$D$53)^(AL$6-2027)/12</f>
        <v>140493.66189356623</v>
      </c>
      <c r="AM26" s="40">
        <f>AM25*Inputs!$D$52*(1+Inputs!$D$53)^(AM$6-2027)/12</f>
        <v>140493.66189356623</v>
      </c>
      <c r="AN26" s="40">
        <f>AN25*Inputs!$D$52*(1+Inputs!$D$53)^(AN$6-2027)/12</f>
        <v>140493.66189356623</v>
      </c>
      <c r="AO26" s="40">
        <f>AO25*Inputs!$D$52*(1+Inputs!$D$53)^(AO$6-2027)/12</f>
        <v>148235.19001413393</v>
      </c>
      <c r="AP26" s="40">
        <f>AP25*Inputs!$D$52*(1+Inputs!$D$53)^(AP$6-2027)/12</f>
        <v>148235.19001413393</v>
      </c>
      <c r="AQ26" s="40">
        <f>AQ25*Inputs!$D$52*(1+Inputs!$D$53)^(AQ$6-2027)/12</f>
        <v>148235.19001413393</v>
      </c>
      <c r="AR26" s="40">
        <f>AR25*Inputs!$D$52*(1+Inputs!$D$53)^(AR$6-2027)/12</f>
        <v>148235.19001413393</v>
      </c>
      <c r="AS26" s="40">
        <f>AS25*Inputs!$D$52*(1+Inputs!$D$53)^(AS$6-2027)/12</f>
        <v>148235.19001413393</v>
      </c>
      <c r="AT26" s="40">
        <f>AT25*Inputs!$D$52*(1+Inputs!$D$53)^(AT$6-2027)/12</f>
        <v>148235.19001413393</v>
      </c>
      <c r="AU26" s="40">
        <f>AU25*Inputs!$D$52*(1+Inputs!$D$53)^(AU$6-2027)/12</f>
        <v>148235.19001413393</v>
      </c>
      <c r="AV26" s="40">
        <f>AV25*Inputs!$D$52*(1+Inputs!$D$53)^(AV$6-2027)/12</f>
        <v>148235.19001413393</v>
      </c>
      <c r="AW26" s="40">
        <f>AW25*Inputs!$D$52*(1+Inputs!$D$53)^(AW$6-2027)/12</f>
        <v>148235.19001413393</v>
      </c>
      <c r="AX26" s="40">
        <f>AX25*Inputs!$D$52*(1+Inputs!$D$53)^(AX$6-2027)/12</f>
        <v>148235.19001413393</v>
      </c>
      <c r="AY26" s="40">
        <f>AY25*Inputs!$D$52*(1+Inputs!$D$53)^(AY$6-2027)/12</f>
        <v>148235.19001413393</v>
      </c>
      <c r="AZ26" s="40">
        <f>AZ25*Inputs!$D$52*(1+Inputs!$D$53)^(AZ$6-2027)/12</f>
        <v>148235.19001413393</v>
      </c>
      <c r="BA26" s="40">
        <f>BA25*Inputs!$D$52*(1+Inputs!$D$53)^(BA$6-2027)/12</f>
        <v>156403.29437190545</v>
      </c>
      <c r="BB26" s="40">
        <f>BB25*Inputs!$D$52*(1+Inputs!$D$53)^(BB$6-2027)/12</f>
        <v>156403.29437190545</v>
      </c>
      <c r="BC26" s="40">
        <f>BC25*Inputs!$D$52*(1+Inputs!$D$53)^(BC$6-2027)/12</f>
        <v>156403.29437190545</v>
      </c>
      <c r="BD26" s="40">
        <f>BD25*Inputs!$D$52*(1+Inputs!$D$53)^(BD$6-2027)/12</f>
        <v>156403.29437190545</v>
      </c>
      <c r="BE26" s="40">
        <f>BE25*Inputs!$D$52*(1+Inputs!$D$53)^(BE$6-2027)/12</f>
        <v>156403.29437190545</v>
      </c>
      <c r="BF26" s="40">
        <f>BF25*Inputs!$D$52*(1+Inputs!$D$53)^(BF$6-2027)/12</f>
        <v>156403.29437190545</v>
      </c>
      <c r="BG26" s="40">
        <f>BG25*Inputs!$D$52*(1+Inputs!$D$53)^(BG$6-2027)/12</f>
        <v>156403.29437190545</v>
      </c>
      <c r="BH26" s="40">
        <f>BH25*Inputs!$D$52*(1+Inputs!$D$53)^(BH$6-2027)/12</f>
        <v>156403.29437190545</v>
      </c>
      <c r="BI26" s="40">
        <f>BI25*Inputs!$D$52*(1+Inputs!$D$53)^(BI$6-2027)/12</f>
        <v>156403.29437190545</v>
      </c>
      <c r="BJ26" s="40">
        <f>BJ25*Inputs!$D$52*(1+Inputs!$D$53)^(BJ$6-2027)/12</f>
        <v>156403.29437190545</v>
      </c>
      <c r="BK26" s="40">
        <f>BK25*Inputs!$D$52*(1+Inputs!$D$53)^(BK$6-2027)/12</f>
        <v>156403.29437190545</v>
      </c>
      <c r="BL26" s="40">
        <f>BL25*Inputs!$D$52*(1+Inputs!$D$53)^(BL$6-2027)/12</f>
        <v>156403.29437190545</v>
      </c>
    </row>
    <row r="27" spans="2:64" x14ac:dyDescent="0.35">
      <c r="B27" s="3" t="s">
        <v>288</v>
      </c>
      <c r="C27" s="18" t="s">
        <v>111</v>
      </c>
      <c r="D27" s="20">
        <f>SUM(E27:BL27)</f>
        <v>3041424.4600000028</v>
      </c>
      <c r="E27" s="40">
        <f>Inputs!$D$54*Ramp!$E$48+Inputs!$D$59*E13</f>
        <v>29677.643700799999</v>
      </c>
      <c r="F27" s="40">
        <f>Inputs!$D$54*Ramp!$F$48+Inputs!$D$59*F13</f>
        <v>29393.474062300003</v>
      </c>
      <c r="G27" s="40">
        <f>Inputs!$D$54*Ramp!$G$48+Inputs!$D$59*G13</f>
        <v>29119.637865200002</v>
      </c>
      <c r="H27" s="40">
        <f>Inputs!$D$54*Ramp!$H$48+Inputs!$D$59*H13</f>
        <v>50865.331947359999</v>
      </c>
      <c r="I27" s="40">
        <f>Inputs!$D$54*Ramp!$I$48+Inputs!$D$59*I13</f>
        <v>42668.84622888</v>
      </c>
      <c r="J27" s="40">
        <f>Inputs!$D$54*Ramp!$J$48+Inputs!$D$59*J13</f>
        <v>33659.63534429</v>
      </c>
      <c r="K27" s="40">
        <f>Inputs!$D$54*Ramp!$K$48+Inputs!$D$59*K13</f>
        <v>33659.63534429</v>
      </c>
      <c r="L27" s="40">
        <f>Inputs!$D$54*Ramp!$L$48+Inputs!$D$59*L13</f>
        <v>88294.606714369991</v>
      </c>
      <c r="M27" s="40">
        <f>Inputs!$D$54*Ramp!$M$48+Inputs!$D$59*M13</f>
        <v>56232.521410519999</v>
      </c>
      <c r="N27" s="40">
        <f>Inputs!$D$54*Ramp!$N$48+Inputs!$D$59*N13</f>
        <v>42928.73228009</v>
      </c>
      <c r="O27" s="40">
        <f>Inputs!$D$54*Ramp!$O$48+Inputs!$D$59*O13</f>
        <v>37723.261174839994</v>
      </c>
      <c r="P27" s="40">
        <f>Inputs!$D$54*Ramp!$P$48+Inputs!$D$59*P13</f>
        <v>42448.743927060001</v>
      </c>
      <c r="Q27" s="40">
        <f>Inputs!$D$55*Ramp!$E$51+Inputs!$D$59*Q13</f>
        <v>79794.639351089994</v>
      </c>
      <c r="R27" s="40">
        <f>Inputs!$D$55*Ramp!$F$51+Inputs!$D$59*R13</f>
        <v>46605.98091857999</v>
      </c>
      <c r="S27" s="40">
        <f>Inputs!$D$55*Ramp!$G$51+Inputs!$D$59*S13</f>
        <v>46605.98091857999</v>
      </c>
      <c r="T27" s="40">
        <f>Inputs!$D$55*Ramp!$H$51+Inputs!$D$59*T13</f>
        <v>46605.98091857999</v>
      </c>
      <c r="U27" s="40">
        <f>Inputs!$D$55*Ramp!$I$51+Inputs!$D$59*U13</f>
        <v>46605.98091857999</v>
      </c>
      <c r="V27" s="40">
        <f>Inputs!$D$55*Ramp!$J$51+Inputs!$D$59*V13</f>
        <v>46605.98091857999</v>
      </c>
      <c r="W27" s="40">
        <f>Inputs!$D$55*Ramp!$K$51+Inputs!$D$59*W13</f>
        <v>173357.17255962</v>
      </c>
      <c r="X27" s="40">
        <f>Inputs!$D$55*Ramp!$L$51+Inputs!$D$59*X13</f>
        <v>47419.039680509995</v>
      </c>
      <c r="Y27" s="40">
        <f>Inputs!$D$55*Ramp!$M$51+Inputs!$D$59*Y13</f>
        <v>47419.039680509995</v>
      </c>
      <c r="Z27" s="40">
        <f>Inputs!$D$55*Ramp!$N$51+Inputs!$D$59*Z13</f>
        <v>47419.039680509995</v>
      </c>
      <c r="AA27" s="40">
        <f>Inputs!$D$55*Ramp!$O$51+Inputs!$D$59*AA13</f>
        <v>47419.039680509995</v>
      </c>
      <c r="AB27" s="40">
        <f>Inputs!$D$55*Ramp!$P$51+Inputs!$D$59*AB13</f>
        <v>65307.814774349994</v>
      </c>
      <c r="AC27" s="40">
        <f>Inputs!$D$56/12+Inputs!$D$59*AC13</f>
        <v>49544.075000000004</v>
      </c>
      <c r="AD27" s="40">
        <f>Inputs!$D$56/12+Inputs!$D$59*AD13</f>
        <v>49544.075000000004</v>
      </c>
      <c r="AE27" s="40">
        <f>Inputs!$D$56/12+Inputs!$D$59*AE13</f>
        <v>49544.075000000004</v>
      </c>
      <c r="AF27" s="40">
        <f>Inputs!$D$56/12+Inputs!$D$59*AF13</f>
        <v>49544.075000000004</v>
      </c>
      <c r="AG27" s="40">
        <f>Inputs!$D$56/12+Inputs!$D$59*AG13</f>
        <v>49544.075000000004</v>
      </c>
      <c r="AH27" s="40">
        <f>Inputs!$D$56/12+Inputs!$D$59*AH13</f>
        <v>49544.075000000004</v>
      </c>
      <c r="AI27" s="40">
        <f>Inputs!$D$56/12+Inputs!$D$59*AI13</f>
        <v>49544.075000000004</v>
      </c>
      <c r="AJ27" s="40">
        <f>Inputs!$D$56/12+Inputs!$D$59*AJ13</f>
        <v>49544.075000000004</v>
      </c>
      <c r="AK27" s="40">
        <f>Inputs!$D$56/12+Inputs!$D$59*AK13</f>
        <v>49544.075000000004</v>
      </c>
      <c r="AL27" s="40">
        <f>Inputs!$D$56/12+Inputs!$D$59*AL13</f>
        <v>49544.075000000004</v>
      </c>
      <c r="AM27" s="40">
        <f>Inputs!$D$56/12+Inputs!$D$59*AM13</f>
        <v>49544.075000000004</v>
      </c>
      <c r="AN27" s="40">
        <f>Inputs!$D$56/12+Inputs!$D$59*AN13</f>
        <v>49544.075000000004</v>
      </c>
      <c r="AO27" s="40">
        <f>Inputs!$D$57/12+Inputs!$D$59*AO13</f>
        <v>49544.075000000004</v>
      </c>
      <c r="AP27" s="40">
        <f>Inputs!$D$57/12+Inputs!$D$59*AP13</f>
        <v>49544.075000000004</v>
      </c>
      <c r="AQ27" s="40">
        <f>Inputs!$D$57/12+Inputs!$D$59*AQ13</f>
        <v>49544.075000000004</v>
      </c>
      <c r="AR27" s="40">
        <f>Inputs!$D$57/12+Inputs!$D$59*AR13</f>
        <v>49544.075000000004</v>
      </c>
      <c r="AS27" s="40">
        <f>Inputs!$D$57/12+Inputs!$D$59*AS13</f>
        <v>49544.075000000004</v>
      </c>
      <c r="AT27" s="40">
        <f>Inputs!$D$57/12+Inputs!$D$59*AT13</f>
        <v>49544.075000000004</v>
      </c>
      <c r="AU27" s="40">
        <f>Inputs!$D$57/12+Inputs!$D$59*AU13</f>
        <v>49544.075000000004</v>
      </c>
      <c r="AV27" s="40">
        <f>Inputs!$D$57/12+Inputs!$D$59*AV13</f>
        <v>49544.075000000004</v>
      </c>
      <c r="AW27" s="40">
        <f>Inputs!$D$57/12+Inputs!$D$59*AW13</f>
        <v>49544.075000000004</v>
      </c>
      <c r="AX27" s="40">
        <f>Inputs!$D$57/12+Inputs!$D$59*AX13</f>
        <v>49544.075000000004</v>
      </c>
      <c r="AY27" s="40">
        <f>Inputs!$D$57/12+Inputs!$D$59*AY13</f>
        <v>49544.075000000004</v>
      </c>
      <c r="AZ27" s="40">
        <f>Inputs!$D$57/12+Inputs!$D$59*AZ13</f>
        <v>49544.075000000004</v>
      </c>
      <c r="BA27" s="40">
        <f>Inputs!$D$58/12+Inputs!$D$59*BA13</f>
        <v>49544.075000000004</v>
      </c>
      <c r="BB27" s="40">
        <f>Inputs!$D$58/12+Inputs!$D$59*BB13</f>
        <v>49544.075000000004</v>
      </c>
      <c r="BC27" s="40">
        <f>Inputs!$D$58/12+Inputs!$D$59*BC13</f>
        <v>49544.075000000004</v>
      </c>
      <c r="BD27" s="40">
        <f>Inputs!$D$58/12+Inputs!$D$59*BD13</f>
        <v>49544.075000000004</v>
      </c>
      <c r="BE27" s="40">
        <f>Inputs!$D$58/12+Inputs!$D$59*BE13</f>
        <v>49544.075000000004</v>
      </c>
      <c r="BF27" s="40">
        <f>Inputs!$D$58/12+Inputs!$D$59*BF13</f>
        <v>49544.075000000004</v>
      </c>
      <c r="BG27" s="40">
        <f>Inputs!$D$58/12+Inputs!$D$59*BG13</f>
        <v>49544.075000000004</v>
      </c>
      <c r="BH27" s="40">
        <f>Inputs!$D$58/12+Inputs!$D$59*BH13</f>
        <v>49544.075000000004</v>
      </c>
      <c r="BI27" s="40">
        <f>Inputs!$D$58/12+Inputs!$D$59*BI13</f>
        <v>49544.075000000004</v>
      </c>
      <c r="BJ27" s="40">
        <f>Inputs!$D$58/12+Inputs!$D$59*BJ13</f>
        <v>49544.075000000004</v>
      </c>
      <c r="BK27" s="40">
        <f>Inputs!$D$58/12+Inputs!$D$59*BK13</f>
        <v>49544.075000000004</v>
      </c>
      <c r="BL27" s="40">
        <f>Inputs!$D$58/12+Inputs!$D$59*BL13</f>
        <v>49544.075000000004</v>
      </c>
    </row>
    <row r="28" spans="2:64" x14ac:dyDescent="0.35">
      <c r="B28" s="4" t="s">
        <v>289</v>
      </c>
      <c r="C28" s="18" t="s">
        <v>111</v>
      </c>
      <c r="D28" s="56">
        <f>SUM(E28:BL28)</f>
        <v>-11495746.972910298</v>
      </c>
      <c r="E28" s="56">
        <f t="shared" ref="E28:AJ28" si="16">E22-E24-E26-E27</f>
        <v>-53340.465908521845</v>
      </c>
      <c r="F28" s="56">
        <f t="shared" si="16"/>
        <v>-60944.450549625719</v>
      </c>
      <c r="G28" s="56">
        <f t="shared" si="16"/>
        <v>-68557.948316584705</v>
      </c>
      <c r="H28" s="56">
        <f t="shared" si="16"/>
        <v>-106079.13064240757</v>
      </c>
      <c r="I28" s="56">
        <f t="shared" si="16"/>
        <v>-105769.97888798654</v>
      </c>
      <c r="J28" s="56">
        <f t="shared" si="16"/>
        <v>-96760.768003396544</v>
      </c>
      <c r="K28" s="56">
        <f t="shared" si="16"/>
        <v>-96760.768003396544</v>
      </c>
      <c r="L28" s="56">
        <f t="shared" si="16"/>
        <v>-172171.1391443894</v>
      </c>
      <c r="M28" s="56">
        <f t="shared" si="16"/>
        <v>-155884.54208420229</v>
      </c>
      <c r="N28" s="56">
        <f t="shared" si="16"/>
        <v>-207960.14957297326</v>
      </c>
      <c r="O28" s="56">
        <f t="shared" si="16"/>
        <v>-204949.24391235888</v>
      </c>
      <c r="P28" s="56">
        <f t="shared" si="16"/>
        <v>-211795.80713537667</v>
      </c>
      <c r="Q28" s="56">
        <f t="shared" si="16"/>
        <v>-287997.68018807378</v>
      </c>
      <c r="R28" s="56">
        <f t="shared" si="16"/>
        <v>-253319.88683753126</v>
      </c>
      <c r="S28" s="56">
        <f t="shared" si="16"/>
        <v>-251773.91771225826</v>
      </c>
      <c r="T28" s="56">
        <f t="shared" si="16"/>
        <v>-250172.36655714651</v>
      </c>
      <c r="U28" s="56">
        <f t="shared" si="16"/>
        <v>-248530.52090177211</v>
      </c>
      <c r="V28" s="56">
        <f t="shared" si="16"/>
        <v>-246852.72706244435</v>
      </c>
      <c r="W28" s="56">
        <f t="shared" si="16"/>
        <v>-380214.94194550673</v>
      </c>
      <c r="X28" s="56">
        <f t="shared" si="16"/>
        <v>-252531.18401020241</v>
      </c>
      <c r="Y28" s="56">
        <f t="shared" si="16"/>
        <v>-250759.67548570153</v>
      </c>
      <c r="Z28" s="56">
        <f t="shared" si="16"/>
        <v>-249086.51044160855</v>
      </c>
      <c r="AA28" s="56">
        <f t="shared" si="16"/>
        <v>-247366.29773795657</v>
      </c>
      <c r="AB28" s="56">
        <f t="shared" si="16"/>
        <v>-271835.13309000758</v>
      </c>
      <c r="AC28" s="56">
        <f t="shared" si="16"/>
        <v>-304705.60579341976</v>
      </c>
      <c r="AD28" s="56">
        <f t="shared" si="16"/>
        <v>-299529.75460891833</v>
      </c>
      <c r="AE28" s="56">
        <f t="shared" si="16"/>
        <v>-294067.02101587673</v>
      </c>
      <c r="AF28" s="56">
        <f t="shared" si="16"/>
        <v>-288289.37858611869</v>
      </c>
      <c r="AG28" s="56">
        <f t="shared" si="16"/>
        <v>-282165.26117851492</v>
      </c>
      <c r="AH28" s="56">
        <f t="shared" si="16"/>
        <v>-275660.6791100367</v>
      </c>
      <c r="AI28" s="56">
        <f t="shared" si="16"/>
        <v>-268737.50019832538</v>
      </c>
      <c r="AJ28" s="56">
        <f t="shared" si="16"/>
        <v>-261354.50441548077</v>
      </c>
      <c r="AK28" s="56">
        <f t="shared" ref="AK28:BP28" si="17">AK22-AK24-AK26-AK27</f>
        <v>-253465.5970792298</v>
      </c>
      <c r="AL28" s="56">
        <f t="shared" si="17"/>
        <v>-245020.78866368049</v>
      </c>
      <c r="AM28" s="56">
        <f t="shared" si="17"/>
        <v>-235964.32542957278</v>
      </c>
      <c r="AN28" s="56">
        <f t="shared" si="17"/>
        <v>-226235.92888840934</v>
      </c>
      <c r="AO28" s="56">
        <f t="shared" si="17"/>
        <v>-260001.89535519679</v>
      </c>
      <c r="AP28" s="56">
        <f t="shared" si="17"/>
        <v>-253017.0132449817</v>
      </c>
      <c r="AQ28" s="56">
        <f t="shared" si="17"/>
        <v>-245539.48765485061</v>
      </c>
      <c r="AR28" s="56">
        <f t="shared" si="17"/>
        <v>-237528.24463884914</v>
      </c>
      <c r="AS28" s="56">
        <f t="shared" si="17"/>
        <v>-228938.41058886237</v>
      </c>
      <c r="AT28" s="56">
        <f t="shared" si="17"/>
        <v>-219720.94084201322</v>
      </c>
      <c r="AU28" s="56">
        <f t="shared" si="17"/>
        <v>-209822.21098974132</v>
      </c>
      <c r="AV28" s="56">
        <f t="shared" si="17"/>
        <v>-199183.56709359016</v>
      </c>
      <c r="AW28" s="56">
        <f t="shared" si="17"/>
        <v>-187740.83062417302</v>
      </c>
      <c r="AX28" s="56">
        <f t="shared" si="17"/>
        <v>-175423.75351132726</v>
      </c>
      <c r="AY28" s="56">
        <f t="shared" si="17"/>
        <v>-162155.41822099508</v>
      </c>
      <c r="AZ28" s="56">
        <f t="shared" si="17"/>
        <v>-147851.57725336342</v>
      </c>
      <c r="BA28" s="56">
        <f t="shared" si="17"/>
        <v>-145228.37961039634</v>
      </c>
      <c r="BB28" s="56">
        <f t="shared" si="17"/>
        <v>-135441.86829460232</v>
      </c>
      <c r="BC28" s="56">
        <f t="shared" si="17"/>
        <v>-125263.44306657204</v>
      </c>
      <c r="BD28" s="56">
        <f t="shared" si="17"/>
        <v>-114677.23106058568</v>
      </c>
      <c r="BE28" s="56">
        <f t="shared" si="17"/>
        <v>-103666.709344128</v>
      </c>
      <c r="BF28" s="56">
        <f t="shared" si="17"/>
        <v>-92214.678005513124</v>
      </c>
      <c r="BG28" s="56">
        <f t="shared" si="17"/>
        <v>-80303.232115821418</v>
      </c>
      <c r="BH28" s="56">
        <f t="shared" si="17"/>
        <v>-67913.732517608296</v>
      </c>
      <c r="BI28" s="56">
        <f t="shared" si="17"/>
        <v>-55026.775390816234</v>
      </c>
      <c r="BJ28" s="56">
        <f t="shared" si="17"/>
        <v>-41622.160544210252</v>
      </c>
      <c r="BK28" s="56">
        <f t="shared" si="17"/>
        <v>-27678.858378452795</v>
      </c>
      <c r="BL28" s="56">
        <f t="shared" si="17"/>
        <v>-13174.97546463491</v>
      </c>
    </row>
    <row r="29" spans="2:64" x14ac:dyDescent="0.35">
      <c r="B29" s="16" t="s">
        <v>423</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row>
    <row r="30" spans="2:64" x14ac:dyDescent="0.35">
      <c r="B30" s="3" t="s">
        <v>317</v>
      </c>
      <c r="C30" s="18" t="s">
        <v>111</v>
      </c>
      <c r="D30" s="20">
        <f>SUM(E30:BL30)</f>
        <v>72500.000000000015</v>
      </c>
      <c r="E30" s="40">
        <f>Inputs!$D$61/12</f>
        <v>2708.3333333333335</v>
      </c>
      <c r="F30" s="40">
        <f>Inputs!$D$61/12</f>
        <v>2708.3333333333335</v>
      </c>
      <c r="G30" s="40">
        <f>Inputs!$D$61/12</f>
        <v>2708.3333333333335</v>
      </c>
      <c r="H30" s="40">
        <f>Inputs!$D$61/12</f>
        <v>2708.3333333333335</v>
      </c>
      <c r="I30" s="40">
        <f>Inputs!$D$61/12</f>
        <v>2708.3333333333335</v>
      </c>
      <c r="J30" s="40">
        <f>Inputs!$D$61/12</f>
        <v>2708.3333333333335</v>
      </c>
      <c r="K30" s="40">
        <f>Inputs!$D$61/12</f>
        <v>2708.3333333333335</v>
      </c>
      <c r="L30" s="40">
        <f>Inputs!$D$61/12</f>
        <v>2708.3333333333335</v>
      </c>
      <c r="M30" s="40">
        <f>Inputs!$D$61/12</f>
        <v>2708.3333333333335</v>
      </c>
      <c r="N30" s="40">
        <f>Inputs!$D$61/12</f>
        <v>2708.3333333333335</v>
      </c>
      <c r="O30" s="40">
        <f>Inputs!$D$61/12</f>
        <v>2708.3333333333335</v>
      </c>
      <c r="P30" s="40">
        <f>Inputs!$D$61/12</f>
        <v>2708.3333333333335</v>
      </c>
      <c r="Q30" s="40">
        <f>Inputs!$D$62/12</f>
        <v>625</v>
      </c>
      <c r="R30" s="40">
        <f>Inputs!$D$62/12</f>
        <v>625</v>
      </c>
      <c r="S30" s="40">
        <f>Inputs!$D$62/12</f>
        <v>625</v>
      </c>
      <c r="T30" s="40">
        <f>Inputs!$D$62/12</f>
        <v>625</v>
      </c>
      <c r="U30" s="40">
        <f>Inputs!$D$62/12</f>
        <v>625</v>
      </c>
      <c r="V30" s="40">
        <f>Inputs!$D$62/12</f>
        <v>625</v>
      </c>
      <c r="W30" s="40">
        <f>Inputs!$D$62/12</f>
        <v>625</v>
      </c>
      <c r="X30" s="40">
        <f>Inputs!$D$62/12</f>
        <v>625</v>
      </c>
      <c r="Y30" s="40">
        <f>Inputs!$D$62/12</f>
        <v>625</v>
      </c>
      <c r="Z30" s="40">
        <f>Inputs!$D$62/12</f>
        <v>625</v>
      </c>
      <c r="AA30" s="40">
        <f>Inputs!$D$62/12</f>
        <v>625</v>
      </c>
      <c r="AB30" s="40">
        <f>Inputs!$D$62/12</f>
        <v>625</v>
      </c>
      <c r="AC30" s="40">
        <f>Inputs!$D$63/12</f>
        <v>0</v>
      </c>
      <c r="AD30" s="40">
        <f>Inputs!$D$63/12</f>
        <v>0</v>
      </c>
      <c r="AE30" s="40">
        <f>Inputs!$D$63/12</f>
        <v>0</v>
      </c>
      <c r="AF30" s="40">
        <f>Inputs!$D$63/12</f>
        <v>0</v>
      </c>
      <c r="AG30" s="40">
        <f>Inputs!$D$63/12</f>
        <v>0</v>
      </c>
      <c r="AH30" s="40">
        <f>Inputs!$D$63/12</f>
        <v>0</v>
      </c>
      <c r="AI30" s="40">
        <f>Inputs!$D$63/12</f>
        <v>0</v>
      </c>
      <c r="AJ30" s="40">
        <f>Inputs!$D$63/12</f>
        <v>0</v>
      </c>
      <c r="AK30" s="40">
        <f>Inputs!$D$63/12</f>
        <v>0</v>
      </c>
      <c r="AL30" s="40">
        <f>Inputs!$D$63/12</f>
        <v>0</v>
      </c>
      <c r="AM30" s="40">
        <f>Inputs!$D$63/12</f>
        <v>0</v>
      </c>
      <c r="AN30" s="40">
        <f>Inputs!$D$63/12</f>
        <v>0</v>
      </c>
      <c r="AO30" s="40">
        <f>Inputs!$D$64/12</f>
        <v>0</v>
      </c>
      <c r="AP30" s="40">
        <f>Inputs!$D$64/12</f>
        <v>0</v>
      </c>
      <c r="AQ30" s="40">
        <f>Inputs!$D$64/12</f>
        <v>0</v>
      </c>
      <c r="AR30" s="40">
        <f>Inputs!$D$64/12</f>
        <v>0</v>
      </c>
      <c r="AS30" s="40">
        <f>Inputs!$D$64/12</f>
        <v>0</v>
      </c>
      <c r="AT30" s="40">
        <f>Inputs!$D$64/12</f>
        <v>0</v>
      </c>
      <c r="AU30" s="40">
        <f>Inputs!$D$64/12</f>
        <v>0</v>
      </c>
      <c r="AV30" s="40">
        <f>Inputs!$D$64/12</f>
        <v>0</v>
      </c>
      <c r="AW30" s="40">
        <f>Inputs!$D$64/12</f>
        <v>0</v>
      </c>
      <c r="AX30" s="40">
        <f>Inputs!$D$64/12</f>
        <v>0</v>
      </c>
      <c r="AY30" s="40">
        <f>Inputs!$D$64/12</f>
        <v>0</v>
      </c>
      <c r="AZ30" s="40">
        <f>Inputs!$D$64/12</f>
        <v>0</v>
      </c>
      <c r="BA30" s="40">
        <f>Inputs!$D$65/12</f>
        <v>2708.3333333333335</v>
      </c>
      <c r="BB30" s="40">
        <f>Inputs!$D$65/12</f>
        <v>2708.3333333333335</v>
      </c>
      <c r="BC30" s="40">
        <f>Inputs!$D$65/12</f>
        <v>2708.3333333333335</v>
      </c>
      <c r="BD30" s="40">
        <f>Inputs!$D$65/12</f>
        <v>2708.3333333333335</v>
      </c>
      <c r="BE30" s="40">
        <f>Inputs!$D$65/12</f>
        <v>2708.3333333333335</v>
      </c>
      <c r="BF30" s="40">
        <f>Inputs!$D$65/12</f>
        <v>2708.3333333333335</v>
      </c>
      <c r="BG30" s="40">
        <f>Inputs!$D$65/12</f>
        <v>2708.3333333333335</v>
      </c>
      <c r="BH30" s="40">
        <f>Inputs!$D$65/12</f>
        <v>2708.3333333333335</v>
      </c>
      <c r="BI30" s="40">
        <f>Inputs!$D$65/12</f>
        <v>2708.3333333333335</v>
      </c>
      <c r="BJ30" s="40">
        <f>Inputs!$D$65/12</f>
        <v>2708.3333333333335</v>
      </c>
      <c r="BK30" s="40">
        <f>Inputs!$D$65/12</f>
        <v>2708.3333333333335</v>
      </c>
      <c r="BL30" s="40">
        <f>Inputs!$D$65/12</f>
        <v>2708.3333333333335</v>
      </c>
    </row>
    <row r="31" spans="2:64" x14ac:dyDescent="0.35">
      <c r="B31" s="3" t="s">
        <v>424</v>
      </c>
      <c r="C31" s="18" t="s">
        <v>111</v>
      </c>
      <c r="D31" s="20">
        <f>BL31</f>
        <v>72500.000000000015</v>
      </c>
      <c r="E31" s="20">
        <f>E30</f>
        <v>2708.3333333333335</v>
      </c>
      <c r="F31" s="20">
        <f t="shared" ref="F31:AK31" si="18">E31+F30</f>
        <v>5416.666666666667</v>
      </c>
      <c r="G31" s="20">
        <f t="shared" si="18"/>
        <v>8125</v>
      </c>
      <c r="H31" s="20">
        <f t="shared" si="18"/>
        <v>10833.333333333334</v>
      </c>
      <c r="I31" s="20">
        <f t="shared" si="18"/>
        <v>13541.666666666668</v>
      </c>
      <c r="J31" s="20">
        <f t="shared" si="18"/>
        <v>16250.000000000002</v>
      </c>
      <c r="K31" s="20">
        <f t="shared" si="18"/>
        <v>18958.333333333336</v>
      </c>
      <c r="L31" s="20">
        <f t="shared" si="18"/>
        <v>21666.666666666668</v>
      </c>
      <c r="M31" s="20">
        <f t="shared" si="18"/>
        <v>24375</v>
      </c>
      <c r="N31" s="20">
        <f t="shared" si="18"/>
        <v>27083.333333333332</v>
      </c>
      <c r="O31" s="20">
        <f t="shared" si="18"/>
        <v>29791.666666666664</v>
      </c>
      <c r="P31" s="20">
        <f t="shared" si="18"/>
        <v>32499.999999999996</v>
      </c>
      <c r="Q31" s="20">
        <f t="shared" si="18"/>
        <v>33125</v>
      </c>
      <c r="R31" s="20">
        <f t="shared" si="18"/>
        <v>33750</v>
      </c>
      <c r="S31" s="20">
        <f t="shared" si="18"/>
        <v>34375</v>
      </c>
      <c r="T31" s="20">
        <f t="shared" si="18"/>
        <v>35000</v>
      </c>
      <c r="U31" s="20">
        <f t="shared" si="18"/>
        <v>35625</v>
      </c>
      <c r="V31" s="20">
        <f t="shared" si="18"/>
        <v>36250</v>
      </c>
      <c r="W31" s="20">
        <f t="shared" si="18"/>
        <v>36875</v>
      </c>
      <c r="X31" s="20">
        <f t="shared" si="18"/>
        <v>37500</v>
      </c>
      <c r="Y31" s="20">
        <f t="shared" si="18"/>
        <v>38125</v>
      </c>
      <c r="Z31" s="20">
        <f t="shared" si="18"/>
        <v>38750</v>
      </c>
      <c r="AA31" s="20">
        <f t="shared" si="18"/>
        <v>39375</v>
      </c>
      <c r="AB31" s="20">
        <f t="shared" si="18"/>
        <v>40000</v>
      </c>
      <c r="AC31" s="20">
        <f t="shared" si="18"/>
        <v>40000</v>
      </c>
      <c r="AD31" s="20">
        <f t="shared" si="18"/>
        <v>40000</v>
      </c>
      <c r="AE31" s="20">
        <f t="shared" si="18"/>
        <v>40000</v>
      </c>
      <c r="AF31" s="20">
        <f t="shared" si="18"/>
        <v>40000</v>
      </c>
      <c r="AG31" s="20">
        <f t="shared" si="18"/>
        <v>40000</v>
      </c>
      <c r="AH31" s="20">
        <f t="shared" si="18"/>
        <v>40000</v>
      </c>
      <c r="AI31" s="20">
        <f t="shared" si="18"/>
        <v>40000</v>
      </c>
      <c r="AJ31" s="20">
        <f t="shared" si="18"/>
        <v>40000</v>
      </c>
      <c r="AK31" s="20">
        <f t="shared" si="18"/>
        <v>40000</v>
      </c>
      <c r="AL31" s="20">
        <f t="shared" ref="AL31:BQ31" si="19">AK31+AL30</f>
        <v>40000</v>
      </c>
      <c r="AM31" s="20">
        <f t="shared" si="19"/>
        <v>40000</v>
      </c>
      <c r="AN31" s="20">
        <f t="shared" si="19"/>
        <v>40000</v>
      </c>
      <c r="AO31" s="20">
        <f t="shared" si="19"/>
        <v>40000</v>
      </c>
      <c r="AP31" s="20">
        <f t="shared" si="19"/>
        <v>40000</v>
      </c>
      <c r="AQ31" s="20">
        <f t="shared" si="19"/>
        <v>40000</v>
      </c>
      <c r="AR31" s="20">
        <f t="shared" si="19"/>
        <v>40000</v>
      </c>
      <c r="AS31" s="20">
        <f t="shared" si="19"/>
        <v>40000</v>
      </c>
      <c r="AT31" s="20">
        <f t="shared" si="19"/>
        <v>40000</v>
      </c>
      <c r="AU31" s="20">
        <f t="shared" si="19"/>
        <v>40000</v>
      </c>
      <c r="AV31" s="20">
        <f t="shared" si="19"/>
        <v>40000</v>
      </c>
      <c r="AW31" s="20">
        <f t="shared" si="19"/>
        <v>40000</v>
      </c>
      <c r="AX31" s="20">
        <f t="shared" si="19"/>
        <v>40000</v>
      </c>
      <c r="AY31" s="20">
        <f t="shared" si="19"/>
        <v>40000</v>
      </c>
      <c r="AZ31" s="20">
        <f t="shared" si="19"/>
        <v>40000</v>
      </c>
      <c r="BA31" s="20">
        <f t="shared" si="19"/>
        <v>42708.333333333336</v>
      </c>
      <c r="BB31" s="20">
        <f t="shared" si="19"/>
        <v>45416.666666666672</v>
      </c>
      <c r="BC31" s="20">
        <f t="shared" si="19"/>
        <v>48125.000000000007</v>
      </c>
      <c r="BD31" s="20">
        <f t="shared" si="19"/>
        <v>50833.333333333343</v>
      </c>
      <c r="BE31" s="20">
        <f t="shared" si="19"/>
        <v>53541.666666666679</v>
      </c>
      <c r="BF31" s="20">
        <f t="shared" si="19"/>
        <v>56250.000000000015</v>
      </c>
      <c r="BG31" s="20">
        <f t="shared" si="19"/>
        <v>58958.33333333335</v>
      </c>
      <c r="BH31" s="20">
        <f t="shared" si="19"/>
        <v>61666.666666666686</v>
      </c>
      <c r="BI31" s="20">
        <f t="shared" si="19"/>
        <v>64375.000000000022</v>
      </c>
      <c r="BJ31" s="20">
        <f t="shared" si="19"/>
        <v>67083.333333333358</v>
      </c>
      <c r="BK31" s="20">
        <f t="shared" si="19"/>
        <v>69791.666666666686</v>
      </c>
      <c r="BL31" s="20">
        <f t="shared" si="19"/>
        <v>72500.000000000015</v>
      </c>
    </row>
    <row r="32" spans="2:64" x14ac:dyDescent="0.35">
      <c r="B32" s="3" t="s">
        <v>425</v>
      </c>
      <c r="C32" s="18" t="s">
        <v>306</v>
      </c>
      <c r="D32" s="58">
        <f>ROUND(12*Inputs!$D$66,0)</f>
        <v>36</v>
      </c>
    </row>
    <row r="33" spans="2:64" x14ac:dyDescent="0.35">
      <c r="B33" s="3" t="s">
        <v>290</v>
      </c>
      <c r="C33" s="18" t="s">
        <v>111</v>
      </c>
      <c r="D33" s="20">
        <f>SUM(E33:BL33)</f>
        <v>45868.055555555533</v>
      </c>
      <c r="E33" s="20">
        <f t="shared" ref="E33:AJ33" si="20">IF($D$32&gt;0,(E31-IF(E$4&gt;$D$32,INDEX($E$31:$BL$31,1,E$4-$D$32),0))/$D$32,0)</f>
        <v>75.231481481481481</v>
      </c>
      <c r="F33" s="20">
        <f t="shared" si="20"/>
        <v>150.46296296296296</v>
      </c>
      <c r="G33" s="20">
        <f t="shared" si="20"/>
        <v>225.69444444444446</v>
      </c>
      <c r="H33" s="20">
        <f t="shared" si="20"/>
        <v>300.92592592592592</v>
      </c>
      <c r="I33" s="20">
        <f t="shared" si="20"/>
        <v>376.15740740740745</v>
      </c>
      <c r="J33" s="20">
        <f t="shared" si="20"/>
        <v>451.38888888888891</v>
      </c>
      <c r="K33" s="20">
        <f t="shared" si="20"/>
        <v>526.62037037037044</v>
      </c>
      <c r="L33" s="20">
        <f t="shared" si="20"/>
        <v>601.85185185185185</v>
      </c>
      <c r="M33" s="20">
        <f t="shared" si="20"/>
        <v>677.08333333333337</v>
      </c>
      <c r="N33" s="20">
        <f t="shared" si="20"/>
        <v>752.31481481481478</v>
      </c>
      <c r="O33" s="20">
        <f t="shared" si="20"/>
        <v>827.54629629629619</v>
      </c>
      <c r="P33" s="20">
        <f t="shared" si="20"/>
        <v>902.77777777777771</v>
      </c>
      <c r="Q33" s="20">
        <f t="shared" si="20"/>
        <v>920.13888888888891</v>
      </c>
      <c r="R33" s="20">
        <f t="shared" si="20"/>
        <v>937.5</v>
      </c>
      <c r="S33" s="20">
        <f t="shared" si="20"/>
        <v>954.86111111111109</v>
      </c>
      <c r="T33" s="20">
        <f t="shared" si="20"/>
        <v>972.22222222222217</v>
      </c>
      <c r="U33" s="20">
        <f t="shared" si="20"/>
        <v>989.58333333333337</v>
      </c>
      <c r="V33" s="20">
        <f t="shared" si="20"/>
        <v>1006.9444444444445</v>
      </c>
      <c r="W33" s="20">
        <f t="shared" si="20"/>
        <v>1024.3055555555557</v>
      </c>
      <c r="X33" s="20">
        <f t="shared" si="20"/>
        <v>1041.6666666666667</v>
      </c>
      <c r="Y33" s="20">
        <f t="shared" si="20"/>
        <v>1059.0277777777778</v>
      </c>
      <c r="Z33" s="20">
        <f t="shared" si="20"/>
        <v>1076.3888888888889</v>
      </c>
      <c r="AA33" s="20">
        <f t="shared" si="20"/>
        <v>1093.75</v>
      </c>
      <c r="AB33" s="20">
        <f t="shared" si="20"/>
        <v>1111.1111111111111</v>
      </c>
      <c r="AC33" s="20">
        <f t="shared" si="20"/>
        <v>1111.1111111111111</v>
      </c>
      <c r="AD33" s="20">
        <f t="shared" si="20"/>
        <v>1111.1111111111111</v>
      </c>
      <c r="AE33" s="20">
        <f t="shared" si="20"/>
        <v>1111.1111111111111</v>
      </c>
      <c r="AF33" s="20">
        <f t="shared" si="20"/>
        <v>1111.1111111111111</v>
      </c>
      <c r="AG33" s="20">
        <f t="shared" si="20"/>
        <v>1111.1111111111111</v>
      </c>
      <c r="AH33" s="20">
        <f t="shared" si="20"/>
        <v>1111.1111111111111</v>
      </c>
      <c r="AI33" s="20">
        <f t="shared" si="20"/>
        <v>1111.1111111111111</v>
      </c>
      <c r="AJ33" s="20">
        <f t="shared" si="20"/>
        <v>1111.1111111111111</v>
      </c>
      <c r="AK33" s="20">
        <f t="shared" ref="AK33:BL33" si="21">IF($D$32&gt;0,(AK31-IF(AK$4&gt;$D$32,INDEX($E$31:$BL$31,1,AK$4-$D$32),0))/$D$32,0)</f>
        <v>1111.1111111111111</v>
      </c>
      <c r="AL33" s="20">
        <f t="shared" si="21"/>
        <v>1111.1111111111111</v>
      </c>
      <c r="AM33" s="20">
        <f t="shared" si="21"/>
        <v>1111.1111111111111</v>
      </c>
      <c r="AN33" s="20">
        <f t="shared" si="21"/>
        <v>1111.1111111111111</v>
      </c>
      <c r="AO33" s="20">
        <f t="shared" si="21"/>
        <v>1035.8796296296296</v>
      </c>
      <c r="AP33" s="20">
        <f t="shared" si="21"/>
        <v>960.64814814814827</v>
      </c>
      <c r="AQ33" s="20">
        <f t="shared" si="21"/>
        <v>885.41666666666663</v>
      </c>
      <c r="AR33" s="20">
        <f t="shared" si="21"/>
        <v>810.18518518518511</v>
      </c>
      <c r="AS33" s="20">
        <f t="shared" si="21"/>
        <v>734.9537037037037</v>
      </c>
      <c r="AT33" s="20">
        <f t="shared" si="21"/>
        <v>659.72222222222217</v>
      </c>
      <c r="AU33" s="20">
        <f t="shared" si="21"/>
        <v>584.49074074074065</v>
      </c>
      <c r="AV33" s="20">
        <f t="shared" si="21"/>
        <v>509.25925925925924</v>
      </c>
      <c r="AW33" s="20">
        <f t="shared" si="21"/>
        <v>434.02777777777777</v>
      </c>
      <c r="AX33" s="20">
        <f t="shared" si="21"/>
        <v>358.7962962962963</v>
      </c>
      <c r="AY33" s="20">
        <f t="shared" si="21"/>
        <v>283.56481481481489</v>
      </c>
      <c r="AZ33" s="20">
        <f t="shared" si="21"/>
        <v>208.33333333333343</v>
      </c>
      <c r="BA33" s="20">
        <f t="shared" si="21"/>
        <v>266.20370370370375</v>
      </c>
      <c r="BB33" s="20">
        <f t="shared" si="21"/>
        <v>324.07407407407419</v>
      </c>
      <c r="BC33" s="20">
        <f t="shared" si="21"/>
        <v>381.94444444444463</v>
      </c>
      <c r="BD33" s="20">
        <f t="shared" si="21"/>
        <v>439.81481481481507</v>
      </c>
      <c r="BE33" s="20">
        <f t="shared" si="21"/>
        <v>497.6851851851855</v>
      </c>
      <c r="BF33" s="20">
        <f t="shared" si="21"/>
        <v>555.555555555556</v>
      </c>
      <c r="BG33" s="20">
        <f t="shared" si="21"/>
        <v>613.42592592592644</v>
      </c>
      <c r="BH33" s="20">
        <f t="shared" si="21"/>
        <v>671.29629629629687</v>
      </c>
      <c r="BI33" s="20">
        <f t="shared" si="21"/>
        <v>729.16666666666731</v>
      </c>
      <c r="BJ33" s="20">
        <f t="shared" si="21"/>
        <v>787.03703703703775</v>
      </c>
      <c r="BK33" s="20">
        <f t="shared" si="21"/>
        <v>844.90740740740796</v>
      </c>
      <c r="BL33" s="20">
        <f t="shared" si="21"/>
        <v>902.77777777777817</v>
      </c>
    </row>
    <row r="34" spans="2:64" x14ac:dyDescent="0.35">
      <c r="B34" s="3" t="s">
        <v>291</v>
      </c>
      <c r="C34" s="18" t="s">
        <v>111</v>
      </c>
      <c r="D34" s="20">
        <f>SUM(E34:BL34)</f>
        <v>-11541615.028465852</v>
      </c>
      <c r="E34" s="20">
        <f t="shared" ref="E34:AJ34" si="22">E28-E33</f>
        <v>-53415.697390003326</v>
      </c>
      <c r="F34" s="20">
        <f t="shared" si="22"/>
        <v>-61094.913512588682</v>
      </c>
      <c r="G34" s="20">
        <f t="shared" si="22"/>
        <v>-68783.642761029143</v>
      </c>
      <c r="H34" s="20">
        <f t="shared" si="22"/>
        <v>-106380.0565683335</v>
      </c>
      <c r="I34" s="20">
        <f t="shared" si="22"/>
        <v>-106146.13629539394</v>
      </c>
      <c r="J34" s="20">
        <f t="shared" si="22"/>
        <v>-97212.156892285435</v>
      </c>
      <c r="K34" s="20">
        <f t="shared" si="22"/>
        <v>-97287.388373766909</v>
      </c>
      <c r="L34" s="20">
        <f t="shared" si="22"/>
        <v>-172772.99099624125</v>
      </c>
      <c r="M34" s="20">
        <f t="shared" si="22"/>
        <v>-156561.62541753563</v>
      </c>
      <c r="N34" s="20">
        <f t="shared" si="22"/>
        <v>-208712.46438778806</v>
      </c>
      <c r="O34" s="20">
        <f t="shared" si="22"/>
        <v>-205776.79020865518</v>
      </c>
      <c r="P34" s="20">
        <f t="shared" si="22"/>
        <v>-212698.58491315445</v>
      </c>
      <c r="Q34" s="20">
        <f t="shared" si="22"/>
        <v>-288917.81907696265</v>
      </c>
      <c r="R34" s="20">
        <f t="shared" si="22"/>
        <v>-254257.38683753126</v>
      </c>
      <c r="S34" s="20">
        <f t="shared" si="22"/>
        <v>-252728.77882336939</v>
      </c>
      <c r="T34" s="20">
        <f t="shared" si="22"/>
        <v>-251144.58877936873</v>
      </c>
      <c r="U34" s="20">
        <f t="shared" si="22"/>
        <v>-249520.10423510545</v>
      </c>
      <c r="V34" s="20">
        <f t="shared" si="22"/>
        <v>-247859.67150688879</v>
      </c>
      <c r="W34" s="20">
        <f t="shared" si="22"/>
        <v>-381239.24750106229</v>
      </c>
      <c r="X34" s="20">
        <f t="shared" si="22"/>
        <v>-253572.85067686907</v>
      </c>
      <c r="Y34" s="20">
        <f t="shared" si="22"/>
        <v>-251818.70326347931</v>
      </c>
      <c r="Z34" s="20">
        <f t="shared" si="22"/>
        <v>-250162.89933049743</v>
      </c>
      <c r="AA34" s="20">
        <f t="shared" si="22"/>
        <v>-248460.04773795657</v>
      </c>
      <c r="AB34" s="20">
        <f t="shared" si="22"/>
        <v>-272946.24420111871</v>
      </c>
      <c r="AC34" s="20">
        <f t="shared" si="22"/>
        <v>-305816.71690453088</v>
      </c>
      <c r="AD34" s="20">
        <f t="shared" si="22"/>
        <v>-300640.86572002945</v>
      </c>
      <c r="AE34" s="20">
        <f t="shared" si="22"/>
        <v>-295178.13212698785</v>
      </c>
      <c r="AF34" s="20">
        <f t="shared" si="22"/>
        <v>-289400.48969722982</v>
      </c>
      <c r="AG34" s="20">
        <f t="shared" si="22"/>
        <v>-283276.37228962604</v>
      </c>
      <c r="AH34" s="20">
        <f t="shared" si="22"/>
        <v>-276771.79022114782</v>
      </c>
      <c r="AI34" s="20">
        <f t="shared" si="22"/>
        <v>-269848.6113094365</v>
      </c>
      <c r="AJ34" s="20">
        <f t="shared" si="22"/>
        <v>-262465.61552659189</v>
      </c>
      <c r="AK34" s="20">
        <f t="shared" ref="AK34:BP34" si="23">AK28-AK33</f>
        <v>-254576.70819034093</v>
      </c>
      <c r="AL34" s="20">
        <f t="shared" si="23"/>
        <v>-246131.89977479161</v>
      </c>
      <c r="AM34" s="20">
        <f t="shared" si="23"/>
        <v>-237075.43654068391</v>
      </c>
      <c r="AN34" s="20">
        <f t="shared" si="23"/>
        <v>-227347.03999952046</v>
      </c>
      <c r="AO34" s="20">
        <f t="shared" si="23"/>
        <v>-261037.77498482642</v>
      </c>
      <c r="AP34" s="20">
        <f t="shared" si="23"/>
        <v>-253977.66139312985</v>
      </c>
      <c r="AQ34" s="20">
        <f t="shared" si="23"/>
        <v>-246424.90432151727</v>
      </c>
      <c r="AR34" s="20">
        <f t="shared" si="23"/>
        <v>-238338.42982403433</v>
      </c>
      <c r="AS34" s="20">
        <f t="shared" si="23"/>
        <v>-229673.36429256608</v>
      </c>
      <c r="AT34" s="20">
        <f t="shared" si="23"/>
        <v>-220380.66306423544</v>
      </c>
      <c r="AU34" s="20">
        <f t="shared" si="23"/>
        <v>-210406.70173048205</v>
      </c>
      <c r="AV34" s="20">
        <f t="shared" si="23"/>
        <v>-199692.82635284943</v>
      </c>
      <c r="AW34" s="20">
        <f t="shared" si="23"/>
        <v>-188174.8584019508</v>
      </c>
      <c r="AX34" s="20">
        <f t="shared" si="23"/>
        <v>-175782.54980762355</v>
      </c>
      <c r="AY34" s="20">
        <f t="shared" si="23"/>
        <v>-162438.98303580988</v>
      </c>
      <c r="AZ34" s="20">
        <f t="shared" si="23"/>
        <v>-148059.91058669676</v>
      </c>
      <c r="BA34" s="20">
        <f t="shared" si="23"/>
        <v>-145494.58331410005</v>
      </c>
      <c r="BB34" s="20">
        <f t="shared" si="23"/>
        <v>-135765.94236867639</v>
      </c>
      <c r="BC34" s="20">
        <f t="shared" si="23"/>
        <v>-125645.38751101648</v>
      </c>
      <c r="BD34" s="20">
        <f t="shared" si="23"/>
        <v>-115117.04587540049</v>
      </c>
      <c r="BE34" s="20">
        <f t="shared" si="23"/>
        <v>-104164.39452931318</v>
      </c>
      <c r="BF34" s="20">
        <f t="shared" si="23"/>
        <v>-92770.233561068686</v>
      </c>
      <c r="BG34" s="20">
        <f t="shared" si="23"/>
        <v>-80916.658041747345</v>
      </c>
      <c r="BH34" s="20">
        <f t="shared" si="23"/>
        <v>-68585.028813904588</v>
      </c>
      <c r="BI34" s="20">
        <f t="shared" si="23"/>
        <v>-55755.942057482898</v>
      </c>
      <c r="BJ34" s="20">
        <f t="shared" si="23"/>
        <v>-42409.197581247288</v>
      </c>
      <c r="BK34" s="20">
        <f t="shared" si="23"/>
        <v>-28523.765785860203</v>
      </c>
      <c r="BL34" s="20">
        <f t="shared" si="23"/>
        <v>-14077.753242412688</v>
      </c>
    </row>
    <row r="35" spans="2:64" x14ac:dyDescent="0.35">
      <c r="B35" s="3" t="s">
        <v>292</v>
      </c>
      <c r="C35" s="18" t="s">
        <v>111</v>
      </c>
      <c r="D35" s="20">
        <f>SUM(E35:BL35)</f>
        <v>511669.03238431434</v>
      </c>
      <c r="E35" s="40">
        <f>Inputs!$D$70/12*MAX(E47,0)</f>
        <v>31.25</v>
      </c>
      <c r="F35" s="40">
        <f>Inputs!$D$70/12*MAX(F47,0)</f>
        <v>1211.2280634476811</v>
      </c>
      <c r="G35" s="40">
        <f>Inputs!$D$70/12*MAX(G47,0)</f>
        <v>1133.1761186732917</v>
      </c>
      <c r="H35" s="40">
        <f>Inputs!$D$70/12*MAX(H47,0)</f>
        <v>1045.5097367592359</v>
      </c>
      <c r="I35" s="40">
        <f>Inputs!$D$70/12*MAX(I47,0)</f>
        <v>910.83229396050865</v>
      </c>
      <c r="J35" s="40">
        <f>Inputs!$D$70/12*MAX(J47,0)</f>
        <v>776.37294405130945</v>
      </c>
      <c r="K35" s="40">
        <f>Inputs!$D$70/12*MAX(K47,0)</f>
        <v>653.00703356046131</v>
      </c>
      <c r="L35" s="40">
        <f>Inputs!$D$70/12*MAX(L47,0)</f>
        <v>529.48691568149957</v>
      </c>
      <c r="M35" s="40">
        <f>Inputs!$D$70/12*MAX(M47,0)</f>
        <v>5311.5494337289483</v>
      </c>
      <c r="N35" s="40">
        <f>Inputs!$D$70/12*MAX(N47,0)</f>
        <v>5119.9477762491897</v>
      </c>
      <c r="O35" s="40">
        <f>Inputs!$D$70/12*MAX(O47,0)</f>
        <v>4863.0121073366181</v>
      </c>
      <c r="P35" s="40">
        <f>Inputs!$D$70/12*MAX(P47,0)</f>
        <v>4609.518900913673</v>
      </c>
      <c r="Q35" s="40">
        <f>Inputs!$D$70/12*MAX(Q47,0)</f>
        <v>4347.1506239539276</v>
      </c>
      <c r="R35" s="40">
        <f>Inputs!$D$70/12*MAX(R47,0)</f>
        <v>3991.8062119987776</v>
      </c>
      <c r="S35" s="40">
        <f>Inputs!$D$70/12*MAX(S47,0)</f>
        <v>3679.3648612168618</v>
      </c>
      <c r="T35" s="40">
        <f>Inputs!$D$70/12*MAX(T47,0)</f>
        <v>3368.4654201530602</v>
      </c>
      <c r="U35" s="40">
        <f>Inputs!$D$70/12*MAX(U47,0)</f>
        <v>3059.1792937318182</v>
      </c>
      <c r="V35" s="40">
        <f>Inputs!$D$70/12*MAX(V47,0)</f>
        <v>2751.5588667217676</v>
      </c>
      <c r="W35" s="40">
        <f>Inputs!$D$70/12*MAX(W47,0)</f>
        <v>2445.6511564771145</v>
      </c>
      <c r="X35" s="40">
        <f>Inputs!$D$70/12*MAX(X47,0)</f>
        <v>16972.658292990825</v>
      </c>
      <c r="Y35" s="40">
        <f>Inputs!$D$70/12*MAX(Y47,0)</f>
        <v>16677.428885844311</v>
      </c>
      <c r="Z35" s="40">
        <f>Inputs!$D$70/12*MAX(Z47,0)</f>
        <v>16384.044827594491</v>
      </c>
      <c r="AA35" s="40">
        <f>Inputs!$D$70/12*MAX(AA47,0)</f>
        <v>16092.385495576973</v>
      </c>
      <c r="AB35" s="40">
        <f>Inputs!$D$70/12*MAX(AB47,0)</f>
        <v>15802.511855273999</v>
      </c>
      <c r="AC35" s="40">
        <f>Inputs!$D$70/12*MAX(AC47,0)</f>
        <v>15481.689828730581</v>
      </c>
      <c r="AD35" s="40">
        <f>Inputs!$D$70/12*MAX(AD47,0)</f>
        <v>15120.159933774721</v>
      </c>
      <c r="AE35" s="40">
        <f>Inputs!$D$70/12*MAX(AE47,0)</f>
        <v>14764.64794043079</v>
      </c>
      <c r="AF35" s="40">
        <f>Inputs!$D$70/12*MAX(AF47,0)</f>
        <v>14415.519974086483</v>
      </c>
      <c r="AG35" s="40">
        <f>Inputs!$D$70/12*MAX(AG47,0)</f>
        <v>14073.177650821443</v>
      </c>
      <c r="AH35" s="40">
        <f>Inputs!$D$70/12*MAX(AH47,0)</f>
        <v>13738.062546411826</v>
      </c>
      <c r="AI35" s="40">
        <f>Inputs!$D$70/12*MAX(AI47,0)</f>
        <v>13410.659275707294</v>
      </c>
      <c r="AJ35" s="40">
        <f>Inputs!$D$70/12*MAX(AJ47,0)</f>
        <v>13091.50072455402</v>
      </c>
      <c r="AK35" s="40">
        <f>Inputs!$D$70/12*MAX(AK47,0)</f>
        <v>12781.171969940362</v>
      </c>
      <c r="AL35" s="40">
        <f>Inputs!$D$70/12*MAX(AL47,0)</f>
        <v>12480.316438553751</v>
      </c>
      <c r="AM35" s="40">
        <f>Inputs!$D$70/12*MAX(AM47,0)</f>
        <v>12189.640848272344</v>
      </c>
      <c r="AN35" s="40">
        <f>Inputs!$D$70/12*MAX(AN47,0)</f>
        <v>11909.922492545718</v>
      </c>
      <c r="AO35" s="40">
        <f>Inputs!$D$70/12*MAX(AO47,0)</f>
        <v>11642.014984550888</v>
      </c>
      <c r="AP35" s="40">
        <f>Inputs!$D$70/12*MAX(AP47,0)</f>
        <v>11331.565134087579</v>
      </c>
      <c r="AQ35" s="40">
        <f>Inputs!$D$70/12*MAX(AQ47,0)</f>
        <v>11029.458323948964</v>
      </c>
      <c r="AR35" s="40">
        <f>Inputs!$D$70/12*MAX(AR47,0)</f>
        <v>10736.320787285336</v>
      </c>
      <c r="AS35" s="40">
        <f>Inputs!$D$70/12*MAX(AS47,0)</f>
        <v>10452.830882470882</v>
      </c>
      <c r="AT35" s="40">
        <f>Inputs!$D$70/12*MAX(AT47,0)</f>
        <v>10179.723907837892</v>
      </c>
      <c r="AU35" s="40">
        <f>Inputs!$D$70/12*MAX(AU47,0)</f>
        <v>9917.7973866701741</v>
      </c>
      <c r="AV35" s="40">
        <f>Inputs!$D$70/12*MAX(AV47,0)</f>
        <v>9667.9168696663346</v>
      </c>
      <c r="AW35" s="40">
        <f>Inputs!$D$70/12*MAX(AW47,0)</f>
        <v>9431.0223068864289</v>
      </c>
      <c r="AX35" s="40">
        <f>Inputs!$D$70/12*MAX(AX47,0)</f>
        <v>9208.1350464898205</v>
      </c>
      <c r="AY35" s="40">
        <f>Inputs!$D$70/12*MAX(AY47,0)</f>
        <v>9000.3655234087746</v>
      </c>
      <c r="AZ35" s="40">
        <f>Inputs!$D$70/12*MAX(AZ47,0)</f>
        <v>8808.9217075367906</v>
      </c>
      <c r="BA35" s="40">
        <f>Inputs!$D$70/12*MAX(BA47,0)</f>
        <v>8635.1183881045072</v>
      </c>
      <c r="BB35" s="40">
        <f>Inputs!$D$70/12*MAX(BB47,0)</f>
        <v>8460.9913949099773</v>
      </c>
      <c r="BC35" s="40">
        <f>Inputs!$D$70/12*MAX(BC47,0)</f>
        <v>8298.8798821186956</v>
      </c>
      <c r="BD35" s="40">
        <f>Inputs!$D$70/12*MAX(BD47,0)</f>
        <v>8149.2887614714609</v>
      </c>
      <c r="BE35" s="40">
        <f>Inputs!$D$70/12*MAX(BE47,0)</f>
        <v>8012.7434169309017</v>
      </c>
      <c r="BF35" s="40">
        <f>Inputs!$D$70/12*MAX(BF47,0)</f>
        <v>7889.7905428552385</v>
      </c>
      <c r="BG35" s="40">
        <f>Inputs!$D$70/12*MAX(BG47,0)</f>
        <v>7780.9990168602499</v>
      </c>
      <c r="BH35" s="40">
        <f>Inputs!$D$70/12*MAX(BH47,0)</f>
        <v>7686.960808819882</v>
      </c>
      <c r="BI35" s="40">
        <f>Inputs!$D$70/12*MAX(BI47,0)</f>
        <v>7608.2919275172299</v>
      </c>
      <c r="BJ35" s="40">
        <f>Inputs!$D$70/12*MAX(BJ47,0)</f>
        <v>7545.6334065214396</v>
      </c>
      <c r="BK35" s="40">
        <f>Inputs!$D$70/12*MAX(BK47,0)</f>
        <v>7499.6523309326612</v>
      </c>
      <c r="BL35" s="40">
        <f>Inputs!$D$70/12*MAX(BL47,0)</f>
        <v>7471.0429067065952</v>
      </c>
    </row>
    <row r="36" spans="2:64" x14ac:dyDescent="0.35">
      <c r="B36" s="3" t="s">
        <v>293</v>
      </c>
      <c r="C36" s="18" t="s">
        <v>111</v>
      </c>
      <c r="D36" s="20">
        <f>SUM(E36:BL36)</f>
        <v>-11029945.996081538</v>
      </c>
      <c r="E36" s="20">
        <f t="shared" ref="E36:AJ36" si="24">E34+E35</f>
        <v>-53384.447390003326</v>
      </c>
      <c r="F36" s="20">
        <f t="shared" si="24"/>
        <v>-59883.685449141005</v>
      </c>
      <c r="G36" s="20">
        <f t="shared" si="24"/>
        <v>-67650.466642355852</v>
      </c>
      <c r="H36" s="20">
        <f t="shared" si="24"/>
        <v>-105334.54683157426</v>
      </c>
      <c r="I36" s="20">
        <f t="shared" si="24"/>
        <v>-105235.30400143343</v>
      </c>
      <c r="J36" s="20">
        <f t="shared" si="24"/>
        <v>-96435.783948234122</v>
      </c>
      <c r="K36" s="20">
        <f t="shared" si="24"/>
        <v>-96634.381340206455</v>
      </c>
      <c r="L36" s="20">
        <f t="shared" si="24"/>
        <v>-172243.50408055974</v>
      </c>
      <c r="M36" s="20">
        <f t="shared" si="24"/>
        <v>-151250.07598380669</v>
      </c>
      <c r="N36" s="20">
        <f t="shared" si="24"/>
        <v>-203592.51661153886</v>
      </c>
      <c r="O36" s="20">
        <f t="shared" si="24"/>
        <v>-200913.77810131854</v>
      </c>
      <c r="P36" s="20">
        <f t="shared" si="24"/>
        <v>-208089.06601224077</v>
      </c>
      <c r="Q36" s="20">
        <f t="shared" si="24"/>
        <v>-284570.66845300875</v>
      </c>
      <c r="R36" s="20">
        <f t="shared" si="24"/>
        <v>-250265.58062553249</v>
      </c>
      <c r="S36" s="20">
        <f t="shared" si="24"/>
        <v>-249049.41396215252</v>
      </c>
      <c r="T36" s="20">
        <f t="shared" si="24"/>
        <v>-247776.12335921568</v>
      </c>
      <c r="U36" s="20">
        <f t="shared" si="24"/>
        <v>-246460.92494137364</v>
      </c>
      <c r="V36" s="20">
        <f t="shared" si="24"/>
        <v>-245108.112640167</v>
      </c>
      <c r="W36" s="20">
        <f t="shared" si="24"/>
        <v>-378793.59634458518</v>
      </c>
      <c r="X36" s="20">
        <f t="shared" si="24"/>
        <v>-236600.19238387825</v>
      </c>
      <c r="Y36" s="20">
        <f t="shared" si="24"/>
        <v>-235141.27437763501</v>
      </c>
      <c r="Z36" s="20">
        <f t="shared" si="24"/>
        <v>-233778.85450290295</v>
      </c>
      <c r="AA36" s="20">
        <f t="shared" si="24"/>
        <v>-232367.66224237959</v>
      </c>
      <c r="AB36" s="20">
        <f t="shared" si="24"/>
        <v>-257143.73234584471</v>
      </c>
      <c r="AC36" s="20">
        <f t="shared" si="24"/>
        <v>-290335.02707580029</v>
      </c>
      <c r="AD36" s="20">
        <f t="shared" si="24"/>
        <v>-285520.70578625472</v>
      </c>
      <c r="AE36" s="20">
        <f t="shared" si="24"/>
        <v>-280413.48418655706</v>
      </c>
      <c r="AF36" s="20">
        <f t="shared" si="24"/>
        <v>-274984.96972314332</v>
      </c>
      <c r="AG36" s="20">
        <f t="shared" si="24"/>
        <v>-269203.19463880459</v>
      </c>
      <c r="AH36" s="20">
        <f t="shared" si="24"/>
        <v>-263033.727674736</v>
      </c>
      <c r="AI36" s="20">
        <f t="shared" si="24"/>
        <v>-256437.95203372921</v>
      </c>
      <c r="AJ36" s="20">
        <f t="shared" si="24"/>
        <v>-249374.11480203786</v>
      </c>
      <c r="AK36" s="20">
        <f t="shared" ref="AK36:BP36" si="25">AK34+AK35</f>
        <v>-241795.53622040057</v>
      </c>
      <c r="AL36" s="20">
        <f t="shared" si="25"/>
        <v>-233651.58333623788</v>
      </c>
      <c r="AM36" s="20">
        <f t="shared" si="25"/>
        <v>-224885.79569241157</v>
      </c>
      <c r="AN36" s="20">
        <f t="shared" si="25"/>
        <v>-215437.11750697476</v>
      </c>
      <c r="AO36" s="20">
        <f t="shared" si="25"/>
        <v>-249395.76000027554</v>
      </c>
      <c r="AP36" s="20">
        <f t="shared" si="25"/>
        <v>-242646.09625904227</v>
      </c>
      <c r="AQ36" s="20">
        <f t="shared" si="25"/>
        <v>-235395.44599756831</v>
      </c>
      <c r="AR36" s="20">
        <f t="shared" si="25"/>
        <v>-227602.109036749</v>
      </c>
      <c r="AS36" s="20">
        <f t="shared" si="25"/>
        <v>-219220.5334100952</v>
      </c>
      <c r="AT36" s="20">
        <f t="shared" si="25"/>
        <v>-210200.93915639754</v>
      </c>
      <c r="AU36" s="20">
        <f t="shared" si="25"/>
        <v>-200488.90434381188</v>
      </c>
      <c r="AV36" s="20">
        <f t="shared" si="25"/>
        <v>-190024.90948318309</v>
      </c>
      <c r="AW36" s="20">
        <f t="shared" si="25"/>
        <v>-178743.83609506435</v>
      </c>
      <c r="AX36" s="20">
        <f t="shared" si="25"/>
        <v>-166574.41476113372</v>
      </c>
      <c r="AY36" s="20">
        <f t="shared" si="25"/>
        <v>-153438.61751240111</v>
      </c>
      <c r="AZ36" s="20">
        <f t="shared" si="25"/>
        <v>-139250.98887915997</v>
      </c>
      <c r="BA36" s="20">
        <f t="shared" si="25"/>
        <v>-136859.46492599553</v>
      </c>
      <c r="BB36" s="20">
        <f t="shared" si="25"/>
        <v>-127304.95097376642</v>
      </c>
      <c r="BC36" s="20">
        <f t="shared" si="25"/>
        <v>-117346.50762889779</v>
      </c>
      <c r="BD36" s="20">
        <f t="shared" si="25"/>
        <v>-106967.75711392904</v>
      </c>
      <c r="BE36" s="20">
        <f t="shared" si="25"/>
        <v>-96151.651112382286</v>
      </c>
      <c r="BF36" s="20">
        <f t="shared" si="25"/>
        <v>-84880.443018213453</v>
      </c>
      <c r="BG36" s="20">
        <f t="shared" si="25"/>
        <v>-73135.659024887093</v>
      </c>
      <c r="BH36" s="20">
        <f t="shared" si="25"/>
        <v>-60898.068005084708</v>
      </c>
      <c r="BI36" s="20">
        <f t="shared" si="25"/>
        <v>-48147.650129965667</v>
      </c>
      <c r="BJ36" s="20">
        <f t="shared" si="25"/>
        <v>-34863.564174725849</v>
      </c>
      <c r="BK36" s="20">
        <f t="shared" si="25"/>
        <v>-21024.113454927541</v>
      </c>
      <c r="BL36" s="20">
        <f t="shared" si="25"/>
        <v>-6606.7103357060923</v>
      </c>
    </row>
    <row r="37" spans="2:64" x14ac:dyDescent="0.35">
      <c r="B37" s="3" t="s">
        <v>426</v>
      </c>
      <c r="C37" s="18" t="s">
        <v>111</v>
      </c>
      <c r="D37" s="20">
        <f>SUM(E37:BL37)</f>
        <v>-11029945.99608154</v>
      </c>
      <c r="E37" s="20">
        <f>IF(E$7=12,SUM(E36:E36),0)</f>
        <v>0</v>
      </c>
      <c r="F37" s="20">
        <f>IF(F$7=12,SUM(E36:F36),0)</f>
        <v>0</v>
      </c>
      <c r="G37" s="20">
        <f>IF(G$7=12,SUM(E36:G36),0)</f>
        <v>0</v>
      </c>
      <c r="H37" s="20">
        <f>IF(H$7=12,SUM(E36:H36),0)</f>
        <v>0</v>
      </c>
      <c r="I37" s="20">
        <f>IF(I$7=12,SUM(E36:I36),0)</f>
        <v>0</v>
      </c>
      <c r="J37" s="20">
        <f>IF(J$7=12,SUM(E36:J36),0)</f>
        <v>0</v>
      </c>
      <c r="K37" s="20">
        <f>IF(K$7=12,SUM(E36:K36),0)</f>
        <v>0</v>
      </c>
      <c r="L37" s="20">
        <f>IF(L$7=12,SUM(E36:L36),0)</f>
        <v>0</v>
      </c>
      <c r="M37" s="20">
        <f>IF(M$7=12,SUM(E36:M36),0)</f>
        <v>0</v>
      </c>
      <c r="N37" s="20">
        <f>IF(N$7=12,SUM(E36:N36),0)</f>
        <v>0</v>
      </c>
      <c r="O37" s="20">
        <f>IF(O$7=12,SUM(E36:O36),0)</f>
        <v>0</v>
      </c>
      <c r="P37" s="20">
        <f>IF(P$7=12,SUM(E36:P36),0)</f>
        <v>-1520647.5563924129</v>
      </c>
      <c r="Q37" s="20">
        <f>IF(Q$7=12,SUM(Q36:Q36),0)</f>
        <v>0</v>
      </c>
      <c r="R37" s="20">
        <f>IF(R$7=12,SUM(Q36:R36),0)</f>
        <v>0</v>
      </c>
      <c r="S37" s="20">
        <f>IF(S$7=12,SUM(Q36:S36),0)</f>
        <v>0</v>
      </c>
      <c r="T37" s="20">
        <f>IF(T$7=12,SUM(Q36:T36),0)</f>
        <v>0</v>
      </c>
      <c r="U37" s="20">
        <f>IF(U$7=12,SUM(Q36:U36),0)</f>
        <v>0</v>
      </c>
      <c r="V37" s="20">
        <f>IF(V$7=12,SUM(Q36:V36),0)</f>
        <v>0</v>
      </c>
      <c r="W37" s="20">
        <f>IF(W$7=12,SUM(Q36:W36),0)</f>
        <v>0</v>
      </c>
      <c r="X37" s="20">
        <f>IF(X$7=12,SUM(Q36:X36),0)</f>
        <v>0</v>
      </c>
      <c r="Y37" s="20">
        <f>IF(Y$7=12,SUM(Q36:Y36),0)</f>
        <v>0</v>
      </c>
      <c r="Z37" s="20">
        <f>IF(Z$7=12,SUM(Q36:Z36),0)</f>
        <v>0</v>
      </c>
      <c r="AA37" s="20">
        <f>IF(AA$7=12,SUM(Q36:AA36),0)</f>
        <v>0</v>
      </c>
      <c r="AB37" s="20">
        <f>IF(AB$7=12,SUM(Q36:AB36),0)</f>
        <v>-3097056.136178676</v>
      </c>
      <c r="AC37" s="20">
        <f>IF(AC$7=12,SUM(AC36:AC36),0)</f>
        <v>0</v>
      </c>
      <c r="AD37" s="20">
        <f>IF(AD$7=12,SUM(AC36:AD36),0)</f>
        <v>0</v>
      </c>
      <c r="AE37" s="20">
        <f>IF(AE$7=12,SUM(AC36:AE36),0)</f>
        <v>0</v>
      </c>
      <c r="AF37" s="20">
        <f>IF(AF$7=12,SUM(AC36:AF36),0)</f>
        <v>0</v>
      </c>
      <c r="AG37" s="20">
        <f>IF(AG$7=12,SUM(AC36:AG36),0)</f>
        <v>0</v>
      </c>
      <c r="AH37" s="20">
        <f>IF(AH$7=12,SUM(AC36:AH36),0)</f>
        <v>0</v>
      </c>
      <c r="AI37" s="20">
        <f>IF(AI$7=12,SUM(AC36:AI36),0)</f>
        <v>0</v>
      </c>
      <c r="AJ37" s="20">
        <f>IF(AJ$7=12,SUM(AC36:AJ36),0)</f>
        <v>0</v>
      </c>
      <c r="AK37" s="20">
        <f>IF(AK$7=12,SUM(AC36:AK36),0)</f>
        <v>0</v>
      </c>
      <c r="AL37" s="20">
        <f>IF(AL$7=12,SUM(AC36:AL36),0)</f>
        <v>0</v>
      </c>
      <c r="AM37" s="20">
        <f>IF(AM$7=12,SUM(AC36:AM36),0)</f>
        <v>0</v>
      </c>
      <c r="AN37" s="20">
        <f>IF(AN$7=12,SUM(AC36:AN36),0)</f>
        <v>-3085073.2086770884</v>
      </c>
      <c r="AO37" s="20">
        <f>IF(AO$7=12,SUM(AO36:AO36),0)</f>
        <v>0</v>
      </c>
      <c r="AP37" s="20">
        <f>IF(AP$7=12,SUM(AO36:AP36),0)</f>
        <v>0</v>
      </c>
      <c r="AQ37" s="20">
        <f>IF(AQ$7=12,SUM(AO36:AQ36),0)</f>
        <v>0</v>
      </c>
      <c r="AR37" s="20">
        <f>IF(AR$7=12,SUM(AO36:AR36),0)</f>
        <v>0</v>
      </c>
      <c r="AS37" s="20">
        <f>IF(AS$7=12,SUM(AO36:AS36),0)</f>
        <v>0</v>
      </c>
      <c r="AT37" s="20">
        <f>IF(AT$7=12,SUM(AO36:AT36),0)</f>
        <v>0</v>
      </c>
      <c r="AU37" s="20">
        <f>IF(AU$7=12,SUM(AO36:AU36),0)</f>
        <v>0</v>
      </c>
      <c r="AV37" s="20">
        <f>IF(AV$7=12,SUM(AO36:AV36),0)</f>
        <v>0</v>
      </c>
      <c r="AW37" s="20">
        <f>IF(AW$7=12,SUM(AO36:AW36),0)</f>
        <v>0</v>
      </c>
      <c r="AX37" s="20">
        <f>IF(AX$7=12,SUM(AO36:AX36),0)</f>
        <v>0</v>
      </c>
      <c r="AY37" s="20">
        <f>IF(AY$7=12,SUM(AO36:AY36),0)</f>
        <v>0</v>
      </c>
      <c r="AZ37" s="20">
        <f>IF(AZ$7=12,SUM(AO36:AZ36),0)</f>
        <v>-2412982.5549348821</v>
      </c>
      <c r="BA37" s="20">
        <f>IF(BA$7=12,SUM(BA36:BA36),0)</f>
        <v>0</v>
      </c>
      <c r="BB37" s="20">
        <f>IF(BB$7=12,SUM(BA36:BB36),0)</f>
        <v>0</v>
      </c>
      <c r="BC37" s="20">
        <f>IF(BC$7=12,SUM(BA36:BC36),0)</f>
        <v>0</v>
      </c>
      <c r="BD37" s="20">
        <f>IF(BD$7=12,SUM(BA36:BD36),0)</f>
        <v>0</v>
      </c>
      <c r="BE37" s="20">
        <f>IF(BE$7=12,SUM(BA36:BE36),0)</f>
        <v>0</v>
      </c>
      <c r="BF37" s="20">
        <f>IF(BF$7=12,SUM(BA36:BF36),0)</f>
        <v>0</v>
      </c>
      <c r="BG37" s="20">
        <f>IF(BG$7=12,SUM(BA36:BG36),0)</f>
        <v>0</v>
      </c>
      <c r="BH37" s="20">
        <f>IF(BH$7=12,SUM(BA36:BH36),0)</f>
        <v>0</v>
      </c>
      <c r="BI37" s="20">
        <f>IF(BI$7=12,SUM(BA36:BI36),0)</f>
        <v>0</v>
      </c>
      <c r="BJ37" s="20">
        <f>IF(BJ$7=12,SUM(BA36:BJ36),0)</f>
        <v>0</v>
      </c>
      <c r="BK37" s="20">
        <f>IF(BK$7=12,SUM(BA36:BK36),0)</f>
        <v>0</v>
      </c>
      <c r="BL37" s="20">
        <f>IF(BL$7=12,SUM(BA36:BL36),0)</f>
        <v>-914186.53989848157</v>
      </c>
    </row>
    <row r="38" spans="2:64" x14ac:dyDescent="0.35">
      <c r="B38" s="3" t="s">
        <v>427</v>
      </c>
      <c r="C38" s="18" t="s">
        <v>111</v>
      </c>
      <c r="D38" s="20">
        <f>BL38</f>
        <v>11029945.99608154</v>
      </c>
      <c r="E38" s="20">
        <f>IF(E$7=12,MAX(0,0-MAX(0,E37))+MAX(0,-E37),0)</f>
        <v>0</v>
      </c>
      <c r="F38" s="20">
        <f t="shared" ref="F38:AK38" si="26">IF(F$7=12,MAX(0,E38-MAX(0,F37))+MAX(0,-F37),E38)</f>
        <v>0</v>
      </c>
      <c r="G38" s="20">
        <f t="shared" si="26"/>
        <v>0</v>
      </c>
      <c r="H38" s="20">
        <f t="shared" si="26"/>
        <v>0</v>
      </c>
      <c r="I38" s="20">
        <f t="shared" si="26"/>
        <v>0</v>
      </c>
      <c r="J38" s="20">
        <f t="shared" si="26"/>
        <v>0</v>
      </c>
      <c r="K38" s="20">
        <f t="shared" si="26"/>
        <v>0</v>
      </c>
      <c r="L38" s="20">
        <f t="shared" si="26"/>
        <v>0</v>
      </c>
      <c r="M38" s="20">
        <f t="shared" si="26"/>
        <v>0</v>
      </c>
      <c r="N38" s="20">
        <f t="shared" si="26"/>
        <v>0</v>
      </c>
      <c r="O38" s="20">
        <f t="shared" si="26"/>
        <v>0</v>
      </c>
      <c r="P38" s="20">
        <f t="shared" si="26"/>
        <v>1520647.5563924129</v>
      </c>
      <c r="Q38" s="20">
        <f t="shared" si="26"/>
        <v>1520647.5563924129</v>
      </c>
      <c r="R38" s="20">
        <f t="shared" si="26"/>
        <v>1520647.5563924129</v>
      </c>
      <c r="S38" s="20">
        <f t="shared" si="26"/>
        <v>1520647.5563924129</v>
      </c>
      <c r="T38" s="20">
        <f t="shared" si="26"/>
        <v>1520647.5563924129</v>
      </c>
      <c r="U38" s="20">
        <f t="shared" si="26"/>
        <v>1520647.5563924129</v>
      </c>
      <c r="V38" s="20">
        <f t="shared" si="26"/>
        <v>1520647.5563924129</v>
      </c>
      <c r="W38" s="20">
        <f t="shared" si="26"/>
        <v>1520647.5563924129</v>
      </c>
      <c r="X38" s="20">
        <f t="shared" si="26"/>
        <v>1520647.5563924129</v>
      </c>
      <c r="Y38" s="20">
        <f t="shared" si="26"/>
        <v>1520647.5563924129</v>
      </c>
      <c r="Z38" s="20">
        <f t="shared" si="26"/>
        <v>1520647.5563924129</v>
      </c>
      <c r="AA38" s="20">
        <f t="shared" si="26"/>
        <v>1520647.5563924129</v>
      </c>
      <c r="AB38" s="20">
        <f t="shared" si="26"/>
        <v>4617703.6925710887</v>
      </c>
      <c r="AC38" s="20">
        <f t="shared" si="26"/>
        <v>4617703.6925710887</v>
      </c>
      <c r="AD38" s="20">
        <f t="shared" si="26"/>
        <v>4617703.6925710887</v>
      </c>
      <c r="AE38" s="20">
        <f t="shared" si="26"/>
        <v>4617703.6925710887</v>
      </c>
      <c r="AF38" s="20">
        <f t="shared" si="26"/>
        <v>4617703.6925710887</v>
      </c>
      <c r="AG38" s="20">
        <f t="shared" si="26"/>
        <v>4617703.6925710887</v>
      </c>
      <c r="AH38" s="20">
        <f t="shared" si="26"/>
        <v>4617703.6925710887</v>
      </c>
      <c r="AI38" s="20">
        <f t="shared" si="26"/>
        <v>4617703.6925710887</v>
      </c>
      <c r="AJ38" s="20">
        <f t="shared" si="26"/>
        <v>4617703.6925710887</v>
      </c>
      <c r="AK38" s="20">
        <f t="shared" si="26"/>
        <v>4617703.6925710887</v>
      </c>
      <c r="AL38" s="20">
        <f t="shared" ref="AL38:BQ38" si="27">IF(AL$7=12,MAX(0,AK38-MAX(0,AL37))+MAX(0,-AL37),AK38)</f>
        <v>4617703.6925710887</v>
      </c>
      <c r="AM38" s="20">
        <f t="shared" si="27"/>
        <v>4617703.6925710887</v>
      </c>
      <c r="AN38" s="20">
        <f t="shared" si="27"/>
        <v>7702776.9012481775</v>
      </c>
      <c r="AO38" s="20">
        <f t="shared" si="27"/>
        <v>7702776.9012481775</v>
      </c>
      <c r="AP38" s="20">
        <f t="shared" si="27"/>
        <v>7702776.9012481775</v>
      </c>
      <c r="AQ38" s="20">
        <f t="shared" si="27"/>
        <v>7702776.9012481775</v>
      </c>
      <c r="AR38" s="20">
        <f t="shared" si="27"/>
        <v>7702776.9012481775</v>
      </c>
      <c r="AS38" s="20">
        <f t="shared" si="27"/>
        <v>7702776.9012481775</v>
      </c>
      <c r="AT38" s="20">
        <f t="shared" si="27"/>
        <v>7702776.9012481775</v>
      </c>
      <c r="AU38" s="20">
        <f t="shared" si="27"/>
        <v>7702776.9012481775</v>
      </c>
      <c r="AV38" s="20">
        <f t="shared" si="27"/>
        <v>7702776.9012481775</v>
      </c>
      <c r="AW38" s="20">
        <f t="shared" si="27"/>
        <v>7702776.9012481775</v>
      </c>
      <c r="AX38" s="20">
        <f t="shared" si="27"/>
        <v>7702776.9012481775</v>
      </c>
      <c r="AY38" s="20">
        <f t="shared" si="27"/>
        <v>7702776.9012481775</v>
      </c>
      <c r="AZ38" s="20">
        <f t="shared" si="27"/>
        <v>10115759.456183059</v>
      </c>
      <c r="BA38" s="20">
        <f t="shared" si="27"/>
        <v>10115759.456183059</v>
      </c>
      <c r="BB38" s="20">
        <f t="shared" si="27"/>
        <v>10115759.456183059</v>
      </c>
      <c r="BC38" s="20">
        <f t="shared" si="27"/>
        <v>10115759.456183059</v>
      </c>
      <c r="BD38" s="20">
        <f t="shared" si="27"/>
        <v>10115759.456183059</v>
      </c>
      <c r="BE38" s="20">
        <f t="shared" si="27"/>
        <v>10115759.456183059</v>
      </c>
      <c r="BF38" s="20">
        <f t="shared" si="27"/>
        <v>10115759.456183059</v>
      </c>
      <c r="BG38" s="20">
        <f t="shared" si="27"/>
        <v>10115759.456183059</v>
      </c>
      <c r="BH38" s="20">
        <f t="shared" si="27"/>
        <v>10115759.456183059</v>
      </c>
      <c r="BI38" s="20">
        <f t="shared" si="27"/>
        <v>10115759.456183059</v>
      </c>
      <c r="BJ38" s="20">
        <f t="shared" si="27"/>
        <v>10115759.456183059</v>
      </c>
      <c r="BK38" s="20">
        <f t="shared" si="27"/>
        <v>10115759.456183059</v>
      </c>
      <c r="BL38" s="20">
        <f t="shared" si="27"/>
        <v>11029945.99608154</v>
      </c>
    </row>
    <row r="39" spans="2:64" x14ac:dyDescent="0.35">
      <c r="B39" s="3" t="s">
        <v>428</v>
      </c>
      <c r="C39" s="18" t="s">
        <v>111</v>
      </c>
      <c r="D39" s="20">
        <f>SUM(E39:BL39)</f>
        <v>0</v>
      </c>
      <c r="E39" s="20">
        <f>IF(E$7=12,MAX(0,E37-0),0)</f>
        <v>0</v>
      </c>
      <c r="F39" s="20">
        <f t="shared" ref="F39:AK39" si="28">IF(F$7=12,MAX(0,F37-E38),0)</f>
        <v>0</v>
      </c>
      <c r="G39" s="20">
        <f t="shared" si="28"/>
        <v>0</v>
      </c>
      <c r="H39" s="20">
        <f t="shared" si="28"/>
        <v>0</v>
      </c>
      <c r="I39" s="20">
        <f t="shared" si="28"/>
        <v>0</v>
      </c>
      <c r="J39" s="20">
        <f t="shared" si="28"/>
        <v>0</v>
      </c>
      <c r="K39" s="20">
        <f t="shared" si="28"/>
        <v>0</v>
      </c>
      <c r="L39" s="20">
        <f t="shared" si="28"/>
        <v>0</v>
      </c>
      <c r="M39" s="20">
        <f t="shared" si="28"/>
        <v>0</v>
      </c>
      <c r="N39" s="20">
        <f t="shared" si="28"/>
        <v>0</v>
      </c>
      <c r="O39" s="20">
        <f t="shared" si="28"/>
        <v>0</v>
      </c>
      <c r="P39" s="20">
        <f t="shared" si="28"/>
        <v>0</v>
      </c>
      <c r="Q39" s="20">
        <f t="shared" si="28"/>
        <v>0</v>
      </c>
      <c r="R39" s="20">
        <f t="shared" si="28"/>
        <v>0</v>
      </c>
      <c r="S39" s="20">
        <f t="shared" si="28"/>
        <v>0</v>
      </c>
      <c r="T39" s="20">
        <f t="shared" si="28"/>
        <v>0</v>
      </c>
      <c r="U39" s="20">
        <f t="shared" si="28"/>
        <v>0</v>
      </c>
      <c r="V39" s="20">
        <f t="shared" si="28"/>
        <v>0</v>
      </c>
      <c r="W39" s="20">
        <f t="shared" si="28"/>
        <v>0</v>
      </c>
      <c r="X39" s="20">
        <f t="shared" si="28"/>
        <v>0</v>
      </c>
      <c r="Y39" s="20">
        <f t="shared" si="28"/>
        <v>0</v>
      </c>
      <c r="Z39" s="20">
        <f t="shared" si="28"/>
        <v>0</v>
      </c>
      <c r="AA39" s="20">
        <f t="shared" si="28"/>
        <v>0</v>
      </c>
      <c r="AB39" s="20">
        <f t="shared" si="28"/>
        <v>0</v>
      </c>
      <c r="AC39" s="20">
        <f t="shared" si="28"/>
        <v>0</v>
      </c>
      <c r="AD39" s="20">
        <f t="shared" si="28"/>
        <v>0</v>
      </c>
      <c r="AE39" s="20">
        <f t="shared" si="28"/>
        <v>0</v>
      </c>
      <c r="AF39" s="20">
        <f t="shared" si="28"/>
        <v>0</v>
      </c>
      <c r="AG39" s="20">
        <f t="shared" si="28"/>
        <v>0</v>
      </c>
      <c r="AH39" s="20">
        <f t="shared" si="28"/>
        <v>0</v>
      </c>
      <c r="AI39" s="20">
        <f t="shared" si="28"/>
        <v>0</v>
      </c>
      <c r="AJ39" s="20">
        <f t="shared" si="28"/>
        <v>0</v>
      </c>
      <c r="AK39" s="20">
        <f t="shared" si="28"/>
        <v>0</v>
      </c>
      <c r="AL39" s="20">
        <f t="shared" ref="AL39:BL39" si="29">IF(AL$7=12,MAX(0,AL37-AK38),0)</f>
        <v>0</v>
      </c>
      <c r="AM39" s="20">
        <f t="shared" si="29"/>
        <v>0</v>
      </c>
      <c r="AN39" s="20">
        <f t="shared" si="29"/>
        <v>0</v>
      </c>
      <c r="AO39" s="20">
        <f t="shared" si="29"/>
        <v>0</v>
      </c>
      <c r="AP39" s="20">
        <f t="shared" si="29"/>
        <v>0</v>
      </c>
      <c r="AQ39" s="20">
        <f t="shared" si="29"/>
        <v>0</v>
      </c>
      <c r="AR39" s="20">
        <f t="shared" si="29"/>
        <v>0</v>
      </c>
      <c r="AS39" s="20">
        <f t="shared" si="29"/>
        <v>0</v>
      </c>
      <c r="AT39" s="20">
        <f t="shared" si="29"/>
        <v>0</v>
      </c>
      <c r="AU39" s="20">
        <f t="shared" si="29"/>
        <v>0</v>
      </c>
      <c r="AV39" s="20">
        <f t="shared" si="29"/>
        <v>0</v>
      </c>
      <c r="AW39" s="20">
        <f t="shared" si="29"/>
        <v>0</v>
      </c>
      <c r="AX39" s="20">
        <f t="shared" si="29"/>
        <v>0</v>
      </c>
      <c r="AY39" s="20">
        <f t="shared" si="29"/>
        <v>0</v>
      </c>
      <c r="AZ39" s="20">
        <f t="shared" si="29"/>
        <v>0</v>
      </c>
      <c r="BA39" s="20">
        <f t="shared" si="29"/>
        <v>0</v>
      </c>
      <c r="BB39" s="20">
        <f t="shared" si="29"/>
        <v>0</v>
      </c>
      <c r="BC39" s="20">
        <f t="shared" si="29"/>
        <v>0</v>
      </c>
      <c r="BD39" s="20">
        <f t="shared" si="29"/>
        <v>0</v>
      </c>
      <c r="BE39" s="20">
        <f t="shared" si="29"/>
        <v>0</v>
      </c>
      <c r="BF39" s="20">
        <f t="shared" si="29"/>
        <v>0</v>
      </c>
      <c r="BG39" s="20">
        <f t="shared" si="29"/>
        <v>0</v>
      </c>
      <c r="BH39" s="20">
        <f t="shared" si="29"/>
        <v>0</v>
      </c>
      <c r="BI39" s="20">
        <f t="shared" si="29"/>
        <v>0</v>
      </c>
      <c r="BJ39" s="20">
        <f t="shared" si="29"/>
        <v>0</v>
      </c>
      <c r="BK39" s="20">
        <f t="shared" si="29"/>
        <v>0</v>
      </c>
      <c r="BL39" s="20">
        <f t="shared" si="29"/>
        <v>0</v>
      </c>
    </row>
    <row r="40" spans="2:64" x14ac:dyDescent="0.35">
      <c r="B40" s="3" t="s">
        <v>294</v>
      </c>
      <c r="C40" s="18" t="s">
        <v>111</v>
      </c>
      <c r="D40" s="20">
        <f>SUM(E40:BL40)</f>
        <v>0</v>
      </c>
      <c r="E40" s="40">
        <f>Inputs!$D$71*E39</f>
        <v>0</v>
      </c>
      <c r="F40" s="40">
        <f>Inputs!$D$71*F39</f>
        <v>0</v>
      </c>
      <c r="G40" s="40">
        <f>Inputs!$D$71*G39</f>
        <v>0</v>
      </c>
      <c r="H40" s="40">
        <f>Inputs!$D$71*H39</f>
        <v>0</v>
      </c>
      <c r="I40" s="40">
        <f>Inputs!$D$71*I39</f>
        <v>0</v>
      </c>
      <c r="J40" s="40">
        <f>Inputs!$D$71*J39</f>
        <v>0</v>
      </c>
      <c r="K40" s="40">
        <f>Inputs!$D$71*K39</f>
        <v>0</v>
      </c>
      <c r="L40" s="40">
        <f>Inputs!$D$71*L39</f>
        <v>0</v>
      </c>
      <c r="M40" s="40">
        <f>Inputs!$D$71*M39</f>
        <v>0</v>
      </c>
      <c r="N40" s="40">
        <f>Inputs!$D$71*N39</f>
        <v>0</v>
      </c>
      <c r="O40" s="40">
        <f>Inputs!$D$71*O39</f>
        <v>0</v>
      </c>
      <c r="P40" s="40">
        <f>Inputs!$D$71*P39</f>
        <v>0</v>
      </c>
      <c r="Q40" s="40">
        <f>Inputs!$D$71*Q39</f>
        <v>0</v>
      </c>
      <c r="R40" s="40">
        <f>Inputs!$D$71*R39</f>
        <v>0</v>
      </c>
      <c r="S40" s="40">
        <f>Inputs!$D$71*S39</f>
        <v>0</v>
      </c>
      <c r="T40" s="40">
        <f>Inputs!$D$71*T39</f>
        <v>0</v>
      </c>
      <c r="U40" s="40">
        <f>Inputs!$D$71*U39</f>
        <v>0</v>
      </c>
      <c r="V40" s="40">
        <f>Inputs!$D$71*V39</f>
        <v>0</v>
      </c>
      <c r="W40" s="40">
        <f>Inputs!$D$71*W39</f>
        <v>0</v>
      </c>
      <c r="X40" s="40">
        <f>Inputs!$D$71*X39</f>
        <v>0</v>
      </c>
      <c r="Y40" s="40">
        <f>Inputs!$D$71*Y39</f>
        <v>0</v>
      </c>
      <c r="Z40" s="40">
        <f>Inputs!$D$71*Z39</f>
        <v>0</v>
      </c>
      <c r="AA40" s="40">
        <f>Inputs!$D$71*AA39</f>
        <v>0</v>
      </c>
      <c r="AB40" s="40">
        <f>Inputs!$D$71*AB39</f>
        <v>0</v>
      </c>
      <c r="AC40" s="40">
        <f>Inputs!$D$71*AC39</f>
        <v>0</v>
      </c>
      <c r="AD40" s="40">
        <f>Inputs!$D$71*AD39</f>
        <v>0</v>
      </c>
      <c r="AE40" s="40">
        <f>Inputs!$D$71*AE39</f>
        <v>0</v>
      </c>
      <c r="AF40" s="40">
        <f>Inputs!$D$71*AF39</f>
        <v>0</v>
      </c>
      <c r="AG40" s="40">
        <f>Inputs!$D$71*AG39</f>
        <v>0</v>
      </c>
      <c r="AH40" s="40">
        <f>Inputs!$D$71*AH39</f>
        <v>0</v>
      </c>
      <c r="AI40" s="40">
        <f>Inputs!$D$71*AI39</f>
        <v>0</v>
      </c>
      <c r="AJ40" s="40">
        <f>Inputs!$D$71*AJ39</f>
        <v>0</v>
      </c>
      <c r="AK40" s="40">
        <f>Inputs!$D$71*AK39</f>
        <v>0</v>
      </c>
      <c r="AL40" s="40">
        <f>Inputs!$D$71*AL39</f>
        <v>0</v>
      </c>
      <c r="AM40" s="40">
        <f>Inputs!$D$71*AM39</f>
        <v>0</v>
      </c>
      <c r="AN40" s="40">
        <f>Inputs!$D$71*AN39</f>
        <v>0</v>
      </c>
      <c r="AO40" s="40">
        <f>Inputs!$D$71*AO39</f>
        <v>0</v>
      </c>
      <c r="AP40" s="40">
        <f>Inputs!$D$71*AP39</f>
        <v>0</v>
      </c>
      <c r="AQ40" s="40">
        <f>Inputs!$D$71*AQ39</f>
        <v>0</v>
      </c>
      <c r="AR40" s="40">
        <f>Inputs!$D$71*AR39</f>
        <v>0</v>
      </c>
      <c r="AS40" s="40">
        <f>Inputs!$D$71*AS39</f>
        <v>0</v>
      </c>
      <c r="AT40" s="40">
        <f>Inputs!$D$71*AT39</f>
        <v>0</v>
      </c>
      <c r="AU40" s="40">
        <f>Inputs!$D$71*AU39</f>
        <v>0</v>
      </c>
      <c r="AV40" s="40">
        <f>Inputs!$D$71*AV39</f>
        <v>0</v>
      </c>
      <c r="AW40" s="40">
        <f>Inputs!$D$71*AW39</f>
        <v>0</v>
      </c>
      <c r="AX40" s="40">
        <f>Inputs!$D$71*AX39</f>
        <v>0</v>
      </c>
      <c r="AY40" s="40">
        <f>Inputs!$D$71*AY39</f>
        <v>0</v>
      </c>
      <c r="AZ40" s="40">
        <f>Inputs!$D$71*AZ39</f>
        <v>0</v>
      </c>
      <c r="BA40" s="40">
        <f>Inputs!$D$71*BA39</f>
        <v>0</v>
      </c>
      <c r="BB40" s="40">
        <f>Inputs!$D$71*BB39</f>
        <v>0</v>
      </c>
      <c r="BC40" s="40">
        <f>Inputs!$D$71*BC39</f>
        <v>0</v>
      </c>
      <c r="BD40" s="40">
        <f>Inputs!$D$71*BD39</f>
        <v>0</v>
      </c>
      <c r="BE40" s="40">
        <f>Inputs!$D$71*BE39</f>
        <v>0</v>
      </c>
      <c r="BF40" s="40">
        <f>Inputs!$D$71*BF39</f>
        <v>0</v>
      </c>
      <c r="BG40" s="40">
        <f>Inputs!$D$71*BG39</f>
        <v>0</v>
      </c>
      <c r="BH40" s="40">
        <f>Inputs!$D$71*BH39</f>
        <v>0</v>
      </c>
      <c r="BI40" s="40">
        <f>Inputs!$D$71*BI39</f>
        <v>0</v>
      </c>
      <c r="BJ40" s="40">
        <f>Inputs!$D$71*BJ39</f>
        <v>0</v>
      </c>
      <c r="BK40" s="40">
        <f>Inputs!$D$71*BK39</f>
        <v>0</v>
      </c>
      <c r="BL40" s="40">
        <f>Inputs!$D$71*BL39</f>
        <v>0</v>
      </c>
    </row>
    <row r="41" spans="2:64" x14ac:dyDescent="0.35">
      <c r="B41" s="4" t="s">
        <v>295</v>
      </c>
      <c r="C41" s="18" t="s">
        <v>111</v>
      </c>
      <c r="D41" s="56">
        <f>SUM(E41:BL41)</f>
        <v>-11029945.996081538</v>
      </c>
      <c r="E41" s="56">
        <f t="shared" ref="E41:AJ41" si="30">E36-E40</f>
        <v>-53384.447390003326</v>
      </c>
      <c r="F41" s="56">
        <f t="shared" si="30"/>
        <v>-59883.685449141005</v>
      </c>
      <c r="G41" s="56">
        <f t="shared" si="30"/>
        <v>-67650.466642355852</v>
      </c>
      <c r="H41" s="56">
        <f t="shared" si="30"/>
        <v>-105334.54683157426</v>
      </c>
      <c r="I41" s="56">
        <f t="shared" si="30"/>
        <v>-105235.30400143343</v>
      </c>
      <c r="J41" s="56">
        <f t="shared" si="30"/>
        <v>-96435.783948234122</v>
      </c>
      <c r="K41" s="56">
        <f t="shared" si="30"/>
        <v>-96634.381340206455</v>
      </c>
      <c r="L41" s="56">
        <f t="shared" si="30"/>
        <v>-172243.50408055974</v>
      </c>
      <c r="M41" s="56">
        <f t="shared" si="30"/>
        <v>-151250.07598380669</v>
      </c>
      <c r="N41" s="56">
        <f t="shared" si="30"/>
        <v>-203592.51661153886</v>
      </c>
      <c r="O41" s="56">
        <f t="shared" si="30"/>
        <v>-200913.77810131854</v>
      </c>
      <c r="P41" s="56">
        <f t="shared" si="30"/>
        <v>-208089.06601224077</v>
      </c>
      <c r="Q41" s="56">
        <f t="shared" si="30"/>
        <v>-284570.66845300875</v>
      </c>
      <c r="R41" s="56">
        <f t="shared" si="30"/>
        <v>-250265.58062553249</v>
      </c>
      <c r="S41" s="56">
        <f t="shared" si="30"/>
        <v>-249049.41396215252</v>
      </c>
      <c r="T41" s="56">
        <f t="shared" si="30"/>
        <v>-247776.12335921568</v>
      </c>
      <c r="U41" s="56">
        <f t="shared" si="30"/>
        <v>-246460.92494137364</v>
      </c>
      <c r="V41" s="56">
        <f t="shared" si="30"/>
        <v>-245108.112640167</v>
      </c>
      <c r="W41" s="56">
        <f t="shared" si="30"/>
        <v>-378793.59634458518</v>
      </c>
      <c r="X41" s="56">
        <f t="shared" si="30"/>
        <v>-236600.19238387825</v>
      </c>
      <c r="Y41" s="56">
        <f t="shared" si="30"/>
        <v>-235141.27437763501</v>
      </c>
      <c r="Z41" s="56">
        <f t="shared" si="30"/>
        <v>-233778.85450290295</v>
      </c>
      <c r="AA41" s="56">
        <f t="shared" si="30"/>
        <v>-232367.66224237959</v>
      </c>
      <c r="AB41" s="56">
        <f t="shared" si="30"/>
        <v>-257143.73234584471</v>
      </c>
      <c r="AC41" s="56">
        <f t="shared" si="30"/>
        <v>-290335.02707580029</v>
      </c>
      <c r="AD41" s="56">
        <f t="shared" si="30"/>
        <v>-285520.70578625472</v>
      </c>
      <c r="AE41" s="56">
        <f t="shared" si="30"/>
        <v>-280413.48418655706</v>
      </c>
      <c r="AF41" s="56">
        <f t="shared" si="30"/>
        <v>-274984.96972314332</v>
      </c>
      <c r="AG41" s="56">
        <f t="shared" si="30"/>
        <v>-269203.19463880459</v>
      </c>
      <c r="AH41" s="56">
        <f t="shared" si="30"/>
        <v>-263033.727674736</v>
      </c>
      <c r="AI41" s="56">
        <f t="shared" si="30"/>
        <v>-256437.95203372921</v>
      </c>
      <c r="AJ41" s="56">
        <f t="shared" si="30"/>
        <v>-249374.11480203786</v>
      </c>
      <c r="AK41" s="56">
        <f t="shared" ref="AK41:BP41" si="31">AK36-AK40</f>
        <v>-241795.53622040057</v>
      </c>
      <c r="AL41" s="56">
        <f t="shared" si="31"/>
        <v>-233651.58333623788</v>
      </c>
      <c r="AM41" s="56">
        <f t="shared" si="31"/>
        <v>-224885.79569241157</v>
      </c>
      <c r="AN41" s="56">
        <f t="shared" si="31"/>
        <v>-215437.11750697476</v>
      </c>
      <c r="AO41" s="56">
        <f t="shared" si="31"/>
        <v>-249395.76000027554</v>
      </c>
      <c r="AP41" s="56">
        <f t="shared" si="31"/>
        <v>-242646.09625904227</v>
      </c>
      <c r="AQ41" s="56">
        <f t="shared" si="31"/>
        <v>-235395.44599756831</v>
      </c>
      <c r="AR41" s="56">
        <f t="shared" si="31"/>
        <v>-227602.109036749</v>
      </c>
      <c r="AS41" s="56">
        <f t="shared" si="31"/>
        <v>-219220.5334100952</v>
      </c>
      <c r="AT41" s="56">
        <f t="shared" si="31"/>
        <v>-210200.93915639754</v>
      </c>
      <c r="AU41" s="56">
        <f t="shared" si="31"/>
        <v>-200488.90434381188</v>
      </c>
      <c r="AV41" s="56">
        <f t="shared" si="31"/>
        <v>-190024.90948318309</v>
      </c>
      <c r="AW41" s="56">
        <f t="shared" si="31"/>
        <v>-178743.83609506435</v>
      </c>
      <c r="AX41" s="56">
        <f t="shared" si="31"/>
        <v>-166574.41476113372</v>
      </c>
      <c r="AY41" s="56">
        <f t="shared" si="31"/>
        <v>-153438.61751240111</v>
      </c>
      <c r="AZ41" s="56">
        <f t="shared" si="31"/>
        <v>-139250.98887915997</v>
      </c>
      <c r="BA41" s="56">
        <f t="shared" si="31"/>
        <v>-136859.46492599553</v>
      </c>
      <c r="BB41" s="56">
        <f t="shared" si="31"/>
        <v>-127304.95097376642</v>
      </c>
      <c r="BC41" s="56">
        <f t="shared" si="31"/>
        <v>-117346.50762889779</v>
      </c>
      <c r="BD41" s="56">
        <f t="shared" si="31"/>
        <v>-106967.75711392904</v>
      </c>
      <c r="BE41" s="56">
        <f t="shared" si="31"/>
        <v>-96151.651112382286</v>
      </c>
      <c r="BF41" s="56">
        <f t="shared" si="31"/>
        <v>-84880.443018213453</v>
      </c>
      <c r="BG41" s="56">
        <f t="shared" si="31"/>
        <v>-73135.659024887093</v>
      </c>
      <c r="BH41" s="56">
        <f t="shared" si="31"/>
        <v>-60898.068005084708</v>
      </c>
      <c r="BI41" s="56">
        <f t="shared" si="31"/>
        <v>-48147.650129965667</v>
      </c>
      <c r="BJ41" s="56">
        <f t="shared" si="31"/>
        <v>-34863.564174725849</v>
      </c>
      <c r="BK41" s="56">
        <f t="shared" si="31"/>
        <v>-21024.113454927541</v>
      </c>
      <c r="BL41" s="56">
        <f t="shared" si="31"/>
        <v>-6606.7103357060923</v>
      </c>
    </row>
    <row r="42" spans="2:64" x14ac:dyDescent="0.35">
      <c r="B42" s="16" t="s">
        <v>296</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row>
    <row r="43" spans="2:64" x14ac:dyDescent="0.35">
      <c r="B43" s="3" t="s">
        <v>297</v>
      </c>
      <c r="C43" s="18" t="s">
        <v>111</v>
      </c>
      <c r="D43" s="20">
        <f>SUM(E43:BL43)</f>
        <v>-10984077.940525986</v>
      </c>
      <c r="E43" s="20">
        <f t="shared" ref="E43:AJ43" si="32">E28+E35-E40</f>
        <v>-53309.215908521845</v>
      </c>
      <c r="F43" s="20">
        <f t="shared" si="32"/>
        <v>-59733.222486178041</v>
      </c>
      <c r="G43" s="20">
        <f t="shared" si="32"/>
        <v>-67424.772197911414</v>
      </c>
      <c r="H43" s="20">
        <f t="shared" si="32"/>
        <v>-105033.62090564833</v>
      </c>
      <c r="I43" s="20">
        <f t="shared" si="32"/>
        <v>-104859.14659402602</v>
      </c>
      <c r="J43" s="20">
        <f t="shared" si="32"/>
        <v>-95984.395059345232</v>
      </c>
      <c r="K43" s="20">
        <f t="shared" si="32"/>
        <v>-96107.76096983609</v>
      </c>
      <c r="L43" s="20">
        <f t="shared" si="32"/>
        <v>-171641.65222870788</v>
      </c>
      <c r="M43" s="20">
        <f t="shared" si="32"/>
        <v>-150572.99265047334</v>
      </c>
      <c r="N43" s="20">
        <f t="shared" si="32"/>
        <v>-202840.20179672405</v>
      </c>
      <c r="O43" s="20">
        <f t="shared" si="32"/>
        <v>-200086.23180502225</v>
      </c>
      <c r="P43" s="20">
        <f t="shared" si="32"/>
        <v>-207186.28823446299</v>
      </c>
      <c r="Q43" s="20">
        <f t="shared" si="32"/>
        <v>-283650.52956411988</v>
      </c>
      <c r="R43" s="20">
        <f t="shared" si="32"/>
        <v>-249328.08062553249</v>
      </c>
      <c r="S43" s="20">
        <f t="shared" si="32"/>
        <v>-248094.5528510414</v>
      </c>
      <c r="T43" s="20">
        <f t="shared" si="32"/>
        <v>-246803.90113699346</v>
      </c>
      <c r="U43" s="20">
        <f t="shared" si="32"/>
        <v>-245471.3416080403</v>
      </c>
      <c r="V43" s="20">
        <f t="shared" si="32"/>
        <v>-244101.16819572257</v>
      </c>
      <c r="W43" s="20">
        <f t="shared" si="32"/>
        <v>-377769.29078902962</v>
      </c>
      <c r="X43" s="20">
        <f t="shared" si="32"/>
        <v>-235558.5257172116</v>
      </c>
      <c r="Y43" s="20">
        <f t="shared" si="32"/>
        <v>-234082.24659985723</v>
      </c>
      <c r="Z43" s="20">
        <f t="shared" si="32"/>
        <v>-232702.46561401407</v>
      </c>
      <c r="AA43" s="20">
        <f t="shared" si="32"/>
        <v>-231273.91224237959</v>
      </c>
      <c r="AB43" s="20">
        <f t="shared" si="32"/>
        <v>-256032.62123473358</v>
      </c>
      <c r="AC43" s="20">
        <f t="shared" si="32"/>
        <v>-289223.91596468916</v>
      </c>
      <c r="AD43" s="20">
        <f t="shared" si="32"/>
        <v>-284409.5946751436</v>
      </c>
      <c r="AE43" s="20">
        <f t="shared" si="32"/>
        <v>-279302.37307544594</v>
      </c>
      <c r="AF43" s="20">
        <f t="shared" si="32"/>
        <v>-273873.8586120322</v>
      </c>
      <c r="AG43" s="20">
        <f t="shared" si="32"/>
        <v>-268092.08352769347</v>
      </c>
      <c r="AH43" s="20">
        <f t="shared" si="32"/>
        <v>-261922.61656362488</v>
      </c>
      <c r="AI43" s="20">
        <f t="shared" si="32"/>
        <v>-255326.84092261808</v>
      </c>
      <c r="AJ43" s="20">
        <f t="shared" si="32"/>
        <v>-248263.00369092674</v>
      </c>
      <c r="AK43" s="20">
        <f t="shared" ref="AK43:BL43" si="33">AK28+AK35-AK40</f>
        <v>-240684.42510928944</v>
      </c>
      <c r="AL43" s="20">
        <f t="shared" si="33"/>
        <v>-232540.47222512675</v>
      </c>
      <c r="AM43" s="20">
        <f t="shared" si="33"/>
        <v>-223774.68458130045</v>
      </c>
      <c r="AN43" s="20">
        <f t="shared" si="33"/>
        <v>-214326.00639586363</v>
      </c>
      <c r="AO43" s="20">
        <f t="shared" si="33"/>
        <v>-248359.8803706459</v>
      </c>
      <c r="AP43" s="20">
        <f t="shared" si="33"/>
        <v>-241685.44811089413</v>
      </c>
      <c r="AQ43" s="20">
        <f t="shared" si="33"/>
        <v>-234510.02933090166</v>
      </c>
      <c r="AR43" s="20">
        <f t="shared" si="33"/>
        <v>-226791.9238515638</v>
      </c>
      <c r="AS43" s="20">
        <f t="shared" si="33"/>
        <v>-218485.57970639149</v>
      </c>
      <c r="AT43" s="20">
        <f t="shared" si="33"/>
        <v>-209541.21693417535</v>
      </c>
      <c r="AU43" s="20">
        <f t="shared" si="33"/>
        <v>-199904.41360307115</v>
      </c>
      <c r="AV43" s="20">
        <f t="shared" si="33"/>
        <v>-189515.65022392382</v>
      </c>
      <c r="AW43" s="20">
        <f t="shared" si="33"/>
        <v>-178309.8083172866</v>
      </c>
      <c r="AX43" s="20">
        <f t="shared" si="33"/>
        <v>-166215.61846483743</v>
      </c>
      <c r="AY43" s="20">
        <f t="shared" si="33"/>
        <v>-153155.0526975863</v>
      </c>
      <c r="AZ43" s="20">
        <f t="shared" si="33"/>
        <v>-139042.65554582662</v>
      </c>
      <c r="BA43" s="20">
        <f t="shared" si="33"/>
        <v>-136593.26122229183</v>
      </c>
      <c r="BB43" s="20">
        <f t="shared" si="33"/>
        <v>-126980.87689969235</v>
      </c>
      <c r="BC43" s="20">
        <f t="shared" si="33"/>
        <v>-116964.56318445335</v>
      </c>
      <c r="BD43" s="20">
        <f t="shared" si="33"/>
        <v>-106527.94229911422</v>
      </c>
      <c r="BE43" s="20">
        <f t="shared" si="33"/>
        <v>-95653.965927197103</v>
      </c>
      <c r="BF43" s="20">
        <f t="shared" si="33"/>
        <v>-84324.887462657891</v>
      </c>
      <c r="BG43" s="20">
        <f t="shared" si="33"/>
        <v>-72522.233098961166</v>
      </c>
      <c r="BH43" s="20">
        <f t="shared" si="33"/>
        <v>-60226.771708788416</v>
      </c>
      <c r="BI43" s="20">
        <f t="shared" si="33"/>
        <v>-47418.483463299002</v>
      </c>
      <c r="BJ43" s="20">
        <f t="shared" si="33"/>
        <v>-34076.527137688812</v>
      </c>
      <c r="BK43" s="20">
        <f t="shared" si="33"/>
        <v>-20179.206047520132</v>
      </c>
      <c r="BL43" s="20">
        <f t="shared" si="33"/>
        <v>-5703.932557928315</v>
      </c>
    </row>
    <row r="44" spans="2:64" x14ac:dyDescent="0.35">
      <c r="B44" s="3" t="s">
        <v>298</v>
      </c>
      <c r="C44" s="18" t="s">
        <v>111</v>
      </c>
      <c r="D44" s="20">
        <f>SUM(E44:BL44)</f>
        <v>-72500.000000000015</v>
      </c>
      <c r="E44" s="20">
        <f t="shared" ref="E44:AJ44" si="34">-E30</f>
        <v>-2708.3333333333335</v>
      </c>
      <c r="F44" s="20">
        <f t="shared" si="34"/>
        <v>-2708.3333333333335</v>
      </c>
      <c r="G44" s="20">
        <f t="shared" si="34"/>
        <v>-2708.3333333333335</v>
      </c>
      <c r="H44" s="20">
        <f t="shared" si="34"/>
        <v>-2708.3333333333335</v>
      </c>
      <c r="I44" s="20">
        <f t="shared" si="34"/>
        <v>-2708.3333333333335</v>
      </c>
      <c r="J44" s="20">
        <f t="shared" si="34"/>
        <v>-2708.3333333333335</v>
      </c>
      <c r="K44" s="20">
        <f t="shared" si="34"/>
        <v>-2708.3333333333335</v>
      </c>
      <c r="L44" s="20">
        <f t="shared" si="34"/>
        <v>-2708.3333333333335</v>
      </c>
      <c r="M44" s="20">
        <f t="shared" si="34"/>
        <v>-2708.3333333333335</v>
      </c>
      <c r="N44" s="20">
        <f t="shared" si="34"/>
        <v>-2708.3333333333335</v>
      </c>
      <c r="O44" s="20">
        <f t="shared" si="34"/>
        <v>-2708.3333333333335</v>
      </c>
      <c r="P44" s="20">
        <f t="shared" si="34"/>
        <v>-2708.3333333333335</v>
      </c>
      <c r="Q44" s="20">
        <f t="shared" si="34"/>
        <v>-625</v>
      </c>
      <c r="R44" s="20">
        <f t="shared" si="34"/>
        <v>-625</v>
      </c>
      <c r="S44" s="20">
        <f t="shared" si="34"/>
        <v>-625</v>
      </c>
      <c r="T44" s="20">
        <f t="shared" si="34"/>
        <v>-625</v>
      </c>
      <c r="U44" s="20">
        <f t="shared" si="34"/>
        <v>-625</v>
      </c>
      <c r="V44" s="20">
        <f t="shared" si="34"/>
        <v>-625</v>
      </c>
      <c r="W44" s="20">
        <f t="shared" si="34"/>
        <v>-625</v>
      </c>
      <c r="X44" s="20">
        <f t="shared" si="34"/>
        <v>-625</v>
      </c>
      <c r="Y44" s="20">
        <f t="shared" si="34"/>
        <v>-625</v>
      </c>
      <c r="Z44" s="20">
        <f t="shared" si="34"/>
        <v>-625</v>
      </c>
      <c r="AA44" s="20">
        <f t="shared" si="34"/>
        <v>-625</v>
      </c>
      <c r="AB44" s="20">
        <f t="shared" si="34"/>
        <v>-625</v>
      </c>
      <c r="AC44" s="20">
        <f t="shared" si="34"/>
        <v>0</v>
      </c>
      <c r="AD44" s="20">
        <f t="shared" si="34"/>
        <v>0</v>
      </c>
      <c r="AE44" s="20">
        <f t="shared" si="34"/>
        <v>0</v>
      </c>
      <c r="AF44" s="20">
        <f t="shared" si="34"/>
        <v>0</v>
      </c>
      <c r="AG44" s="20">
        <f t="shared" si="34"/>
        <v>0</v>
      </c>
      <c r="AH44" s="20">
        <f t="shared" si="34"/>
        <v>0</v>
      </c>
      <c r="AI44" s="20">
        <f t="shared" si="34"/>
        <v>0</v>
      </c>
      <c r="AJ44" s="20">
        <f t="shared" si="34"/>
        <v>0</v>
      </c>
      <c r="AK44" s="20">
        <f t="shared" ref="AK44:BL44" si="35">-AK30</f>
        <v>0</v>
      </c>
      <c r="AL44" s="20">
        <f t="shared" si="35"/>
        <v>0</v>
      </c>
      <c r="AM44" s="20">
        <f t="shared" si="35"/>
        <v>0</v>
      </c>
      <c r="AN44" s="20">
        <f t="shared" si="35"/>
        <v>0</v>
      </c>
      <c r="AO44" s="20">
        <f t="shared" si="35"/>
        <v>0</v>
      </c>
      <c r="AP44" s="20">
        <f t="shared" si="35"/>
        <v>0</v>
      </c>
      <c r="AQ44" s="20">
        <f t="shared" si="35"/>
        <v>0</v>
      </c>
      <c r="AR44" s="20">
        <f t="shared" si="35"/>
        <v>0</v>
      </c>
      <c r="AS44" s="20">
        <f t="shared" si="35"/>
        <v>0</v>
      </c>
      <c r="AT44" s="20">
        <f t="shared" si="35"/>
        <v>0</v>
      </c>
      <c r="AU44" s="20">
        <f t="shared" si="35"/>
        <v>0</v>
      </c>
      <c r="AV44" s="20">
        <f t="shared" si="35"/>
        <v>0</v>
      </c>
      <c r="AW44" s="20">
        <f t="shared" si="35"/>
        <v>0</v>
      </c>
      <c r="AX44" s="20">
        <f t="shared" si="35"/>
        <v>0</v>
      </c>
      <c r="AY44" s="20">
        <f t="shared" si="35"/>
        <v>0</v>
      </c>
      <c r="AZ44" s="20">
        <f t="shared" si="35"/>
        <v>0</v>
      </c>
      <c r="BA44" s="20">
        <f t="shared" si="35"/>
        <v>-2708.3333333333335</v>
      </c>
      <c r="BB44" s="20">
        <f t="shared" si="35"/>
        <v>-2708.3333333333335</v>
      </c>
      <c r="BC44" s="20">
        <f t="shared" si="35"/>
        <v>-2708.3333333333335</v>
      </c>
      <c r="BD44" s="20">
        <f t="shared" si="35"/>
        <v>-2708.3333333333335</v>
      </c>
      <c r="BE44" s="20">
        <f t="shared" si="35"/>
        <v>-2708.3333333333335</v>
      </c>
      <c r="BF44" s="20">
        <f t="shared" si="35"/>
        <v>-2708.3333333333335</v>
      </c>
      <c r="BG44" s="20">
        <f t="shared" si="35"/>
        <v>-2708.3333333333335</v>
      </c>
      <c r="BH44" s="20">
        <f t="shared" si="35"/>
        <v>-2708.3333333333335</v>
      </c>
      <c r="BI44" s="20">
        <f t="shared" si="35"/>
        <v>-2708.3333333333335</v>
      </c>
      <c r="BJ44" s="20">
        <f t="shared" si="35"/>
        <v>-2708.3333333333335</v>
      </c>
      <c r="BK44" s="20">
        <f t="shared" si="35"/>
        <v>-2708.3333333333335</v>
      </c>
      <c r="BL44" s="20">
        <f t="shared" si="35"/>
        <v>-2708.3333333333335</v>
      </c>
    </row>
    <row r="45" spans="2:64" x14ac:dyDescent="0.35">
      <c r="B45" s="3" t="s">
        <v>299</v>
      </c>
      <c r="C45" s="18" t="s">
        <v>111</v>
      </c>
      <c r="D45" s="20">
        <f>SUM(E45:BL45)</f>
        <v>17000000</v>
      </c>
      <c r="E45" s="40">
        <f>IF(Inputs!$D$73=E$4,Inputs!$D$74,0)+IF(Inputs!$D$76=E$4,Inputs!$D$77,0)+IF(Inputs!$D$79=E$4,Inputs!$D$80,0)+IF(Inputs!$D$82=E$4,Inputs!$D$83,0)</f>
        <v>1000000</v>
      </c>
      <c r="F45" s="40">
        <f>IF(Inputs!$D$73=F$4,Inputs!$D$74,0)+IF(Inputs!$D$76=F$4,Inputs!$D$77,0)+IF(Inputs!$D$79=F$4,Inputs!$D$80,0)+IF(Inputs!$D$82=F$4,Inputs!$D$83,0)</f>
        <v>0</v>
      </c>
      <c r="G45" s="40">
        <f>IF(Inputs!$D$73=G$4,Inputs!$D$74,0)+IF(Inputs!$D$76=G$4,Inputs!$D$77,0)+IF(Inputs!$D$79=G$4,Inputs!$D$80,0)+IF(Inputs!$D$82=G$4,Inputs!$D$83,0)</f>
        <v>0</v>
      </c>
      <c r="H45" s="40">
        <f>IF(Inputs!$D$73=H$4,Inputs!$D$74,0)+IF(Inputs!$D$76=H$4,Inputs!$D$77,0)+IF(Inputs!$D$79=H$4,Inputs!$D$80,0)+IF(Inputs!$D$82=H$4,Inputs!$D$83,0)</f>
        <v>0</v>
      </c>
      <c r="I45" s="40">
        <f>IF(Inputs!$D$73=I$4,Inputs!$D$74,0)+IF(Inputs!$D$76=I$4,Inputs!$D$77,0)+IF(Inputs!$D$79=I$4,Inputs!$D$80,0)+IF(Inputs!$D$82=I$4,Inputs!$D$83,0)</f>
        <v>0</v>
      </c>
      <c r="J45" s="40">
        <f>IF(Inputs!$D$73=J$4,Inputs!$D$74,0)+IF(Inputs!$D$76=J$4,Inputs!$D$77,0)+IF(Inputs!$D$79=J$4,Inputs!$D$80,0)+IF(Inputs!$D$82=J$4,Inputs!$D$83,0)</f>
        <v>0</v>
      </c>
      <c r="K45" s="40">
        <f>IF(Inputs!$D$73=K$4,Inputs!$D$74,0)+IF(Inputs!$D$76=K$4,Inputs!$D$77,0)+IF(Inputs!$D$79=K$4,Inputs!$D$80,0)+IF(Inputs!$D$82=K$4,Inputs!$D$83,0)</f>
        <v>0</v>
      </c>
      <c r="L45" s="40">
        <f>IF(Inputs!$D$73=L$4,Inputs!$D$74,0)+IF(Inputs!$D$76=L$4,Inputs!$D$77,0)+IF(Inputs!$D$79=L$4,Inputs!$D$80,0)+IF(Inputs!$D$82=L$4,Inputs!$D$83,0)</f>
        <v>4000000</v>
      </c>
      <c r="M45" s="40">
        <f>IF(Inputs!$D$73=M$4,Inputs!$D$74,0)+IF(Inputs!$D$76=M$4,Inputs!$D$77,0)+IF(Inputs!$D$79=M$4,Inputs!$D$80,0)+IF(Inputs!$D$82=M$4,Inputs!$D$83,0)</f>
        <v>0</v>
      </c>
      <c r="N45" s="40">
        <f>IF(Inputs!$D$73=N$4,Inputs!$D$74,0)+IF(Inputs!$D$76=N$4,Inputs!$D$77,0)+IF(Inputs!$D$79=N$4,Inputs!$D$80,0)+IF(Inputs!$D$82=N$4,Inputs!$D$83,0)</f>
        <v>0</v>
      </c>
      <c r="O45" s="40">
        <f>IF(Inputs!$D$73=O$4,Inputs!$D$74,0)+IF(Inputs!$D$76=O$4,Inputs!$D$77,0)+IF(Inputs!$D$79=O$4,Inputs!$D$80,0)+IF(Inputs!$D$82=O$4,Inputs!$D$83,0)</f>
        <v>0</v>
      </c>
      <c r="P45" s="40">
        <f>IF(Inputs!$D$73=P$4,Inputs!$D$74,0)+IF(Inputs!$D$76=P$4,Inputs!$D$77,0)+IF(Inputs!$D$79=P$4,Inputs!$D$80,0)+IF(Inputs!$D$82=P$4,Inputs!$D$83,0)</f>
        <v>0</v>
      </c>
      <c r="Q45" s="40">
        <f>IF(Inputs!$D$73=Q$4,Inputs!$D$74,0)+IF(Inputs!$D$76=Q$4,Inputs!$D$77,0)+IF(Inputs!$D$79=Q$4,Inputs!$D$80,0)+IF(Inputs!$D$82=Q$4,Inputs!$D$83,0)</f>
        <v>0</v>
      </c>
      <c r="R45" s="40">
        <f>IF(Inputs!$D$73=R$4,Inputs!$D$74,0)+IF(Inputs!$D$76=R$4,Inputs!$D$77,0)+IF(Inputs!$D$79=R$4,Inputs!$D$80,0)+IF(Inputs!$D$82=R$4,Inputs!$D$83,0)</f>
        <v>0</v>
      </c>
      <c r="S45" s="40">
        <f>IF(Inputs!$D$73=S$4,Inputs!$D$74,0)+IF(Inputs!$D$76=S$4,Inputs!$D$77,0)+IF(Inputs!$D$79=S$4,Inputs!$D$80,0)+IF(Inputs!$D$82=S$4,Inputs!$D$83,0)</f>
        <v>0</v>
      </c>
      <c r="T45" s="40">
        <f>IF(Inputs!$D$73=T$4,Inputs!$D$74,0)+IF(Inputs!$D$76=T$4,Inputs!$D$77,0)+IF(Inputs!$D$79=T$4,Inputs!$D$80,0)+IF(Inputs!$D$82=T$4,Inputs!$D$83,0)</f>
        <v>0</v>
      </c>
      <c r="U45" s="40">
        <f>IF(Inputs!$D$73=U$4,Inputs!$D$74,0)+IF(Inputs!$D$76=U$4,Inputs!$D$77,0)+IF(Inputs!$D$79=U$4,Inputs!$D$80,0)+IF(Inputs!$D$82=U$4,Inputs!$D$83,0)</f>
        <v>0</v>
      </c>
      <c r="V45" s="40">
        <f>IF(Inputs!$D$73=V$4,Inputs!$D$74,0)+IF(Inputs!$D$76=V$4,Inputs!$D$77,0)+IF(Inputs!$D$79=V$4,Inputs!$D$80,0)+IF(Inputs!$D$82=V$4,Inputs!$D$83,0)</f>
        <v>0</v>
      </c>
      <c r="W45" s="40">
        <f>IF(Inputs!$D$73=W$4,Inputs!$D$74,0)+IF(Inputs!$D$76=W$4,Inputs!$D$77,0)+IF(Inputs!$D$79=W$4,Inputs!$D$80,0)+IF(Inputs!$D$82=W$4,Inputs!$D$83,0)</f>
        <v>12000000</v>
      </c>
      <c r="X45" s="40">
        <f>IF(Inputs!$D$73=X$4,Inputs!$D$74,0)+IF(Inputs!$D$76=X$4,Inputs!$D$77,0)+IF(Inputs!$D$79=X$4,Inputs!$D$80,0)+IF(Inputs!$D$82=X$4,Inputs!$D$83,0)</f>
        <v>0</v>
      </c>
      <c r="Y45" s="40">
        <f>IF(Inputs!$D$73=Y$4,Inputs!$D$74,0)+IF(Inputs!$D$76=Y$4,Inputs!$D$77,0)+IF(Inputs!$D$79=Y$4,Inputs!$D$80,0)+IF(Inputs!$D$82=Y$4,Inputs!$D$83,0)</f>
        <v>0</v>
      </c>
      <c r="Z45" s="40">
        <f>IF(Inputs!$D$73=Z$4,Inputs!$D$74,0)+IF(Inputs!$D$76=Z$4,Inputs!$D$77,0)+IF(Inputs!$D$79=Z$4,Inputs!$D$80,0)+IF(Inputs!$D$82=Z$4,Inputs!$D$83,0)</f>
        <v>0</v>
      </c>
      <c r="AA45" s="40">
        <f>IF(Inputs!$D$73=AA$4,Inputs!$D$74,0)+IF(Inputs!$D$76=AA$4,Inputs!$D$77,0)+IF(Inputs!$D$79=AA$4,Inputs!$D$80,0)+IF(Inputs!$D$82=AA$4,Inputs!$D$83,0)</f>
        <v>0</v>
      </c>
      <c r="AB45" s="40">
        <f>IF(Inputs!$D$73=AB$4,Inputs!$D$74,0)+IF(Inputs!$D$76=AB$4,Inputs!$D$77,0)+IF(Inputs!$D$79=AB$4,Inputs!$D$80,0)+IF(Inputs!$D$82=AB$4,Inputs!$D$83,0)</f>
        <v>0</v>
      </c>
      <c r="AC45" s="40">
        <f>IF(Inputs!$D$73=AC$4,Inputs!$D$74,0)+IF(Inputs!$D$76=AC$4,Inputs!$D$77,0)+IF(Inputs!$D$79=AC$4,Inputs!$D$80,0)+IF(Inputs!$D$82=AC$4,Inputs!$D$83,0)</f>
        <v>0</v>
      </c>
      <c r="AD45" s="40">
        <f>IF(Inputs!$D$73=AD$4,Inputs!$D$74,0)+IF(Inputs!$D$76=AD$4,Inputs!$D$77,0)+IF(Inputs!$D$79=AD$4,Inputs!$D$80,0)+IF(Inputs!$D$82=AD$4,Inputs!$D$83,0)</f>
        <v>0</v>
      </c>
      <c r="AE45" s="40">
        <f>IF(Inputs!$D$73=AE$4,Inputs!$D$74,0)+IF(Inputs!$D$76=AE$4,Inputs!$D$77,0)+IF(Inputs!$D$79=AE$4,Inputs!$D$80,0)+IF(Inputs!$D$82=AE$4,Inputs!$D$83,0)</f>
        <v>0</v>
      </c>
      <c r="AF45" s="40">
        <f>IF(Inputs!$D$73=AF$4,Inputs!$D$74,0)+IF(Inputs!$D$76=AF$4,Inputs!$D$77,0)+IF(Inputs!$D$79=AF$4,Inputs!$D$80,0)+IF(Inputs!$D$82=AF$4,Inputs!$D$83,0)</f>
        <v>0</v>
      </c>
      <c r="AG45" s="40">
        <f>IF(Inputs!$D$73=AG$4,Inputs!$D$74,0)+IF(Inputs!$D$76=AG$4,Inputs!$D$77,0)+IF(Inputs!$D$79=AG$4,Inputs!$D$80,0)+IF(Inputs!$D$82=AG$4,Inputs!$D$83,0)</f>
        <v>0</v>
      </c>
      <c r="AH45" s="40">
        <f>IF(Inputs!$D$73=AH$4,Inputs!$D$74,0)+IF(Inputs!$D$76=AH$4,Inputs!$D$77,0)+IF(Inputs!$D$79=AH$4,Inputs!$D$80,0)+IF(Inputs!$D$82=AH$4,Inputs!$D$83,0)</f>
        <v>0</v>
      </c>
      <c r="AI45" s="40">
        <f>IF(Inputs!$D$73=AI$4,Inputs!$D$74,0)+IF(Inputs!$D$76=AI$4,Inputs!$D$77,0)+IF(Inputs!$D$79=AI$4,Inputs!$D$80,0)+IF(Inputs!$D$82=AI$4,Inputs!$D$83,0)</f>
        <v>0</v>
      </c>
      <c r="AJ45" s="40">
        <f>IF(Inputs!$D$73=AJ$4,Inputs!$D$74,0)+IF(Inputs!$D$76=AJ$4,Inputs!$D$77,0)+IF(Inputs!$D$79=AJ$4,Inputs!$D$80,0)+IF(Inputs!$D$82=AJ$4,Inputs!$D$83,0)</f>
        <v>0</v>
      </c>
      <c r="AK45" s="40">
        <f>IF(Inputs!$D$73=AK$4,Inputs!$D$74,0)+IF(Inputs!$D$76=AK$4,Inputs!$D$77,0)+IF(Inputs!$D$79=AK$4,Inputs!$D$80,0)+IF(Inputs!$D$82=AK$4,Inputs!$D$83,0)</f>
        <v>0</v>
      </c>
      <c r="AL45" s="40">
        <f>IF(Inputs!$D$73=AL$4,Inputs!$D$74,0)+IF(Inputs!$D$76=AL$4,Inputs!$D$77,0)+IF(Inputs!$D$79=AL$4,Inputs!$D$80,0)+IF(Inputs!$D$82=AL$4,Inputs!$D$83,0)</f>
        <v>0</v>
      </c>
      <c r="AM45" s="40">
        <f>IF(Inputs!$D$73=AM$4,Inputs!$D$74,0)+IF(Inputs!$D$76=AM$4,Inputs!$D$77,0)+IF(Inputs!$D$79=AM$4,Inputs!$D$80,0)+IF(Inputs!$D$82=AM$4,Inputs!$D$83,0)</f>
        <v>0</v>
      </c>
      <c r="AN45" s="40">
        <f>IF(Inputs!$D$73=AN$4,Inputs!$D$74,0)+IF(Inputs!$D$76=AN$4,Inputs!$D$77,0)+IF(Inputs!$D$79=AN$4,Inputs!$D$80,0)+IF(Inputs!$D$82=AN$4,Inputs!$D$83,0)</f>
        <v>0</v>
      </c>
      <c r="AO45" s="40">
        <f>IF(Inputs!$D$73=AO$4,Inputs!$D$74,0)+IF(Inputs!$D$76=AO$4,Inputs!$D$77,0)+IF(Inputs!$D$79=AO$4,Inputs!$D$80,0)+IF(Inputs!$D$82=AO$4,Inputs!$D$83,0)</f>
        <v>0</v>
      </c>
      <c r="AP45" s="40">
        <f>IF(Inputs!$D$73=AP$4,Inputs!$D$74,0)+IF(Inputs!$D$76=AP$4,Inputs!$D$77,0)+IF(Inputs!$D$79=AP$4,Inputs!$D$80,0)+IF(Inputs!$D$82=AP$4,Inputs!$D$83,0)</f>
        <v>0</v>
      </c>
      <c r="AQ45" s="40">
        <f>IF(Inputs!$D$73=AQ$4,Inputs!$D$74,0)+IF(Inputs!$D$76=AQ$4,Inputs!$D$77,0)+IF(Inputs!$D$79=AQ$4,Inputs!$D$80,0)+IF(Inputs!$D$82=AQ$4,Inputs!$D$83,0)</f>
        <v>0</v>
      </c>
      <c r="AR45" s="40">
        <f>IF(Inputs!$D$73=AR$4,Inputs!$D$74,0)+IF(Inputs!$D$76=AR$4,Inputs!$D$77,0)+IF(Inputs!$D$79=AR$4,Inputs!$D$80,0)+IF(Inputs!$D$82=AR$4,Inputs!$D$83,0)</f>
        <v>0</v>
      </c>
      <c r="AS45" s="40">
        <f>IF(Inputs!$D$73=AS$4,Inputs!$D$74,0)+IF(Inputs!$D$76=AS$4,Inputs!$D$77,0)+IF(Inputs!$D$79=AS$4,Inputs!$D$80,0)+IF(Inputs!$D$82=AS$4,Inputs!$D$83,0)</f>
        <v>0</v>
      </c>
      <c r="AT45" s="40">
        <f>IF(Inputs!$D$73=AT$4,Inputs!$D$74,0)+IF(Inputs!$D$76=AT$4,Inputs!$D$77,0)+IF(Inputs!$D$79=AT$4,Inputs!$D$80,0)+IF(Inputs!$D$82=AT$4,Inputs!$D$83,0)</f>
        <v>0</v>
      </c>
      <c r="AU45" s="40">
        <f>IF(Inputs!$D$73=AU$4,Inputs!$D$74,0)+IF(Inputs!$D$76=AU$4,Inputs!$D$77,0)+IF(Inputs!$D$79=AU$4,Inputs!$D$80,0)+IF(Inputs!$D$82=AU$4,Inputs!$D$83,0)</f>
        <v>0</v>
      </c>
      <c r="AV45" s="40">
        <f>IF(Inputs!$D$73=AV$4,Inputs!$D$74,0)+IF(Inputs!$D$76=AV$4,Inputs!$D$77,0)+IF(Inputs!$D$79=AV$4,Inputs!$D$80,0)+IF(Inputs!$D$82=AV$4,Inputs!$D$83,0)</f>
        <v>0</v>
      </c>
      <c r="AW45" s="40">
        <f>IF(Inputs!$D$73=AW$4,Inputs!$D$74,0)+IF(Inputs!$D$76=AW$4,Inputs!$D$77,0)+IF(Inputs!$D$79=AW$4,Inputs!$D$80,0)+IF(Inputs!$D$82=AW$4,Inputs!$D$83,0)</f>
        <v>0</v>
      </c>
      <c r="AX45" s="40">
        <f>IF(Inputs!$D$73=AX$4,Inputs!$D$74,0)+IF(Inputs!$D$76=AX$4,Inputs!$D$77,0)+IF(Inputs!$D$79=AX$4,Inputs!$D$80,0)+IF(Inputs!$D$82=AX$4,Inputs!$D$83,0)</f>
        <v>0</v>
      </c>
      <c r="AY45" s="40">
        <f>IF(Inputs!$D$73=AY$4,Inputs!$D$74,0)+IF(Inputs!$D$76=AY$4,Inputs!$D$77,0)+IF(Inputs!$D$79=AY$4,Inputs!$D$80,0)+IF(Inputs!$D$82=AY$4,Inputs!$D$83,0)</f>
        <v>0</v>
      </c>
      <c r="AZ45" s="40">
        <f>IF(Inputs!$D$73=AZ$4,Inputs!$D$74,0)+IF(Inputs!$D$76=AZ$4,Inputs!$D$77,0)+IF(Inputs!$D$79=AZ$4,Inputs!$D$80,0)+IF(Inputs!$D$82=AZ$4,Inputs!$D$83,0)</f>
        <v>0</v>
      </c>
      <c r="BA45" s="40">
        <f>IF(Inputs!$D$73=BA$4,Inputs!$D$74,0)+IF(Inputs!$D$76=BA$4,Inputs!$D$77,0)+IF(Inputs!$D$79=BA$4,Inputs!$D$80,0)+IF(Inputs!$D$82=BA$4,Inputs!$D$83,0)</f>
        <v>0</v>
      </c>
      <c r="BB45" s="40">
        <f>IF(Inputs!$D$73=BB$4,Inputs!$D$74,0)+IF(Inputs!$D$76=BB$4,Inputs!$D$77,0)+IF(Inputs!$D$79=BB$4,Inputs!$D$80,0)+IF(Inputs!$D$82=BB$4,Inputs!$D$83,0)</f>
        <v>0</v>
      </c>
      <c r="BC45" s="40">
        <f>IF(Inputs!$D$73=BC$4,Inputs!$D$74,0)+IF(Inputs!$D$76=BC$4,Inputs!$D$77,0)+IF(Inputs!$D$79=BC$4,Inputs!$D$80,0)+IF(Inputs!$D$82=BC$4,Inputs!$D$83,0)</f>
        <v>0</v>
      </c>
      <c r="BD45" s="40">
        <f>IF(Inputs!$D$73=BD$4,Inputs!$D$74,0)+IF(Inputs!$D$76=BD$4,Inputs!$D$77,0)+IF(Inputs!$D$79=BD$4,Inputs!$D$80,0)+IF(Inputs!$D$82=BD$4,Inputs!$D$83,0)</f>
        <v>0</v>
      </c>
      <c r="BE45" s="40">
        <f>IF(Inputs!$D$73=BE$4,Inputs!$D$74,0)+IF(Inputs!$D$76=BE$4,Inputs!$D$77,0)+IF(Inputs!$D$79=BE$4,Inputs!$D$80,0)+IF(Inputs!$D$82=BE$4,Inputs!$D$83,0)</f>
        <v>0</v>
      </c>
      <c r="BF45" s="40">
        <f>IF(Inputs!$D$73=BF$4,Inputs!$D$74,0)+IF(Inputs!$D$76=BF$4,Inputs!$D$77,0)+IF(Inputs!$D$79=BF$4,Inputs!$D$80,0)+IF(Inputs!$D$82=BF$4,Inputs!$D$83,0)</f>
        <v>0</v>
      </c>
      <c r="BG45" s="40">
        <f>IF(Inputs!$D$73=BG$4,Inputs!$D$74,0)+IF(Inputs!$D$76=BG$4,Inputs!$D$77,0)+IF(Inputs!$D$79=BG$4,Inputs!$D$80,0)+IF(Inputs!$D$82=BG$4,Inputs!$D$83,0)</f>
        <v>0</v>
      </c>
      <c r="BH45" s="40">
        <f>IF(Inputs!$D$73=BH$4,Inputs!$D$74,0)+IF(Inputs!$D$76=BH$4,Inputs!$D$77,0)+IF(Inputs!$D$79=BH$4,Inputs!$D$80,0)+IF(Inputs!$D$82=BH$4,Inputs!$D$83,0)</f>
        <v>0</v>
      </c>
      <c r="BI45" s="40">
        <f>IF(Inputs!$D$73=BI$4,Inputs!$D$74,0)+IF(Inputs!$D$76=BI$4,Inputs!$D$77,0)+IF(Inputs!$D$79=BI$4,Inputs!$D$80,0)+IF(Inputs!$D$82=BI$4,Inputs!$D$83,0)</f>
        <v>0</v>
      </c>
      <c r="BJ45" s="40">
        <f>IF(Inputs!$D$73=BJ$4,Inputs!$D$74,0)+IF(Inputs!$D$76=BJ$4,Inputs!$D$77,0)+IF(Inputs!$D$79=BJ$4,Inputs!$D$80,0)+IF(Inputs!$D$82=BJ$4,Inputs!$D$83,0)</f>
        <v>0</v>
      </c>
      <c r="BK45" s="40">
        <f>IF(Inputs!$D$73=BK$4,Inputs!$D$74,0)+IF(Inputs!$D$76=BK$4,Inputs!$D$77,0)+IF(Inputs!$D$79=BK$4,Inputs!$D$80,0)+IF(Inputs!$D$82=BK$4,Inputs!$D$83,0)</f>
        <v>0</v>
      </c>
      <c r="BL45" s="40">
        <f>IF(Inputs!$D$73=BL$4,Inputs!$D$74,0)+IF(Inputs!$D$76=BL$4,Inputs!$D$77,0)+IF(Inputs!$D$79=BL$4,Inputs!$D$80,0)+IF(Inputs!$D$82=BL$4,Inputs!$D$83,0)</f>
        <v>0</v>
      </c>
    </row>
    <row r="46" spans="2:64" x14ac:dyDescent="0.35">
      <c r="B46" s="4" t="s">
        <v>300</v>
      </c>
      <c r="C46" s="18" t="s">
        <v>111</v>
      </c>
      <c r="D46" s="56">
        <f>SUM(E46:BL46)</f>
        <v>5943422.0594740147</v>
      </c>
      <c r="E46" s="56">
        <f t="shared" ref="E46:AJ46" si="36">E43+E44+E45</f>
        <v>943982.45075814484</v>
      </c>
      <c r="F46" s="56">
        <f t="shared" si="36"/>
        <v>-62441.555819511377</v>
      </c>
      <c r="G46" s="56">
        <f t="shared" si="36"/>
        <v>-70133.105531244742</v>
      </c>
      <c r="H46" s="56">
        <f t="shared" si="36"/>
        <v>-107741.95423898166</v>
      </c>
      <c r="I46" s="56">
        <f t="shared" si="36"/>
        <v>-107567.47992735935</v>
      </c>
      <c r="J46" s="56">
        <f t="shared" si="36"/>
        <v>-98692.72839267856</v>
      </c>
      <c r="K46" s="56">
        <f t="shared" si="36"/>
        <v>-98816.094303169419</v>
      </c>
      <c r="L46" s="56">
        <f t="shared" si="36"/>
        <v>3825650.0144379586</v>
      </c>
      <c r="M46" s="56">
        <f t="shared" si="36"/>
        <v>-153281.32598380669</v>
      </c>
      <c r="N46" s="56">
        <f t="shared" si="36"/>
        <v>-205548.5351300574</v>
      </c>
      <c r="O46" s="56">
        <f t="shared" si="36"/>
        <v>-202794.5651383556</v>
      </c>
      <c r="P46" s="56">
        <f t="shared" si="36"/>
        <v>-209894.62156779633</v>
      </c>
      <c r="Q46" s="56">
        <f t="shared" si="36"/>
        <v>-284275.52956411988</v>
      </c>
      <c r="R46" s="56">
        <f t="shared" si="36"/>
        <v>-249953.08062553249</v>
      </c>
      <c r="S46" s="56">
        <f t="shared" si="36"/>
        <v>-248719.5528510414</v>
      </c>
      <c r="T46" s="56">
        <f t="shared" si="36"/>
        <v>-247428.90113699346</v>
      </c>
      <c r="U46" s="56">
        <f t="shared" si="36"/>
        <v>-246096.3416080403</v>
      </c>
      <c r="V46" s="56">
        <f t="shared" si="36"/>
        <v>-244726.16819572257</v>
      </c>
      <c r="W46" s="56">
        <f t="shared" si="36"/>
        <v>11621605.70921097</v>
      </c>
      <c r="X46" s="56">
        <f t="shared" si="36"/>
        <v>-236183.5257172116</v>
      </c>
      <c r="Y46" s="56">
        <f t="shared" si="36"/>
        <v>-234707.24659985723</v>
      </c>
      <c r="Z46" s="56">
        <f t="shared" si="36"/>
        <v>-233327.46561401407</v>
      </c>
      <c r="AA46" s="56">
        <f t="shared" si="36"/>
        <v>-231898.91224237959</v>
      </c>
      <c r="AB46" s="56">
        <f t="shared" si="36"/>
        <v>-256657.62123473358</v>
      </c>
      <c r="AC46" s="56">
        <f t="shared" si="36"/>
        <v>-289223.91596468916</v>
      </c>
      <c r="AD46" s="56">
        <f t="shared" si="36"/>
        <v>-284409.5946751436</v>
      </c>
      <c r="AE46" s="56">
        <f t="shared" si="36"/>
        <v>-279302.37307544594</v>
      </c>
      <c r="AF46" s="56">
        <f t="shared" si="36"/>
        <v>-273873.8586120322</v>
      </c>
      <c r="AG46" s="56">
        <f t="shared" si="36"/>
        <v>-268092.08352769347</v>
      </c>
      <c r="AH46" s="56">
        <f t="shared" si="36"/>
        <v>-261922.61656362488</v>
      </c>
      <c r="AI46" s="56">
        <f t="shared" si="36"/>
        <v>-255326.84092261808</v>
      </c>
      <c r="AJ46" s="56">
        <f t="shared" si="36"/>
        <v>-248263.00369092674</v>
      </c>
      <c r="AK46" s="56">
        <f t="shared" ref="AK46:BP46" si="37">AK43+AK44+AK45</f>
        <v>-240684.42510928944</v>
      </c>
      <c r="AL46" s="56">
        <f t="shared" si="37"/>
        <v>-232540.47222512675</v>
      </c>
      <c r="AM46" s="56">
        <f t="shared" si="37"/>
        <v>-223774.68458130045</v>
      </c>
      <c r="AN46" s="56">
        <f t="shared" si="37"/>
        <v>-214326.00639586363</v>
      </c>
      <c r="AO46" s="56">
        <f t="shared" si="37"/>
        <v>-248359.8803706459</v>
      </c>
      <c r="AP46" s="56">
        <f t="shared" si="37"/>
        <v>-241685.44811089413</v>
      </c>
      <c r="AQ46" s="56">
        <f t="shared" si="37"/>
        <v>-234510.02933090166</v>
      </c>
      <c r="AR46" s="56">
        <f t="shared" si="37"/>
        <v>-226791.9238515638</v>
      </c>
      <c r="AS46" s="56">
        <f t="shared" si="37"/>
        <v>-218485.57970639149</v>
      </c>
      <c r="AT46" s="56">
        <f t="shared" si="37"/>
        <v>-209541.21693417535</v>
      </c>
      <c r="AU46" s="56">
        <f t="shared" si="37"/>
        <v>-199904.41360307115</v>
      </c>
      <c r="AV46" s="56">
        <f t="shared" si="37"/>
        <v>-189515.65022392382</v>
      </c>
      <c r="AW46" s="56">
        <f t="shared" si="37"/>
        <v>-178309.8083172866</v>
      </c>
      <c r="AX46" s="56">
        <f t="shared" si="37"/>
        <v>-166215.61846483743</v>
      </c>
      <c r="AY46" s="56">
        <f t="shared" si="37"/>
        <v>-153155.0526975863</v>
      </c>
      <c r="AZ46" s="56">
        <f t="shared" si="37"/>
        <v>-139042.65554582662</v>
      </c>
      <c r="BA46" s="56">
        <f t="shared" si="37"/>
        <v>-139301.59455562517</v>
      </c>
      <c r="BB46" s="56">
        <f t="shared" si="37"/>
        <v>-129689.21023302567</v>
      </c>
      <c r="BC46" s="56">
        <f t="shared" si="37"/>
        <v>-119672.89651778668</v>
      </c>
      <c r="BD46" s="56">
        <f t="shared" si="37"/>
        <v>-109236.27563244755</v>
      </c>
      <c r="BE46" s="56">
        <f t="shared" si="37"/>
        <v>-98362.299260530432</v>
      </c>
      <c r="BF46" s="56">
        <f t="shared" si="37"/>
        <v>-87033.220795991219</v>
      </c>
      <c r="BG46" s="56">
        <f t="shared" si="37"/>
        <v>-75230.566432294494</v>
      </c>
      <c r="BH46" s="56">
        <f t="shared" si="37"/>
        <v>-62935.105042121751</v>
      </c>
      <c r="BI46" s="56">
        <f t="shared" si="37"/>
        <v>-50126.816796632338</v>
      </c>
      <c r="BJ46" s="56">
        <f t="shared" si="37"/>
        <v>-36784.860471022148</v>
      </c>
      <c r="BK46" s="56">
        <f t="shared" si="37"/>
        <v>-22887.539380853465</v>
      </c>
      <c r="BL46" s="56">
        <f t="shared" si="37"/>
        <v>-8412.265891261648</v>
      </c>
    </row>
    <row r="47" spans="2:64" x14ac:dyDescent="0.35">
      <c r="B47" s="3" t="s">
        <v>301</v>
      </c>
      <c r="C47" s="18" t="s">
        <v>111</v>
      </c>
      <c r="D47" s="20">
        <f>E47</f>
        <v>25000</v>
      </c>
      <c r="E47" s="40">
        <f>Inputs!$D$68</f>
        <v>25000</v>
      </c>
      <c r="F47" s="20">
        <f t="shared" ref="F47:AK47" si="38">E48</f>
        <v>968982.45075814484</v>
      </c>
      <c r="G47" s="20">
        <f t="shared" si="38"/>
        <v>906540.89493863343</v>
      </c>
      <c r="H47" s="20">
        <f t="shared" si="38"/>
        <v>836407.78940738866</v>
      </c>
      <c r="I47" s="20">
        <f t="shared" si="38"/>
        <v>728665.83516840695</v>
      </c>
      <c r="J47" s="20">
        <f t="shared" si="38"/>
        <v>621098.35524104757</v>
      </c>
      <c r="K47" s="20">
        <f t="shared" si="38"/>
        <v>522405.62684836902</v>
      </c>
      <c r="L47" s="20">
        <f t="shared" si="38"/>
        <v>423589.53254519962</v>
      </c>
      <c r="M47" s="20">
        <f t="shared" si="38"/>
        <v>4249239.5469831582</v>
      </c>
      <c r="N47" s="20">
        <f t="shared" si="38"/>
        <v>4095958.2209993517</v>
      </c>
      <c r="O47" s="20">
        <f t="shared" si="38"/>
        <v>3890409.6858692942</v>
      </c>
      <c r="P47" s="20">
        <f t="shared" si="38"/>
        <v>3687615.1207309384</v>
      </c>
      <c r="Q47" s="20">
        <f t="shared" si="38"/>
        <v>3477720.4991631419</v>
      </c>
      <c r="R47" s="20">
        <f t="shared" si="38"/>
        <v>3193444.9695990221</v>
      </c>
      <c r="S47" s="20">
        <f t="shared" si="38"/>
        <v>2943491.8889734894</v>
      </c>
      <c r="T47" s="20">
        <f t="shared" si="38"/>
        <v>2694772.3361224481</v>
      </c>
      <c r="U47" s="20">
        <f t="shared" si="38"/>
        <v>2447343.4349854547</v>
      </c>
      <c r="V47" s="20">
        <f t="shared" si="38"/>
        <v>2201247.0933774142</v>
      </c>
      <c r="W47" s="20">
        <f t="shared" si="38"/>
        <v>1956520.9251816915</v>
      </c>
      <c r="X47" s="20">
        <f t="shared" si="38"/>
        <v>13578126.63439266</v>
      </c>
      <c r="Y47" s="20">
        <f t="shared" si="38"/>
        <v>13341943.108675448</v>
      </c>
      <c r="Z47" s="20">
        <f t="shared" si="38"/>
        <v>13107235.862075591</v>
      </c>
      <c r="AA47" s="20">
        <f t="shared" si="38"/>
        <v>12873908.396461578</v>
      </c>
      <c r="AB47" s="20">
        <f t="shared" si="38"/>
        <v>12642009.484219199</v>
      </c>
      <c r="AC47" s="20">
        <f t="shared" si="38"/>
        <v>12385351.862984465</v>
      </c>
      <c r="AD47" s="20">
        <f t="shared" si="38"/>
        <v>12096127.947019776</v>
      </c>
      <c r="AE47" s="20">
        <f t="shared" si="38"/>
        <v>11811718.352344632</v>
      </c>
      <c r="AF47" s="20">
        <f t="shared" si="38"/>
        <v>11532415.979269186</v>
      </c>
      <c r="AG47" s="20">
        <f t="shared" si="38"/>
        <v>11258542.120657153</v>
      </c>
      <c r="AH47" s="20">
        <f t="shared" si="38"/>
        <v>10990450.03712946</v>
      </c>
      <c r="AI47" s="20">
        <f t="shared" si="38"/>
        <v>10728527.420565834</v>
      </c>
      <c r="AJ47" s="20">
        <f t="shared" si="38"/>
        <v>10473200.579643216</v>
      </c>
      <c r="AK47" s="20">
        <f t="shared" si="38"/>
        <v>10224937.57595229</v>
      </c>
      <c r="AL47" s="20">
        <f t="shared" ref="AL47:BL47" si="39">AK48</f>
        <v>9984253.150843</v>
      </c>
      <c r="AM47" s="20">
        <f t="shared" si="39"/>
        <v>9751712.6786178742</v>
      </c>
      <c r="AN47" s="20">
        <f t="shared" si="39"/>
        <v>9527937.9940365739</v>
      </c>
      <c r="AO47" s="20">
        <f t="shared" si="39"/>
        <v>9313611.9876407105</v>
      </c>
      <c r="AP47" s="20">
        <f t="shared" si="39"/>
        <v>9065252.1072700638</v>
      </c>
      <c r="AQ47" s="20">
        <f t="shared" si="39"/>
        <v>8823566.6591591705</v>
      </c>
      <c r="AR47" s="20">
        <f t="shared" si="39"/>
        <v>8589056.6298282687</v>
      </c>
      <c r="AS47" s="20">
        <f t="shared" si="39"/>
        <v>8362264.7059767051</v>
      </c>
      <c r="AT47" s="20">
        <f t="shared" si="39"/>
        <v>8143779.1262703137</v>
      </c>
      <c r="AU47" s="20">
        <f t="shared" si="39"/>
        <v>7934237.9093361385</v>
      </c>
      <c r="AV47" s="20">
        <f t="shared" si="39"/>
        <v>7734333.4957330674</v>
      </c>
      <c r="AW47" s="20">
        <f t="shared" si="39"/>
        <v>7544817.8455091435</v>
      </c>
      <c r="AX47" s="20">
        <f t="shared" si="39"/>
        <v>7366508.0371918567</v>
      </c>
      <c r="AY47" s="20">
        <f t="shared" si="39"/>
        <v>7200292.4187270189</v>
      </c>
      <c r="AZ47" s="20">
        <f t="shared" si="39"/>
        <v>7047137.366029433</v>
      </c>
      <c r="BA47" s="20">
        <f t="shared" si="39"/>
        <v>6908094.710483606</v>
      </c>
      <c r="BB47" s="20">
        <f t="shared" si="39"/>
        <v>6768793.1159279812</v>
      </c>
      <c r="BC47" s="20">
        <f t="shared" si="39"/>
        <v>6639103.905694956</v>
      </c>
      <c r="BD47" s="20">
        <f t="shared" si="39"/>
        <v>6519431.0091771688</v>
      </c>
      <c r="BE47" s="20">
        <f t="shared" si="39"/>
        <v>6410194.7335447213</v>
      </c>
      <c r="BF47" s="20">
        <f t="shared" si="39"/>
        <v>6311832.4342841906</v>
      </c>
      <c r="BG47" s="20">
        <f t="shared" si="39"/>
        <v>6224799.2134881997</v>
      </c>
      <c r="BH47" s="20">
        <f t="shared" si="39"/>
        <v>6149568.6470559053</v>
      </c>
      <c r="BI47" s="20">
        <f t="shared" si="39"/>
        <v>6086633.5420137839</v>
      </c>
      <c r="BJ47" s="20">
        <f t="shared" si="39"/>
        <v>6036506.7252171515</v>
      </c>
      <c r="BK47" s="20">
        <f t="shared" si="39"/>
        <v>5999721.8647461291</v>
      </c>
      <c r="BL47" s="20">
        <f t="shared" si="39"/>
        <v>5976834.3253652761</v>
      </c>
    </row>
    <row r="48" spans="2:64" x14ac:dyDescent="0.35">
      <c r="B48" s="4" t="s">
        <v>302</v>
      </c>
      <c r="C48" s="18" t="s">
        <v>111</v>
      </c>
      <c r="D48" s="56">
        <f>BL48</f>
        <v>5968422.0594740147</v>
      </c>
      <c r="E48" s="56">
        <f t="shared" ref="E48:AJ48" si="40">E47+E46</f>
        <v>968982.45075814484</v>
      </c>
      <c r="F48" s="56">
        <f t="shared" si="40"/>
        <v>906540.89493863343</v>
      </c>
      <c r="G48" s="56">
        <f t="shared" si="40"/>
        <v>836407.78940738866</v>
      </c>
      <c r="H48" s="56">
        <f t="shared" si="40"/>
        <v>728665.83516840695</v>
      </c>
      <c r="I48" s="56">
        <f t="shared" si="40"/>
        <v>621098.35524104757</v>
      </c>
      <c r="J48" s="56">
        <f t="shared" si="40"/>
        <v>522405.62684836902</v>
      </c>
      <c r="K48" s="56">
        <f t="shared" si="40"/>
        <v>423589.53254519962</v>
      </c>
      <c r="L48" s="56">
        <f t="shared" si="40"/>
        <v>4249239.5469831582</v>
      </c>
      <c r="M48" s="56">
        <f t="shared" si="40"/>
        <v>4095958.2209993517</v>
      </c>
      <c r="N48" s="56">
        <f t="shared" si="40"/>
        <v>3890409.6858692942</v>
      </c>
      <c r="O48" s="56">
        <f t="shared" si="40"/>
        <v>3687615.1207309384</v>
      </c>
      <c r="P48" s="56">
        <f t="shared" si="40"/>
        <v>3477720.4991631419</v>
      </c>
      <c r="Q48" s="56">
        <f t="shared" si="40"/>
        <v>3193444.9695990221</v>
      </c>
      <c r="R48" s="56">
        <f t="shared" si="40"/>
        <v>2943491.8889734894</v>
      </c>
      <c r="S48" s="56">
        <f t="shared" si="40"/>
        <v>2694772.3361224481</v>
      </c>
      <c r="T48" s="56">
        <f t="shared" si="40"/>
        <v>2447343.4349854547</v>
      </c>
      <c r="U48" s="56">
        <f t="shared" si="40"/>
        <v>2201247.0933774142</v>
      </c>
      <c r="V48" s="56">
        <f t="shared" si="40"/>
        <v>1956520.9251816915</v>
      </c>
      <c r="W48" s="56">
        <f t="shared" si="40"/>
        <v>13578126.63439266</v>
      </c>
      <c r="X48" s="56">
        <f t="shared" si="40"/>
        <v>13341943.108675448</v>
      </c>
      <c r="Y48" s="56">
        <f t="shared" si="40"/>
        <v>13107235.862075591</v>
      </c>
      <c r="Z48" s="56">
        <f t="shared" si="40"/>
        <v>12873908.396461578</v>
      </c>
      <c r="AA48" s="56">
        <f t="shared" si="40"/>
        <v>12642009.484219199</v>
      </c>
      <c r="AB48" s="56">
        <f t="shared" si="40"/>
        <v>12385351.862984465</v>
      </c>
      <c r="AC48" s="56">
        <f t="shared" si="40"/>
        <v>12096127.947019776</v>
      </c>
      <c r="AD48" s="56">
        <f t="shared" si="40"/>
        <v>11811718.352344632</v>
      </c>
      <c r="AE48" s="56">
        <f t="shared" si="40"/>
        <v>11532415.979269186</v>
      </c>
      <c r="AF48" s="56">
        <f t="shared" si="40"/>
        <v>11258542.120657153</v>
      </c>
      <c r="AG48" s="56">
        <f t="shared" si="40"/>
        <v>10990450.03712946</v>
      </c>
      <c r="AH48" s="56">
        <f t="shared" si="40"/>
        <v>10728527.420565834</v>
      </c>
      <c r="AI48" s="56">
        <f t="shared" si="40"/>
        <v>10473200.579643216</v>
      </c>
      <c r="AJ48" s="56">
        <f t="shared" si="40"/>
        <v>10224937.57595229</v>
      </c>
      <c r="AK48" s="56">
        <f t="shared" ref="AK48:BP48" si="41">AK47+AK46</f>
        <v>9984253.150843</v>
      </c>
      <c r="AL48" s="56">
        <f t="shared" si="41"/>
        <v>9751712.6786178742</v>
      </c>
      <c r="AM48" s="56">
        <f t="shared" si="41"/>
        <v>9527937.9940365739</v>
      </c>
      <c r="AN48" s="56">
        <f t="shared" si="41"/>
        <v>9313611.9876407105</v>
      </c>
      <c r="AO48" s="56">
        <f t="shared" si="41"/>
        <v>9065252.1072700638</v>
      </c>
      <c r="AP48" s="56">
        <f t="shared" si="41"/>
        <v>8823566.6591591705</v>
      </c>
      <c r="AQ48" s="56">
        <f t="shared" si="41"/>
        <v>8589056.6298282687</v>
      </c>
      <c r="AR48" s="56">
        <f t="shared" si="41"/>
        <v>8362264.7059767051</v>
      </c>
      <c r="AS48" s="56">
        <f t="shared" si="41"/>
        <v>8143779.1262703137</v>
      </c>
      <c r="AT48" s="56">
        <f t="shared" si="41"/>
        <v>7934237.9093361385</v>
      </c>
      <c r="AU48" s="56">
        <f t="shared" si="41"/>
        <v>7734333.4957330674</v>
      </c>
      <c r="AV48" s="56">
        <f t="shared" si="41"/>
        <v>7544817.8455091435</v>
      </c>
      <c r="AW48" s="56">
        <f t="shared" si="41"/>
        <v>7366508.0371918567</v>
      </c>
      <c r="AX48" s="56">
        <f t="shared" si="41"/>
        <v>7200292.4187270189</v>
      </c>
      <c r="AY48" s="56">
        <f t="shared" si="41"/>
        <v>7047137.366029433</v>
      </c>
      <c r="AZ48" s="56">
        <f t="shared" si="41"/>
        <v>6908094.710483606</v>
      </c>
      <c r="BA48" s="56">
        <f t="shared" si="41"/>
        <v>6768793.1159279812</v>
      </c>
      <c r="BB48" s="56">
        <f t="shared" si="41"/>
        <v>6639103.905694956</v>
      </c>
      <c r="BC48" s="56">
        <f t="shared" si="41"/>
        <v>6519431.0091771688</v>
      </c>
      <c r="BD48" s="56">
        <f t="shared" si="41"/>
        <v>6410194.7335447213</v>
      </c>
      <c r="BE48" s="56">
        <f t="shared" si="41"/>
        <v>6311832.4342841906</v>
      </c>
      <c r="BF48" s="56">
        <f t="shared" si="41"/>
        <v>6224799.2134881997</v>
      </c>
      <c r="BG48" s="56">
        <f t="shared" si="41"/>
        <v>6149568.6470559053</v>
      </c>
      <c r="BH48" s="56">
        <f t="shared" si="41"/>
        <v>6086633.5420137839</v>
      </c>
      <c r="BI48" s="56">
        <f t="shared" si="41"/>
        <v>6036506.7252171515</v>
      </c>
      <c r="BJ48" s="56">
        <f t="shared" si="41"/>
        <v>5999721.8647461291</v>
      </c>
      <c r="BK48" s="56">
        <f t="shared" si="41"/>
        <v>5976834.3253652761</v>
      </c>
      <c r="BL48" s="56">
        <f t="shared" si="41"/>
        <v>5968422.0594740147</v>
      </c>
    </row>
    <row r="49" spans="2:64" x14ac:dyDescent="0.35">
      <c r="B49" s="16" t="s">
        <v>429</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row>
    <row r="50" spans="2:64" x14ac:dyDescent="0.35">
      <c r="B50" s="3" t="s">
        <v>304</v>
      </c>
      <c r="C50" s="18" t="s">
        <v>111</v>
      </c>
      <c r="D50" s="20">
        <f>SUM(E50:BL50)</f>
        <v>11056577.940525986</v>
      </c>
      <c r="E50" s="20">
        <f t="shared" ref="E50:AJ50" si="42">-(E43+E44)</f>
        <v>56017.54924185518</v>
      </c>
      <c r="F50" s="20">
        <f t="shared" si="42"/>
        <v>62441.555819511377</v>
      </c>
      <c r="G50" s="20">
        <f t="shared" si="42"/>
        <v>70133.105531244742</v>
      </c>
      <c r="H50" s="20">
        <f t="shared" si="42"/>
        <v>107741.95423898166</v>
      </c>
      <c r="I50" s="20">
        <f t="shared" si="42"/>
        <v>107567.47992735935</v>
      </c>
      <c r="J50" s="20">
        <f t="shared" si="42"/>
        <v>98692.72839267856</v>
      </c>
      <c r="K50" s="20">
        <f t="shared" si="42"/>
        <v>98816.094303169419</v>
      </c>
      <c r="L50" s="20">
        <f t="shared" si="42"/>
        <v>174349.98556204123</v>
      </c>
      <c r="M50" s="20">
        <f t="shared" si="42"/>
        <v>153281.32598380669</v>
      </c>
      <c r="N50" s="20">
        <f t="shared" si="42"/>
        <v>205548.5351300574</v>
      </c>
      <c r="O50" s="20">
        <f t="shared" si="42"/>
        <v>202794.5651383556</v>
      </c>
      <c r="P50" s="20">
        <f t="shared" si="42"/>
        <v>209894.62156779633</v>
      </c>
      <c r="Q50" s="20">
        <f t="shared" si="42"/>
        <v>284275.52956411988</v>
      </c>
      <c r="R50" s="20">
        <f t="shared" si="42"/>
        <v>249953.08062553249</v>
      </c>
      <c r="S50" s="20">
        <f t="shared" si="42"/>
        <v>248719.5528510414</v>
      </c>
      <c r="T50" s="20">
        <f t="shared" si="42"/>
        <v>247428.90113699346</v>
      </c>
      <c r="U50" s="20">
        <f t="shared" si="42"/>
        <v>246096.3416080403</v>
      </c>
      <c r="V50" s="20">
        <f t="shared" si="42"/>
        <v>244726.16819572257</v>
      </c>
      <c r="W50" s="20">
        <f t="shared" si="42"/>
        <v>378394.29078902962</v>
      </c>
      <c r="X50" s="20">
        <f t="shared" si="42"/>
        <v>236183.5257172116</v>
      </c>
      <c r="Y50" s="20">
        <f t="shared" si="42"/>
        <v>234707.24659985723</v>
      </c>
      <c r="Z50" s="20">
        <f t="shared" si="42"/>
        <v>233327.46561401407</v>
      </c>
      <c r="AA50" s="20">
        <f t="shared" si="42"/>
        <v>231898.91224237959</v>
      </c>
      <c r="AB50" s="20">
        <f t="shared" si="42"/>
        <v>256657.62123473358</v>
      </c>
      <c r="AC50" s="20">
        <f t="shared" si="42"/>
        <v>289223.91596468916</v>
      </c>
      <c r="AD50" s="20">
        <f t="shared" si="42"/>
        <v>284409.5946751436</v>
      </c>
      <c r="AE50" s="20">
        <f t="shared" si="42"/>
        <v>279302.37307544594</v>
      </c>
      <c r="AF50" s="20">
        <f t="shared" si="42"/>
        <v>273873.8586120322</v>
      </c>
      <c r="AG50" s="20">
        <f t="shared" si="42"/>
        <v>268092.08352769347</v>
      </c>
      <c r="AH50" s="20">
        <f t="shared" si="42"/>
        <v>261922.61656362488</v>
      </c>
      <c r="AI50" s="20">
        <f t="shared" si="42"/>
        <v>255326.84092261808</v>
      </c>
      <c r="AJ50" s="20">
        <f t="shared" si="42"/>
        <v>248263.00369092674</v>
      </c>
      <c r="AK50" s="20">
        <f t="shared" ref="AK50:BL50" si="43">-(AK43+AK44)</f>
        <v>240684.42510928944</v>
      </c>
      <c r="AL50" s="20">
        <f t="shared" si="43"/>
        <v>232540.47222512675</v>
      </c>
      <c r="AM50" s="20">
        <f t="shared" si="43"/>
        <v>223774.68458130045</v>
      </c>
      <c r="AN50" s="20">
        <f t="shared" si="43"/>
        <v>214326.00639586363</v>
      </c>
      <c r="AO50" s="20">
        <f t="shared" si="43"/>
        <v>248359.8803706459</v>
      </c>
      <c r="AP50" s="20">
        <f t="shared" si="43"/>
        <v>241685.44811089413</v>
      </c>
      <c r="AQ50" s="20">
        <f t="shared" si="43"/>
        <v>234510.02933090166</v>
      </c>
      <c r="AR50" s="20">
        <f t="shared" si="43"/>
        <v>226791.9238515638</v>
      </c>
      <c r="AS50" s="20">
        <f t="shared" si="43"/>
        <v>218485.57970639149</v>
      </c>
      <c r="AT50" s="20">
        <f t="shared" si="43"/>
        <v>209541.21693417535</v>
      </c>
      <c r="AU50" s="20">
        <f t="shared" si="43"/>
        <v>199904.41360307115</v>
      </c>
      <c r="AV50" s="20">
        <f t="shared" si="43"/>
        <v>189515.65022392382</v>
      </c>
      <c r="AW50" s="20">
        <f t="shared" si="43"/>
        <v>178309.8083172866</v>
      </c>
      <c r="AX50" s="20">
        <f t="shared" si="43"/>
        <v>166215.61846483743</v>
      </c>
      <c r="AY50" s="20">
        <f t="shared" si="43"/>
        <v>153155.0526975863</v>
      </c>
      <c r="AZ50" s="20">
        <f t="shared" si="43"/>
        <v>139042.65554582662</v>
      </c>
      <c r="BA50" s="20">
        <f t="shared" si="43"/>
        <v>139301.59455562517</v>
      </c>
      <c r="BB50" s="20">
        <f t="shared" si="43"/>
        <v>129689.21023302567</v>
      </c>
      <c r="BC50" s="20">
        <f t="shared" si="43"/>
        <v>119672.89651778668</v>
      </c>
      <c r="BD50" s="20">
        <f t="shared" si="43"/>
        <v>109236.27563244755</v>
      </c>
      <c r="BE50" s="20">
        <f t="shared" si="43"/>
        <v>98362.299260530432</v>
      </c>
      <c r="BF50" s="20">
        <f t="shared" si="43"/>
        <v>87033.220795991219</v>
      </c>
      <c r="BG50" s="20">
        <f t="shared" si="43"/>
        <v>75230.566432294494</v>
      </c>
      <c r="BH50" s="20">
        <f t="shared" si="43"/>
        <v>62935.105042121751</v>
      </c>
      <c r="BI50" s="20">
        <f t="shared" si="43"/>
        <v>50126.816796632338</v>
      </c>
      <c r="BJ50" s="20">
        <f t="shared" si="43"/>
        <v>36784.860471022148</v>
      </c>
      <c r="BK50" s="20">
        <f t="shared" si="43"/>
        <v>22887.539380853465</v>
      </c>
      <c r="BL50" s="20">
        <f t="shared" si="43"/>
        <v>8412.265891261648</v>
      </c>
    </row>
    <row r="51" spans="2:64" x14ac:dyDescent="0.35">
      <c r="B51" s="3" t="s">
        <v>430</v>
      </c>
      <c r="C51" s="18" t="s">
        <v>111</v>
      </c>
      <c r="E51" s="20">
        <f>E50</f>
        <v>56017.54924185518</v>
      </c>
      <c r="F51" s="20">
        <f>AVERAGE(E50:F50)</f>
        <v>59229.552530683279</v>
      </c>
      <c r="G51" s="20">
        <f t="shared" ref="G51:AL51" si="44">AVERAGE(E50:G50)</f>
        <v>62864.070197537098</v>
      </c>
      <c r="H51" s="20">
        <f t="shared" si="44"/>
        <v>80105.538529912592</v>
      </c>
      <c r="I51" s="20">
        <f t="shared" si="44"/>
        <v>95147.513232528581</v>
      </c>
      <c r="J51" s="20">
        <f t="shared" si="44"/>
        <v>104667.3875196732</v>
      </c>
      <c r="K51" s="20">
        <f t="shared" si="44"/>
        <v>101692.10087440244</v>
      </c>
      <c r="L51" s="20">
        <f t="shared" si="44"/>
        <v>123952.93608596308</v>
      </c>
      <c r="M51" s="20">
        <f t="shared" si="44"/>
        <v>142149.13528300577</v>
      </c>
      <c r="N51" s="20">
        <f t="shared" si="44"/>
        <v>177726.61555863509</v>
      </c>
      <c r="O51" s="20">
        <f t="shared" si="44"/>
        <v>187208.14208407325</v>
      </c>
      <c r="P51" s="20">
        <f t="shared" si="44"/>
        <v>206079.24061206976</v>
      </c>
      <c r="Q51" s="20">
        <f t="shared" si="44"/>
        <v>232321.5720900906</v>
      </c>
      <c r="R51" s="20">
        <f t="shared" si="44"/>
        <v>248041.07725248291</v>
      </c>
      <c r="S51" s="20">
        <f t="shared" si="44"/>
        <v>260982.72101356459</v>
      </c>
      <c r="T51" s="20">
        <f t="shared" si="44"/>
        <v>248700.51153785575</v>
      </c>
      <c r="U51" s="20">
        <f t="shared" si="44"/>
        <v>247414.93186535838</v>
      </c>
      <c r="V51" s="20">
        <f t="shared" si="44"/>
        <v>246083.80364691876</v>
      </c>
      <c r="W51" s="20">
        <f t="shared" si="44"/>
        <v>289738.93353093084</v>
      </c>
      <c r="X51" s="20">
        <f t="shared" si="44"/>
        <v>286434.66156732128</v>
      </c>
      <c r="Y51" s="20">
        <f t="shared" si="44"/>
        <v>283095.02103536617</v>
      </c>
      <c r="Z51" s="20">
        <f t="shared" si="44"/>
        <v>234739.41264369432</v>
      </c>
      <c r="AA51" s="20">
        <f t="shared" si="44"/>
        <v>233311.20815208365</v>
      </c>
      <c r="AB51" s="20">
        <f t="shared" si="44"/>
        <v>240627.99969704243</v>
      </c>
      <c r="AC51" s="20">
        <f t="shared" si="44"/>
        <v>259260.14981393411</v>
      </c>
      <c r="AD51" s="20">
        <f t="shared" si="44"/>
        <v>276763.71062485542</v>
      </c>
      <c r="AE51" s="20">
        <f t="shared" si="44"/>
        <v>284311.96123842621</v>
      </c>
      <c r="AF51" s="20">
        <f t="shared" si="44"/>
        <v>279195.27545420727</v>
      </c>
      <c r="AG51" s="20">
        <f t="shared" si="44"/>
        <v>273756.10507172387</v>
      </c>
      <c r="AH51" s="20">
        <f t="shared" si="44"/>
        <v>267962.85290111689</v>
      </c>
      <c r="AI51" s="20">
        <f t="shared" si="44"/>
        <v>261780.51367131213</v>
      </c>
      <c r="AJ51" s="20">
        <f t="shared" si="44"/>
        <v>255170.8203923899</v>
      </c>
      <c r="AK51" s="20">
        <f t="shared" si="44"/>
        <v>248091.42324094474</v>
      </c>
      <c r="AL51" s="20">
        <f t="shared" si="44"/>
        <v>240495.96700844765</v>
      </c>
      <c r="AM51" s="20">
        <f t="shared" ref="AM51:BR51" si="45">AVERAGE(AK50:AM50)</f>
        <v>232333.19397190554</v>
      </c>
      <c r="AN51" s="20">
        <f t="shared" si="45"/>
        <v>223547.05440076359</v>
      </c>
      <c r="AO51" s="20">
        <f t="shared" si="45"/>
        <v>228820.19044926998</v>
      </c>
      <c r="AP51" s="20">
        <f t="shared" si="45"/>
        <v>234790.44495913456</v>
      </c>
      <c r="AQ51" s="20">
        <f t="shared" si="45"/>
        <v>241518.45260414723</v>
      </c>
      <c r="AR51" s="20">
        <f t="shared" si="45"/>
        <v>234329.1337644532</v>
      </c>
      <c r="AS51" s="20">
        <f t="shared" si="45"/>
        <v>226595.84429628565</v>
      </c>
      <c r="AT51" s="20">
        <f t="shared" si="45"/>
        <v>218272.90683071021</v>
      </c>
      <c r="AU51" s="20">
        <f t="shared" si="45"/>
        <v>209310.40341454602</v>
      </c>
      <c r="AV51" s="20">
        <f t="shared" si="45"/>
        <v>199653.76025372345</v>
      </c>
      <c r="AW51" s="20">
        <f t="shared" si="45"/>
        <v>189243.29071476054</v>
      </c>
      <c r="AX51" s="20">
        <f t="shared" si="45"/>
        <v>178013.69233534927</v>
      </c>
      <c r="AY51" s="20">
        <f t="shared" si="45"/>
        <v>165893.49315990345</v>
      </c>
      <c r="AZ51" s="20">
        <f t="shared" si="45"/>
        <v>152804.44223608344</v>
      </c>
      <c r="BA51" s="20">
        <f t="shared" si="45"/>
        <v>143833.1009330127</v>
      </c>
      <c r="BB51" s="20">
        <f t="shared" si="45"/>
        <v>136011.15344482582</v>
      </c>
      <c r="BC51" s="20">
        <f t="shared" si="45"/>
        <v>129554.56710214583</v>
      </c>
      <c r="BD51" s="20">
        <f t="shared" si="45"/>
        <v>119532.7941277533</v>
      </c>
      <c r="BE51" s="20">
        <f t="shared" si="45"/>
        <v>109090.4904702549</v>
      </c>
      <c r="BF51" s="20">
        <f t="shared" si="45"/>
        <v>98210.598562989733</v>
      </c>
      <c r="BG51" s="20">
        <f t="shared" si="45"/>
        <v>86875.362162938705</v>
      </c>
      <c r="BH51" s="20">
        <f t="shared" si="45"/>
        <v>75066.29742346915</v>
      </c>
      <c r="BI51" s="20">
        <f t="shared" si="45"/>
        <v>62764.162757016195</v>
      </c>
      <c r="BJ51" s="20">
        <f t="shared" si="45"/>
        <v>49948.927436592079</v>
      </c>
      <c r="BK51" s="20">
        <f t="shared" si="45"/>
        <v>36599.738882835984</v>
      </c>
      <c r="BL51" s="20">
        <f t="shared" si="45"/>
        <v>22694.888581045754</v>
      </c>
    </row>
    <row r="52" spans="2:64" x14ac:dyDescent="0.35">
      <c r="B52" s="3" t="s">
        <v>305</v>
      </c>
      <c r="C52" s="18" t="s">
        <v>306</v>
      </c>
      <c r="D52" s="27">
        <f>BL52</f>
        <v>262.98529900951809</v>
      </c>
      <c r="E52" s="27">
        <f t="shared" ref="E52:AJ52" si="46">IF(E51&gt;0,MAX(E48,0)/E51,"not burning")</f>
        <v>17.297837264793095</v>
      </c>
      <c r="F52" s="27">
        <f t="shared" si="46"/>
        <v>15.305550290440046</v>
      </c>
      <c r="G52" s="27">
        <f t="shared" si="46"/>
        <v>13.305021243122715</v>
      </c>
      <c r="H52" s="27">
        <f t="shared" si="46"/>
        <v>9.0963227829285778</v>
      </c>
      <c r="I52" s="27">
        <f t="shared" si="46"/>
        <v>6.5277413370033237</v>
      </c>
      <c r="J52" s="27">
        <f t="shared" si="46"/>
        <v>4.9911021878727801</v>
      </c>
      <c r="K52" s="27">
        <f t="shared" si="46"/>
        <v>4.165412346710835</v>
      </c>
      <c r="L52" s="27">
        <f t="shared" si="46"/>
        <v>34.28107216465007</v>
      </c>
      <c r="M52" s="27">
        <f t="shared" si="46"/>
        <v>28.814513805129227</v>
      </c>
      <c r="N52" s="27">
        <f t="shared" si="46"/>
        <v>21.889854109024995</v>
      </c>
      <c r="O52" s="27">
        <f t="shared" si="46"/>
        <v>19.697941978799555</v>
      </c>
      <c r="P52" s="27">
        <f t="shared" si="46"/>
        <v>16.875646905695444</v>
      </c>
      <c r="Q52" s="27">
        <f t="shared" si="46"/>
        <v>13.74579614311776</v>
      </c>
      <c r="R52" s="27">
        <f t="shared" si="46"/>
        <v>11.866953335222322</v>
      </c>
      <c r="S52" s="27">
        <f t="shared" si="46"/>
        <v>10.325481800698933</v>
      </c>
      <c r="T52" s="27">
        <f t="shared" si="46"/>
        <v>9.8405243312615145</v>
      </c>
      <c r="U52" s="27">
        <f t="shared" si="46"/>
        <v>8.8969856296923862</v>
      </c>
      <c r="V52" s="27">
        <f t="shared" si="46"/>
        <v>7.9506285915057999</v>
      </c>
      <c r="W52" s="27">
        <f t="shared" si="46"/>
        <v>46.863314049380726</v>
      </c>
      <c r="X52" s="27">
        <f t="shared" si="46"/>
        <v>46.579359619644585</v>
      </c>
      <c r="Y52" s="27">
        <f t="shared" si="46"/>
        <v>46.299775298549477</v>
      </c>
      <c r="Z52" s="27">
        <f t="shared" si="46"/>
        <v>54.843403804552388</v>
      </c>
      <c r="AA52" s="27">
        <f t="shared" si="46"/>
        <v>54.185178604786614</v>
      </c>
      <c r="AB52" s="27">
        <f t="shared" si="46"/>
        <v>51.470950506915152</v>
      </c>
      <c r="AC52" s="27">
        <f t="shared" si="46"/>
        <v>46.656333245587213</v>
      </c>
      <c r="AD52" s="27">
        <f t="shared" si="46"/>
        <v>42.677988113676683</v>
      </c>
      <c r="AE52" s="27">
        <f t="shared" si="46"/>
        <v>40.562542388422457</v>
      </c>
      <c r="AF52" s="27">
        <f t="shared" si="46"/>
        <v>40.324973631238052</v>
      </c>
      <c r="AG52" s="27">
        <f t="shared" si="46"/>
        <v>40.146867352054016</v>
      </c>
      <c r="AH52" s="27">
        <f t="shared" si="46"/>
        <v>40.037368256132332</v>
      </c>
      <c r="AI52" s="27">
        <f t="shared" si="46"/>
        <v>40.007563713444377</v>
      </c>
      <c r="AJ52" s="27">
        <f t="shared" si="46"/>
        <v>40.070951530542764</v>
      </c>
      <c r="AK52" s="27">
        <f t="shared" ref="AK52:BP52" si="47">IF(AK51&gt;0,MAX(AK48,0)/AK51,"not burning")</f>
        <v>40.244249560962693</v>
      </c>
      <c r="AL52" s="27">
        <f t="shared" si="47"/>
        <v>40.548341828432143</v>
      </c>
      <c r="AM52" s="27">
        <f t="shared" si="47"/>
        <v>41.009800757048616</v>
      </c>
      <c r="AN52" s="27">
        <f t="shared" si="47"/>
        <v>41.662870542430625</v>
      </c>
      <c r="AO52" s="27">
        <f t="shared" si="47"/>
        <v>39.617361079331211</v>
      </c>
      <c r="AP52" s="27">
        <f t="shared" si="47"/>
        <v>37.5806036770147</v>
      </c>
      <c r="AQ52" s="27">
        <f t="shared" si="47"/>
        <v>35.562734595297677</v>
      </c>
      <c r="AR52" s="27">
        <f t="shared" si="47"/>
        <v>35.685979680112773</v>
      </c>
      <c r="AS52" s="27">
        <f t="shared" si="47"/>
        <v>35.939666729377024</v>
      </c>
      <c r="AT52" s="27">
        <f t="shared" si="47"/>
        <v>36.350081302073079</v>
      </c>
      <c r="AU52" s="27">
        <f t="shared" si="47"/>
        <v>36.951500592232726</v>
      </c>
      <c r="AV52" s="27">
        <f t="shared" si="47"/>
        <v>37.789510379975106</v>
      </c>
      <c r="AW52" s="27">
        <f t="shared" si="47"/>
        <v>38.926125250565015</v>
      </c>
      <c r="AX52" s="27">
        <f t="shared" si="47"/>
        <v>40.447969615521608</v>
      </c>
      <c r="AY52" s="27">
        <f t="shared" si="47"/>
        <v>42.479890149981664</v>
      </c>
      <c r="AZ52" s="27">
        <f t="shared" si="47"/>
        <v>45.208729598388075</v>
      </c>
      <c r="BA52" s="27">
        <f t="shared" si="47"/>
        <v>47.06005135132564</v>
      </c>
      <c r="BB52" s="27">
        <f t="shared" si="47"/>
        <v>48.812937303617311</v>
      </c>
      <c r="BC52" s="27">
        <f t="shared" si="47"/>
        <v>50.321892581656329</v>
      </c>
      <c r="BD52" s="27">
        <f t="shared" si="47"/>
        <v>53.627080169260374</v>
      </c>
      <c r="BE52" s="27">
        <f t="shared" si="47"/>
        <v>57.858686005314127</v>
      </c>
      <c r="BF52" s="27">
        <f t="shared" si="47"/>
        <v>63.382153296782676</v>
      </c>
      <c r="BG52" s="27">
        <f t="shared" si="47"/>
        <v>70.7861066008808</v>
      </c>
      <c r="BH52" s="27">
        <f t="shared" si="47"/>
        <v>81.083438919032446</v>
      </c>
      <c r="BI52" s="27">
        <f t="shared" si="47"/>
        <v>96.1776029513331</v>
      </c>
      <c r="BJ52" s="27">
        <f t="shared" si="47"/>
        <v>120.11713109080283</v>
      </c>
      <c r="BK52" s="27">
        <f t="shared" si="47"/>
        <v>163.30264935764899</v>
      </c>
      <c r="BL52" s="27">
        <f t="shared" si="47"/>
        <v>262.98529900951809</v>
      </c>
    </row>
    <row r="53" spans="2:64" x14ac:dyDescent="0.35">
      <c r="B53" s="3" t="s">
        <v>431</v>
      </c>
      <c r="C53" s="18" t="s">
        <v>415</v>
      </c>
      <c r="D53" s="13">
        <f>SUM(E53:BL53)</f>
        <v>0</v>
      </c>
      <c r="E53" s="13">
        <f t="shared" ref="E53:AJ53" si="48">IF(E48&lt;0,1,0)</f>
        <v>0</v>
      </c>
      <c r="F53" s="13">
        <f t="shared" si="48"/>
        <v>0</v>
      </c>
      <c r="G53" s="13">
        <f t="shared" si="48"/>
        <v>0</v>
      </c>
      <c r="H53" s="13">
        <f t="shared" si="48"/>
        <v>0</v>
      </c>
      <c r="I53" s="13">
        <f t="shared" si="48"/>
        <v>0</v>
      </c>
      <c r="J53" s="13">
        <f t="shared" si="48"/>
        <v>0</v>
      </c>
      <c r="K53" s="13">
        <f t="shared" si="48"/>
        <v>0</v>
      </c>
      <c r="L53" s="13">
        <f t="shared" si="48"/>
        <v>0</v>
      </c>
      <c r="M53" s="13">
        <f t="shared" si="48"/>
        <v>0</v>
      </c>
      <c r="N53" s="13">
        <f t="shared" si="48"/>
        <v>0</v>
      </c>
      <c r="O53" s="13">
        <f t="shared" si="48"/>
        <v>0</v>
      </c>
      <c r="P53" s="13">
        <f t="shared" si="48"/>
        <v>0</v>
      </c>
      <c r="Q53" s="13">
        <f t="shared" si="48"/>
        <v>0</v>
      </c>
      <c r="R53" s="13">
        <f t="shared" si="48"/>
        <v>0</v>
      </c>
      <c r="S53" s="13">
        <f t="shared" si="48"/>
        <v>0</v>
      </c>
      <c r="T53" s="13">
        <f t="shared" si="48"/>
        <v>0</v>
      </c>
      <c r="U53" s="13">
        <f t="shared" si="48"/>
        <v>0</v>
      </c>
      <c r="V53" s="13">
        <f t="shared" si="48"/>
        <v>0</v>
      </c>
      <c r="W53" s="13">
        <f t="shared" si="48"/>
        <v>0</v>
      </c>
      <c r="X53" s="13">
        <f t="shared" si="48"/>
        <v>0</v>
      </c>
      <c r="Y53" s="13">
        <f t="shared" si="48"/>
        <v>0</v>
      </c>
      <c r="Z53" s="13">
        <f t="shared" si="48"/>
        <v>0</v>
      </c>
      <c r="AA53" s="13">
        <f t="shared" si="48"/>
        <v>0</v>
      </c>
      <c r="AB53" s="13">
        <f t="shared" si="48"/>
        <v>0</v>
      </c>
      <c r="AC53" s="13">
        <f t="shared" si="48"/>
        <v>0</v>
      </c>
      <c r="AD53" s="13">
        <f t="shared" si="48"/>
        <v>0</v>
      </c>
      <c r="AE53" s="13">
        <f t="shared" si="48"/>
        <v>0</v>
      </c>
      <c r="AF53" s="13">
        <f t="shared" si="48"/>
        <v>0</v>
      </c>
      <c r="AG53" s="13">
        <f t="shared" si="48"/>
        <v>0</v>
      </c>
      <c r="AH53" s="13">
        <f t="shared" si="48"/>
        <v>0</v>
      </c>
      <c r="AI53" s="13">
        <f t="shared" si="48"/>
        <v>0</v>
      </c>
      <c r="AJ53" s="13">
        <f t="shared" si="48"/>
        <v>0</v>
      </c>
      <c r="AK53" s="13">
        <f t="shared" ref="AK53:BL53" si="49">IF(AK48&lt;0,1,0)</f>
        <v>0</v>
      </c>
      <c r="AL53" s="13">
        <f t="shared" si="49"/>
        <v>0</v>
      </c>
      <c r="AM53" s="13">
        <f t="shared" si="49"/>
        <v>0</v>
      </c>
      <c r="AN53" s="13">
        <f t="shared" si="49"/>
        <v>0</v>
      </c>
      <c r="AO53" s="13">
        <f t="shared" si="49"/>
        <v>0</v>
      </c>
      <c r="AP53" s="13">
        <f t="shared" si="49"/>
        <v>0</v>
      </c>
      <c r="AQ53" s="13">
        <f t="shared" si="49"/>
        <v>0</v>
      </c>
      <c r="AR53" s="13">
        <f t="shared" si="49"/>
        <v>0</v>
      </c>
      <c r="AS53" s="13">
        <f t="shared" si="49"/>
        <v>0</v>
      </c>
      <c r="AT53" s="13">
        <f t="shared" si="49"/>
        <v>0</v>
      </c>
      <c r="AU53" s="13">
        <f t="shared" si="49"/>
        <v>0</v>
      </c>
      <c r="AV53" s="13">
        <f t="shared" si="49"/>
        <v>0</v>
      </c>
      <c r="AW53" s="13">
        <f t="shared" si="49"/>
        <v>0</v>
      </c>
      <c r="AX53" s="13">
        <f t="shared" si="49"/>
        <v>0</v>
      </c>
      <c r="AY53" s="13">
        <f t="shared" si="49"/>
        <v>0</v>
      </c>
      <c r="AZ53" s="13">
        <f t="shared" si="49"/>
        <v>0</v>
      </c>
      <c r="BA53" s="13">
        <f t="shared" si="49"/>
        <v>0</v>
      </c>
      <c r="BB53" s="13">
        <f t="shared" si="49"/>
        <v>0</v>
      </c>
      <c r="BC53" s="13">
        <f t="shared" si="49"/>
        <v>0</v>
      </c>
      <c r="BD53" s="13">
        <f t="shared" si="49"/>
        <v>0</v>
      </c>
      <c r="BE53" s="13">
        <f t="shared" si="49"/>
        <v>0</v>
      </c>
      <c r="BF53" s="13">
        <f t="shared" si="49"/>
        <v>0</v>
      </c>
      <c r="BG53" s="13">
        <f t="shared" si="49"/>
        <v>0</v>
      </c>
      <c r="BH53" s="13">
        <f t="shared" si="49"/>
        <v>0</v>
      </c>
      <c r="BI53" s="13">
        <f t="shared" si="49"/>
        <v>0</v>
      </c>
      <c r="BJ53" s="13">
        <f t="shared" si="49"/>
        <v>0</v>
      </c>
      <c r="BK53" s="13">
        <f t="shared" si="49"/>
        <v>0</v>
      </c>
      <c r="BL53" s="13">
        <f t="shared" si="49"/>
        <v>0</v>
      </c>
    </row>
    <row r="54" spans="2:64" x14ac:dyDescent="0.35">
      <c r="B54" s="16" t="s">
        <v>432</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row>
    <row r="55" spans="2:64" x14ac:dyDescent="0.35">
      <c r="B55" s="3" t="s">
        <v>433</v>
      </c>
      <c r="C55" s="18" t="s">
        <v>415</v>
      </c>
      <c r="D55" s="13">
        <f>SUM(E55:BL55)</f>
        <v>0</v>
      </c>
      <c r="E55" s="13">
        <f t="shared" ref="E55:AJ55" si="50">IF(AND(E28&gt;0,F55=1),1,0)</f>
        <v>0</v>
      </c>
      <c r="F55" s="13">
        <f t="shared" si="50"/>
        <v>0</v>
      </c>
      <c r="G55" s="13">
        <f t="shared" si="50"/>
        <v>0</v>
      </c>
      <c r="H55" s="13">
        <f t="shared" si="50"/>
        <v>0</v>
      </c>
      <c r="I55" s="13">
        <f t="shared" si="50"/>
        <v>0</v>
      </c>
      <c r="J55" s="13">
        <f t="shared" si="50"/>
        <v>0</v>
      </c>
      <c r="K55" s="13">
        <f t="shared" si="50"/>
        <v>0</v>
      </c>
      <c r="L55" s="13">
        <f t="shared" si="50"/>
        <v>0</v>
      </c>
      <c r="M55" s="13">
        <f t="shared" si="50"/>
        <v>0</v>
      </c>
      <c r="N55" s="13">
        <f t="shared" si="50"/>
        <v>0</v>
      </c>
      <c r="O55" s="13">
        <f t="shared" si="50"/>
        <v>0</v>
      </c>
      <c r="P55" s="13">
        <f t="shared" si="50"/>
        <v>0</v>
      </c>
      <c r="Q55" s="13">
        <f t="shared" si="50"/>
        <v>0</v>
      </c>
      <c r="R55" s="13">
        <f t="shared" si="50"/>
        <v>0</v>
      </c>
      <c r="S55" s="13">
        <f t="shared" si="50"/>
        <v>0</v>
      </c>
      <c r="T55" s="13">
        <f t="shared" si="50"/>
        <v>0</v>
      </c>
      <c r="U55" s="13">
        <f t="shared" si="50"/>
        <v>0</v>
      </c>
      <c r="V55" s="13">
        <f t="shared" si="50"/>
        <v>0</v>
      </c>
      <c r="W55" s="13">
        <f t="shared" si="50"/>
        <v>0</v>
      </c>
      <c r="X55" s="13">
        <f t="shared" si="50"/>
        <v>0</v>
      </c>
      <c r="Y55" s="13">
        <f t="shared" si="50"/>
        <v>0</v>
      </c>
      <c r="Z55" s="13">
        <f t="shared" si="50"/>
        <v>0</v>
      </c>
      <c r="AA55" s="13">
        <f t="shared" si="50"/>
        <v>0</v>
      </c>
      <c r="AB55" s="13">
        <f t="shared" si="50"/>
        <v>0</v>
      </c>
      <c r="AC55" s="13">
        <f t="shared" si="50"/>
        <v>0</v>
      </c>
      <c r="AD55" s="13">
        <f t="shared" si="50"/>
        <v>0</v>
      </c>
      <c r="AE55" s="13">
        <f t="shared" si="50"/>
        <v>0</v>
      </c>
      <c r="AF55" s="13">
        <f t="shared" si="50"/>
        <v>0</v>
      </c>
      <c r="AG55" s="13">
        <f t="shared" si="50"/>
        <v>0</v>
      </c>
      <c r="AH55" s="13">
        <f t="shared" si="50"/>
        <v>0</v>
      </c>
      <c r="AI55" s="13">
        <f t="shared" si="50"/>
        <v>0</v>
      </c>
      <c r="AJ55" s="13">
        <f t="shared" si="50"/>
        <v>0</v>
      </c>
      <c r="AK55" s="13">
        <f t="shared" ref="AK55:BK55" si="51">IF(AND(AK28&gt;0,AL55=1),1,0)</f>
        <v>0</v>
      </c>
      <c r="AL55" s="13">
        <f t="shared" si="51"/>
        <v>0</v>
      </c>
      <c r="AM55" s="13">
        <f t="shared" si="51"/>
        <v>0</v>
      </c>
      <c r="AN55" s="13">
        <f t="shared" si="51"/>
        <v>0</v>
      </c>
      <c r="AO55" s="13">
        <f t="shared" si="51"/>
        <v>0</v>
      </c>
      <c r="AP55" s="13">
        <f t="shared" si="51"/>
        <v>0</v>
      </c>
      <c r="AQ55" s="13">
        <f t="shared" si="51"/>
        <v>0</v>
      </c>
      <c r="AR55" s="13">
        <f t="shared" si="51"/>
        <v>0</v>
      </c>
      <c r="AS55" s="13">
        <f t="shared" si="51"/>
        <v>0</v>
      </c>
      <c r="AT55" s="13">
        <f t="shared" si="51"/>
        <v>0</v>
      </c>
      <c r="AU55" s="13">
        <f t="shared" si="51"/>
        <v>0</v>
      </c>
      <c r="AV55" s="13">
        <f t="shared" si="51"/>
        <v>0</v>
      </c>
      <c r="AW55" s="13">
        <f t="shared" si="51"/>
        <v>0</v>
      </c>
      <c r="AX55" s="13">
        <f t="shared" si="51"/>
        <v>0</v>
      </c>
      <c r="AY55" s="13">
        <f t="shared" si="51"/>
        <v>0</v>
      </c>
      <c r="AZ55" s="13">
        <f t="shared" si="51"/>
        <v>0</v>
      </c>
      <c r="BA55" s="13">
        <f t="shared" si="51"/>
        <v>0</v>
      </c>
      <c r="BB55" s="13">
        <f t="shared" si="51"/>
        <v>0</v>
      </c>
      <c r="BC55" s="13">
        <f t="shared" si="51"/>
        <v>0</v>
      </c>
      <c r="BD55" s="13">
        <f t="shared" si="51"/>
        <v>0</v>
      </c>
      <c r="BE55" s="13">
        <f t="shared" si="51"/>
        <v>0</v>
      </c>
      <c r="BF55" s="13">
        <f t="shared" si="51"/>
        <v>0</v>
      </c>
      <c r="BG55" s="13">
        <f t="shared" si="51"/>
        <v>0</v>
      </c>
      <c r="BH55" s="13">
        <f t="shared" si="51"/>
        <v>0</v>
      </c>
      <c r="BI55" s="13">
        <f t="shared" si="51"/>
        <v>0</v>
      </c>
      <c r="BJ55" s="13">
        <f t="shared" si="51"/>
        <v>0</v>
      </c>
      <c r="BK55" s="13">
        <f t="shared" si="51"/>
        <v>0</v>
      </c>
      <c r="BL55" s="13">
        <f>IF(BL28&gt;0,1,0)</f>
        <v>0</v>
      </c>
    </row>
    <row r="56" spans="2:64" x14ac:dyDescent="0.35">
      <c r="B56" s="3" t="s">
        <v>434</v>
      </c>
      <c r="C56" s="18" t="s">
        <v>415</v>
      </c>
      <c r="D56" s="13">
        <f>SUM(E56:BL56)</f>
        <v>0</v>
      </c>
      <c r="E56" s="13">
        <f t="shared" ref="E56:AJ56" si="52">IF(AND(E43&gt;0,F56=1),1,0)</f>
        <v>0</v>
      </c>
      <c r="F56" s="13">
        <f t="shared" si="52"/>
        <v>0</v>
      </c>
      <c r="G56" s="13">
        <f t="shared" si="52"/>
        <v>0</v>
      </c>
      <c r="H56" s="13">
        <f t="shared" si="52"/>
        <v>0</v>
      </c>
      <c r="I56" s="13">
        <f t="shared" si="52"/>
        <v>0</v>
      </c>
      <c r="J56" s="13">
        <f t="shared" si="52"/>
        <v>0</v>
      </c>
      <c r="K56" s="13">
        <f t="shared" si="52"/>
        <v>0</v>
      </c>
      <c r="L56" s="13">
        <f t="shared" si="52"/>
        <v>0</v>
      </c>
      <c r="M56" s="13">
        <f t="shared" si="52"/>
        <v>0</v>
      </c>
      <c r="N56" s="13">
        <f t="shared" si="52"/>
        <v>0</v>
      </c>
      <c r="O56" s="13">
        <f t="shared" si="52"/>
        <v>0</v>
      </c>
      <c r="P56" s="13">
        <f t="shared" si="52"/>
        <v>0</v>
      </c>
      <c r="Q56" s="13">
        <f t="shared" si="52"/>
        <v>0</v>
      </c>
      <c r="R56" s="13">
        <f t="shared" si="52"/>
        <v>0</v>
      </c>
      <c r="S56" s="13">
        <f t="shared" si="52"/>
        <v>0</v>
      </c>
      <c r="T56" s="13">
        <f t="shared" si="52"/>
        <v>0</v>
      </c>
      <c r="U56" s="13">
        <f t="shared" si="52"/>
        <v>0</v>
      </c>
      <c r="V56" s="13">
        <f t="shared" si="52"/>
        <v>0</v>
      </c>
      <c r="W56" s="13">
        <f t="shared" si="52"/>
        <v>0</v>
      </c>
      <c r="X56" s="13">
        <f t="shared" si="52"/>
        <v>0</v>
      </c>
      <c r="Y56" s="13">
        <f t="shared" si="52"/>
        <v>0</v>
      </c>
      <c r="Z56" s="13">
        <f t="shared" si="52"/>
        <v>0</v>
      </c>
      <c r="AA56" s="13">
        <f t="shared" si="52"/>
        <v>0</v>
      </c>
      <c r="AB56" s="13">
        <f t="shared" si="52"/>
        <v>0</v>
      </c>
      <c r="AC56" s="13">
        <f t="shared" si="52"/>
        <v>0</v>
      </c>
      <c r="AD56" s="13">
        <f t="shared" si="52"/>
        <v>0</v>
      </c>
      <c r="AE56" s="13">
        <f t="shared" si="52"/>
        <v>0</v>
      </c>
      <c r="AF56" s="13">
        <f t="shared" si="52"/>
        <v>0</v>
      </c>
      <c r="AG56" s="13">
        <f t="shared" si="52"/>
        <v>0</v>
      </c>
      <c r="AH56" s="13">
        <f t="shared" si="52"/>
        <v>0</v>
      </c>
      <c r="AI56" s="13">
        <f t="shared" si="52"/>
        <v>0</v>
      </c>
      <c r="AJ56" s="13">
        <f t="shared" si="52"/>
        <v>0</v>
      </c>
      <c r="AK56" s="13">
        <f t="shared" ref="AK56:BK56" si="53">IF(AND(AK43&gt;0,AL56=1),1,0)</f>
        <v>0</v>
      </c>
      <c r="AL56" s="13">
        <f t="shared" si="53"/>
        <v>0</v>
      </c>
      <c r="AM56" s="13">
        <f t="shared" si="53"/>
        <v>0</v>
      </c>
      <c r="AN56" s="13">
        <f t="shared" si="53"/>
        <v>0</v>
      </c>
      <c r="AO56" s="13">
        <f t="shared" si="53"/>
        <v>0</v>
      </c>
      <c r="AP56" s="13">
        <f t="shared" si="53"/>
        <v>0</v>
      </c>
      <c r="AQ56" s="13">
        <f t="shared" si="53"/>
        <v>0</v>
      </c>
      <c r="AR56" s="13">
        <f t="shared" si="53"/>
        <v>0</v>
      </c>
      <c r="AS56" s="13">
        <f t="shared" si="53"/>
        <v>0</v>
      </c>
      <c r="AT56" s="13">
        <f t="shared" si="53"/>
        <v>0</v>
      </c>
      <c r="AU56" s="13">
        <f t="shared" si="53"/>
        <v>0</v>
      </c>
      <c r="AV56" s="13">
        <f t="shared" si="53"/>
        <v>0</v>
      </c>
      <c r="AW56" s="13">
        <f t="shared" si="53"/>
        <v>0</v>
      </c>
      <c r="AX56" s="13">
        <f t="shared" si="53"/>
        <v>0</v>
      </c>
      <c r="AY56" s="13">
        <f t="shared" si="53"/>
        <v>0</v>
      </c>
      <c r="AZ56" s="13">
        <f t="shared" si="53"/>
        <v>0</v>
      </c>
      <c r="BA56" s="13">
        <f t="shared" si="53"/>
        <v>0</v>
      </c>
      <c r="BB56" s="13">
        <f t="shared" si="53"/>
        <v>0</v>
      </c>
      <c r="BC56" s="13">
        <f t="shared" si="53"/>
        <v>0</v>
      </c>
      <c r="BD56" s="13">
        <f t="shared" si="53"/>
        <v>0</v>
      </c>
      <c r="BE56" s="13">
        <f t="shared" si="53"/>
        <v>0</v>
      </c>
      <c r="BF56" s="13">
        <f t="shared" si="53"/>
        <v>0</v>
      </c>
      <c r="BG56" s="13">
        <f t="shared" si="53"/>
        <v>0</v>
      </c>
      <c r="BH56" s="13">
        <f t="shared" si="53"/>
        <v>0</v>
      </c>
      <c r="BI56" s="13">
        <f t="shared" si="53"/>
        <v>0</v>
      </c>
      <c r="BJ56" s="13">
        <f t="shared" si="53"/>
        <v>0</v>
      </c>
      <c r="BK56" s="13">
        <f t="shared" si="53"/>
        <v>0</v>
      </c>
      <c r="BL56" s="13">
        <f>IF(BL43&gt;0,1,0)</f>
        <v>0</v>
      </c>
    </row>
    <row r="57" spans="2:64" x14ac:dyDescent="0.35">
      <c r="B57" s="3" t="s">
        <v>435</v>
      </c>
      <c r="C57" s="18" t="s">
        <v>111</v>
      </c>
      <c r="D57" s="20">
        <f>BL57</f>
        <v>-11056577.940525994</v>
      </c>
      <c r="E57" s="20">
        <f>E43+E44</f>
        <v>-56017.54924185518</v>
      </c>
      <c r="F57" s="20">
        <f t="shared" ref="F57:AK57" si="54">E57+F43+F44</f>
        <v>-118459.10506136656</v>
      </c>
      <c r="G57" s="20">
        <f t="shared" si="54"/>
        <v>-188592.21059261131</v>
      </c>
      <c r="H57" s="20">
        <f t="shared" si="54"/>
        <v>-296334.16483159299</v>
      </c>
      <c r="I57" s="20">
        <f t="shared" si="54"/>
        <v>-403901.64475895232</v>
      </c>
      <c r="J57" s="20">
        <f t="shared" si="54"/>
        <v>-502594.37315163086</v>
      </c>
      <c r="K57" s="20">
        <f t="shared" si="54"/>
        <v>-601410.46745480027</v>
      </c>
      <c r="L57" s="20">
        <f t="shared" si="54"/>
        <v>-775760.45301684155</v>
      </c>
      <c r="M57" s="20">
        <f t="shared" si="54"/>
        <v>-929041.7790006483</v>
      </c>
      <c r="N57" s="20">
        <f t="shared" si="54"/>
        <v>-1134590.3141307055</v>
      </c>
      <c r="O57" s="20">
        <f t="shared" si="54"/>
        <v>-1337384.8792690611</v>
      </c>
      <c r="P57" s="20">
        <f t="shared" si="54"/>
        <v>-1547279.5008368574</v>
      </c>
      <c r="Q57" s="20">
        <f t="shared" si="54"/>
        <v>-1831555.0304009772</v>
      </c>
      <c r="R57" s="20">
        <f t="shared" si="54"/>
        <v>-2081508.1110265097</v>
      </c>
      <c r="S57" s="20">
        <f t="shared" si="54"/>
        <v>-2330227.663877551</v>
      </c>
      <c r="T57" s="20">
        <f t="shared" si="54"/>
        <v>-2577656.5650145444</v>
      </c>
      <c r="U57" s="20">
        <f t="shared" si="54"/>
        <v>-2823752.9066225849</v>
      </c>
      <c r="V57" s="20">
        <f t="shared" si="54"/>
        <v>-3068479.0748183075</v>
      </c>
      <c r="W57" s="20">
        <f t="shared" si="54"/>
        <v>-3446873.3656073371</v>
      </c>
      <c r="X57" s="20">
        <f t="shared" si="54"/>
        <v>-3683056.8913245485</v>
      </c>
      <c r="Y57" s="20">
        <f t="shared" si="54"/>
        <v>-3917764.1379244057</v>
      </c>
      <c r="Z57" s="20">
        <f t="shared" si="54"/>
        <v>-4151091.6035384201</v>
      </c>
      <c r="AA57" s="20">
        <f t="shared" si="54"/>
        <v>-4382990.5157808</v>
      </c>
      <c r="AB57" s="20">
        <f t="shared" si="54"/>
        <v>-4639648.1370155336</v>
      </c>
      <c r="AC57" s="20">
        <f t="shared" si="54"/>
        <v>-4928872.0529802227</v>
      </c>
      <c r="AD57" s="20">
        <f t="shared" si="54"/>
        <v>-5213281.647655366</v>
      </c>
      <c r="AE57" s="20">
        <f t="shared" si="54"/>
        <v>-5492584.0207308121</v>
      </c>
      <c r="AF57" s="20">
        <f t="shared" si="54"/>
        <v>-5766457.8793428447</v>
      </c>
      <c r="AG57" s="20">
        <f t="shared" si="54"/>
        <v>-6034549.9628705382</v>
      </c>
      <c r="AH57" s="20">
        <f t="shared" si="54"/>
        <v>-6296472.5794341629</v>
      </c>
      <c r="AI57" s="20">
        <f t="shared" si="54"/>
        <v>-6551799.4203567812</v>
      </c>
      <c r="AJ57" s="20">
        <f t="shared" si="54"/>
        <v>-6800062.4240477076</v>
      </c>
      <c r="AK57" s="20">
        <f t="shared" si="54"/>
        <v>-7040746.8491569972</v>
      </c>
      <c r="AL57" s="20">
        <f t="shared" ref="AL57:BL57" si="55">AK57+AL43+AL44</f>
        <v>-7273287.321382124</v>
      </c>
      <c r="AM57" s="20">
        <f t="shared" si="55"/>
        <v>-7497062.0059634242</v>
      </c>
      <c r="AN57" s="20">
        <f t="shared" si="55"/>
        <v>-7711388.0123592876</v>
      </c>
      <c r="AO57" s="20">
        <f t="shared" si="55"/>
        <v>-7959747.8927299334</v>
      </c>
      <c r="AP57" s="20">
        <f t="shared" si="55"/>
        <v>-8201433.3408408277</v>
      </c>
      <c r="AQ57" s="20">
        <f t="shared" si="55"/>
        <v>-8435943.3701717295</v>
      </c>
      <c r="AR57" s="20">
        <f t="shared" si="55"/>
        <v>-8662735.294023294</v>
      </c>
      <c r="AS57" s="20">
        <f t="shared" si="55"/>
        <v>-8881220.8737296853</v>
      </c>
      <c r="AT57" s="20">
        <f t="shared" si="55"/>
        <v>-9090762.0906638615</v>
      </c>
      <c r="AU57" s="20">
        <f t="shared" si="55"/>
        <v>-9290666.5042669326</v>
      </c>
      <c r="AV57" s="20">
        <f t="shared" si="55"/>
        <v>-9480182.1544908565</v>
      </c>
      <c r="AW57" s="20">
        <f t="shared" si="55"/>
        <v>-9658491.9628081433</v>
      </c>
      <c r="AX57" s="20">
        <f t="shared" si="55"/>
        <v>-9824707.5812729802</v>
      </c>
      <c r="AY57" s="20">
        <f t="shared" si="55"/>
        <v>-9977862.6339705661</v>
      </c>
      <c r="AZ57" s="20">
        <f t="shared" si="55"/>
        <v>-10116905.289516393</v>
      </c>
      <c r="BA57" s="20">
        <f t="shared" si="55"/>
        <v>-10256206.884072019</v>
      </c>
      <c r="BB57" s="20">
        <f t="shared" si="55"/>
        <v>-10385896.094305046</v>
      </c>
      <c r="BC57" s="20">
        <f t="shared" si="55"/>
        <v>-10505568.990822833</v>
      </c>
      <c r="BD57" s="20">
        <f t="shared" si="55"/>
        <v>-10614805.266455282</v>
      </c>
      <c r="BE57" s="20">
        <f t="shared" si="55"/>
        <v>-10713167.565715812</v>
      </c>
      <c r="BF57" s="20">
        <f t="shared" si="55"/>
        <v>-10800200.786511805</v>
      </c>
      <c r="BG57" s="20">
        <f t="shared" si="55"/>
        <v>-10875431.3529441</v>
      </c>
      <c r="BH57" s="20">
        <f t="shared" si="55"/>
        <v>-10938366.457986223</v>
      </c>
      <c r="BI57" s="20">
        <f t="shared" si="55"/>
        <v>-10988493.274782855</v>
      </c>
      <c r="BJ57" s="20">
        <f t="shared" si="55"/>
        <v>-11025278.135253878</v>
      </c>
      <c r="BK57" s="20">
        <f t="shared" si="55"/>
        <v>-11048165.674634732</v>
      </c>
      <c r="BL57" s="20">
        <f t="shared" si="55"/>
        <v>-11056577.940525994</v>
      </c>
    </row>
    <row r="58" spans="2:64" x14ac:dyDescent="0.35">
      <c r="B58" s="3" t="s">
        <v>436</v>
      </c>
      <c r="C58" s="18" t="s">
        <v>111</v>
      </c>
      <c r="D58" s="20">
        <f>BL58</f>
        <v>-11056577.940525994</v>
      </c>
      <c r="E58" s="20">
        <f>E57</f>
        <v>-56017.54924185518</v>
      </c>
      <c r="F58" s="20">
        <f t="shared" ref="F58:AK58" si="56">MIN(E58,F57)</f>
        <v>-118459.10506136656</v>
      </c>
      <c r="G58" s="20">
        <f t="shared" si="56"/>
        <v>-188592.21059261131</v>
      </c>
      <c r="H58" s="20">
        <f t="shared" si="56"/>
        <v>-296334.16483159299</v>
      </c>
      <c r="I58" s="20">
        <f t="shared" si="56"/>
        <v>-403901.64475895232</v>
      </c>
      <c r="J58" s="20">
        <f t="shared" si="56"/>
        <v>-502594.37315163086</v>
      </c>
      <c r="K58" s="20">
        <f t="shared" si="56"/>
        <v>-601410.46745480027</v>
      </c>
      <c r="L58" s="20">
        <f t="shared" si="56"/>
        <v>-775760.45301684155</v>
      </c>
      <c r="M58" s="20">
        <f t="shared" si="56"/>
        <v>-929041.7790006483</v>
      </c>
      <c r="N58" s="20">
        <f t="shared" si="56"/>
        <v>-1134590.3141307055</v>
      </c>
      <c r="O58" s="20">
        <f t="shared" si="56"/>
        <v>-1337384.8792690611</v>
      </c>
      <c r="P58" s="20">
        <f t="shared" si="56"/>
        <v>-1547279.5008368574</v>
      </c>
      <c r="Q58" s="20">
        <f t="shared" si="56"/>
        <v>-1831555.0304009772</v>
      </c>
      <c r="R58" s="20">
        <f t="shared" si="56"/>
        <v>-2081508.1110265097</v>
      </c>
      <c r="S58" s="20">
        <f t="shared" si="56"/>
        <v>-2330227.663877551</v>
      </c>
      <c r="T58" s="20">
        <f t="shared" si="56"/>
        <v>-2577656.5650145444</v>
      </c>
      <c r="U58" s="20">
        <f t="shared" si="56"/>
        <v>-2823752.9066225849</v>
      </c>
      <c r="V58" s="20">
        <f t="shared" si="56"/>
        <v>-3068479.0748183075</v>
      </c>
      <c r="W58" s="20">
        <f t="shared" si="56"/>
        <v>-3446873.3656073371</v>
      </c>
      <c r="X58" s="20">
        <f t="shared" si="56"/>
        <v>-3683056.8913245485</v>
      </c>
      <c r="Y58" s="20">
        <f t="shared" si="56"/>
        <v>-3917764.1379244057</v>
      </c>
      <c r="Z58" s="20">
        <f t="shared" si="56"/>
        <v>-4151091.6035384201</v>
      </c>
      <c r="AA58" s="20">
        <f t="shared" si="56"/>
        <v>-4382990.5157808</v>
      </c>
      <c r="AB58" s="20">
        <f t="shared" si="56"/>
        <v>-4639648.1370155336</v>
      </c>
      <c r="AC58" s="20">
        <f t="shared" si="56"/>
        <v>-4928872.0529802227</v>
      </c>
      <c r="AD58" s="20">
        <f t="shared" si="56"/>
        <v>-5213281.647655366</v>
      </c>
      <c r="AE58" s="20">
        <f t="shared" si="56"/>
        <v>-5492584.0207308121</v>
      </c>
      <c r="AF58" s="20">
        <f t="shared" si="56"/>
        <v>-5766457.8793428447</v>
      </c>
      <c r="AG58" s="20">
        <f t="shared" si="56"/>
        <v>-6034549.9628705382</v>
      </c>
      <c r="AH58" s="20">
        <f t="shared" si="56"/>
        <v>-6296472.5794341629</v>
      </c>
      <c r="AI58" s="20">
        <f t="shared" si="56"/>
        <v>-6551799.4203567812</v>
      </c>
      <c r="AJ58" s="20">
        <f t="shared" si="56"/>
        <v>-6800062.4240477076</v>
      </c>
      <c r="AK58" s="20">
        <f t="shared" si="56"/>
        <v>-7040746.8491569972</v>
      </c>
      <c r="AL58" s="20">
        <f t="shared" ref="AL58:BQ58" si="57">MIN(AK58,AL57)</f>
        <v>-7273287.321382124</v>
      </c>
      <c r="AM58" s="20">
        <f t="shared" si="57"/>
        <v>-7497062.0059634242</v>
      </c>
      <c r="AN58" s="20">
        <f t="shared" si="57"/>
        <v>-7711388.0123592876</v>
      </c>
      <c r="AO58" s="20">
        <f t="shared" si="57"/>
        <v>-7959747.8927299334</v>
      </c>
      <c r="AP58" s="20">
        <f t="shared" si="57"/>
        <v>-8201433.3408408277</v>
      </c>
      <c r="AQ58" s="20">
        <f t="shared" si="57"/>
        <v>-8435943.3701717295</v>
      </c>
      <c r="AR58" s="20">
        <f t="shared" si="57"/>
        <v>-8662735.294023294</v>
      </c>
      <c r="AS58" s="20">
        <f t="shared" si="57"/>
        <v>-8881220.8737296853</v>
      </c>
      <c r="AT58" s="20">
        <f t="shared" si="57"/>
        <v>-9090762.0906638615</v>
      </c>
      <c r="AU58" s="20">
        <f t="shared" si="57"/>
        <v>-9290666.5042669326</v>
      </c>
      <c r="AV58" s="20">
        <f t="shared" si="57"/>
        <v>-9480182.1544908565</v>
      </c>
      <c r="AW58" s="20">
        <f t="shared" si="57"/>
        <v>-9658491.9628081433</v>
      </c>
      <c r="AX58" s="20">
        <f t="shared" si="57"/>
        <v>-9824707.5812729802</v>
      </c>
      <c r="AY58" s="20">
        <f t="shared" si="57"/>
        <v>-9977862.6339705661</v>
      </c>
      <c r="AZ58" s="20">
        <f t="shared" si="57"/>
        <v>-10116905.289516393</v>
      </c>
      <c r="BA58" s="20">
        <f t="shared" si="57"/>
        <v>-10256206.884072019</v>
      </c>
      <c r="BB58" s="20">
        <f t="shared" si="57"/>
        <v>-10385896.094305046</v>
      </c>
      <c r="BC58" s="20">
        <f t="shared" si="57"/>
        <v>-10505568.990822833</v>
      </c>
      <c r="BD58" s="20">
        <f t="shared" si="57"/>
        <v>-10614805.266455282</v>
      </c>
      <c r="BE58" s="20">
        <f t="shared" si="57"/>
        <v>-10713167.565715812</v>
      </c>
      <c r="BF58" s="20">
        <f t="shared" si="57"/>
        <v>-10800200.786511805</v>
      </c>
      <c r="BG58" s="20">
        <f t="shared" si="57"/>
        <v>-10875431.3529441</v>
      </c>
      <c r="BH58" s="20">
        <f t="shared" si="57"/>
        <v>-10938366.457986223</v>
      </c>
      <c r="BI58" s="20">
        <f t="shared" si="57"/>
        <v>-10988493.274782855</v>
      </c>
      <c r="BJ58" s="20">
        <f t="shared" si="57"/>
        <v>-11025278.135253878</v>
      </c>
      <c r="BK58" s="20">
        <f t="shared" si="57"/>
        <v>-11048165.674634732</v>
      </c>
      <c r="BL58" s="20">
        <f t="shared" si="57"/>
        <v>-11056577.940525994</v>
      </c>
    </row>
    <row r="59" spans="2:64" x14ac:dyDescent="0.35">
      <c r="B59" s="3" t="s">
        <v>437</v>
      </c>
      <c r="C59" s="18" t="s">
        <v>415</v>
      </c>
      <c r="D59" s="13">
        <f>SUM(E59:BL59)</f>
        <v>0</v>
      </c>
      <c r="F59" s="13">
        <f t="shared" ref="F59:AK59" si="58">IF(AND(F57&gt;=0,E58&lt;0),1,0)</f>
        <v>0</v>
      </c>
      <c r="G59" s="13">
        <f t="shared" si="58"/>
        <v>0</v>
      </c>
      <c r="H59" s="13">
        <f t="shared" si="58"/>
        <v>0</v>
      </c>
      <c r="I59" s="13">
        <f t="shared" si="58"/>
        <v>0</v>
      </c>
      <c r="J59" s="13">
        <f t="shared" si="58"/>
        <v>0</v>
      </c>
      <c r="K59" s="13">
        <f t="shared" si="58"/>
        <v>0</v>
      </c>
      <c r="L59" s="13">
        <f t="shared" si="58"/>
        <v>0</v>
      </c>
      <c r="M59" s="13">
        <f t="shared" si="58"/>
        <v>0</v>
      </c>
      <c r="N59" s="13">
        <f t="shared" si="58"/>
        <v>0</v>
      </c>
      <c r="O59" s="13">
        <f t="shared" si="58"/>
        <v>0</v>
      </c>
      <c r="P59" s="13">
        <f t="shared" si="58"/>
        <v>0</v>
      </c>
      <c r="Q59" s="13">
        <f t="shared" si="58"/>
        <v>0</v>
      </c>
      <c r="R59" s="13">
        <f t="shared" si="58"/>
        <v>0</v>
      </c>
      <c r="S59" s="13">
        <f t="shared" si="58"/>
        <v>0</v>
      </c>
      <c r="T59" s="13">
        <f t="shared" si="58"/>
        <v>0</v>
      </c>
      <c r="U59" s="13">
        <f t="shared" si="58"/>
        <v>0</v>
      </c>
      <c r="V59" s="13">
        <f t="shared" si="58"/>
        <v>0</v>
      </c>
      <c r="W59" s="13">
        <f t="shared" si="58"/>
        <v>0</v>
      </c>
      <c r="X59" s="13">
        <f t="shared" si="58"/>
        <v>0</v>
      </c>
      <c r="Y59" s="13">
        <f t="shared" si="58"/>
        <v>0</v>
      </c>
      <c r="Z59" s="13">
        <f t="shared" si="58"/>
        <v>0</v>
      </c>
      <c r="AA59" s="13">
        <f t="shared" si="58"/>
        <v>0</v>
      </c>
      <c r="AB59" s="13">
        <f t="shared" si="58"/>
        <v>0</v>
      </c>
      <c r="AC59" s="13">
        <f t="shared" si="58"/>
        <v>0</v>
      </c>
      <c r="AD59" s="13">
        <f t="shared" si="58"/>
        <v>0</v>
      </c>
      <c r="AE59" s="13">
        <f t="shared" si="58"/>
        <v>0</v>
      </c>
      <c r="AF59" s="13">
        <f t="shared" si="58"/>
        <v>0</v>
      </c>
      <c r="AG59" s="13">
        <f t="shared" si="58"/>
        <v>0</v>
      </c>
      <c r="AH59" s="13">
        <f t="shared" si="58"/>
        <v>0</v>
      </c>
      <c r="AI59" s="13">
        <f t="shared" si="58"/>
        <v>0</v>
      </c>
      <c r="AJ59" s="13">
        <f t="shared" si="58"/>
        <v>0</v>
      </c>
      <c r="AK59" s="13">
        <f t="shared" si="58"/>
        <v>0</v>
      </c>
      <c r="AL59" s="13">
        <f t="shared" ref="AL59:BL59" si="59">IF(AND(AL57&gt;=0,AK58&lt;0),1,0)</f>
        <v>0</v>
      </c>
      <c r="AM59" s="13">
        <f t="shared" si="59"/>
        <v>0</v>
      </c>
      <c r="AN59" s="13">
        <f t="shared" si="59"/>
        <v>0</v>
      </c>
      <c r="AO59" s="13">
        <f t="shared" si="59"/>
        <v>0</v>
      </c>
      <c r="AP59" s="13">
        <f t="shared" si="59"/>
        <v>0</v>
      </c>
      <c r="AQ59" s="13">
        <f t="shared" si="59"/>
        <v>0</v>
      </c>
      <c r="AR59" s="13">
        <f t="shared" si="59"/>
        <v>0</v>
      </c>
      <c r="AS59" s="13">
        <f t="shared" si="59"/>
        <v>0</v>
      </c>
      <c r="AT59" s="13">
        <f t="shared" si="59"/>
        <v>0</v>
      </c>
      <c r="AU59" s="13">
        <f t="shared" si="59"/>
        <v>0</v>
      </c>
      <c r="AV59" s="13">
        <f t="shared" si="59"/>
        <v>0</v>
      </c>
      <c r="AW59" s="13">
        <f t="shared" si="59"/>
        <v>0</v>
      </c>
      <c r="AX59" s="13">
        <f t="shared" si="59"/>
        <v>0</v>
      </c>
      <c r="AY59" s="13">
        <f t="shared" si="59"/>
        <v>0</v>
      </c>
      <c r="AZ59" s="13">
        <f t="shared" si="59"/>
        <v>0</v>
      </c>
      <c r="BA59" s="13">
        <f t="shared" si="59"/>
        <v>0</v>
      </c>
      <c r="BB59" s="13">
        <f t="shared" si="59"/>
        <v>0</v>
      </c>
      <c r="BC59" s="13">
        <f t="shared" si="59"/>
        <v>0</v>
      </c>
      <c r="BD59" s="13">
        <f t="shared" si="59"/>
        <v>0</v>
      </c>
      <c r="BE59" s="13">
        <f t="shared" si="59"/>
        <v>0</v>
      </c>
      <c r="BF59" s="13">
        <f t="shared" si="59"/>
        <v>0</v>
      </c>
      <c r="BG59" s="13">
        <f t="shared" si="59"/>
        <v>0</v>
      </c>
      <c r="BH59" s="13">
        <f t="shared" si="59"/>
        <v>0</v>
      </c>
      <c r="BI59" s="13">
        <f t="shared" si="59"/>
        <v>0</v>
      </c>
      <c r="BJ59" s="13">
        <f t="shared" si="59"/>
        <v>0</v>
      </c>
      <c r="BK59" s="13">
        <f t="shared" si="59"/>
        <v>0</v>
      </c>
      <c r="BL59" s="13">
        <f t="shared" si="59"/>
        <v>0</v>
      </c>
    </row>
    <row r="60" spans="2:64" x14ac:dyDescent="0.35">
      <c r="B60" s="3" t="s">
        <v>438</v>
      </c>
      <c r="C60" s="18" t="s">
        <v>203</v>
      </c>
      <c r="D60" s="77">
        <f>IF(SUM(E55:BL55)&gt;0,61-SUM(E55:BL55),0)</f>
        <v>0</v>
      </c>
    </row>
    <row r="61" spans="2:64" x14ac:dyDescent="0.35">
      <c r="B61" s="3" t="s">
        <v>17</v>
      </c>
      <c r="C61" s="18" t="s">
        <v>439</v>
      </c>
      <c r="D61" s="3" t="str">
        <f>IF(D60=0,"not reached",CHOOSE(MOD(D60-1,12)+1,"Jan","Feb","Mar","Apr","May","Jun","Jul","Aug","Sep","Oct","Nov","Dec")&amp;" "&amp;(2027+INT((D60-1)/12))&amp;" (month "&amp;D60&amp;")")</f>
        <v>not reached</v>
      </c>
    </row>
    <row r="62" spans="2:64" x14ac:dyDescent="0.35">
      <c r="B62" s="3" t="s">
        <v>440</v>
      </c>
      <c r="C62" s="18" t="s">
        <v>203</v>
      </c>
      <c r="D62" s="77">
        <f>IF(SUM(E56:BL56)&gt;0,61-SUM(E56:BL56),0)</f>
        <v>0</v>
      </c>
    </row>
    <row r="63" spans="2:64" x14ac:dyDescent="0.35">
      <c r="B63" s="3" t="s">
        <v>261</v>
      </c>
      <c r="C63" s="18" t="s">
        <v>439</v>
      </c>
      <c r="D63" s="3" t="str">
        <f>IF(D62=0,"not reached",CHOOSE(MOD(D62-1,12)+1,"Jan","Feb","Mar","Apr","May","Jun","Jul","Aug","Sep","Oct","Nov","Dec")&amp;" "&amp;(2027+INT((D62-1)/12))&amp;" (month "&amp;D62&amp;")")</f>
        <v>not reached</v>
      </c>
    </row>
    <row r="64" spans="2:64" x14ac:dyDescent="0.35">
      <c r="B64" s="3" t="s">
        <v>15</v>
      </c>
      <c r="C64" s="18" t="s">
        <v>111</v>
      </c>
      <c r="D64" s="56">
        <f>MIN(E48:BL48)</f>
        <v>423589.53254519962</v>
      </c>
    </row>
    <row r="65" spans="2:64" x14ac:dyDescent="0.35">
      <c r="B65" s="3" t="s">
        <v>441</v>
      </c>
      <c r="C65" s="18" t="s">
        <v>203</v>
      </c>
      <c r="D65" s="13">
        <f>MATCH(D64,E48:BL48,0)</f>
        <v>7</v>
      </c>
    </row>
    <row r="66" spans="2:64" x14ac:dyDescent="0.35">
      <c r="B66" s="3" t="s">
        <v>16</v>
      </c>
      <c r="C66" s="18" t="s">
        <v>439</v>
      </c>
      <c r="D66" s="3" t="str">
        <f>IF(D65=0,"not reached",CHOOSE(MOD(D65-1,12)+1,"Jan","Feb","Mar","Apr","May","Jun","Jul","Aug","Sep","Oct","Nov","Dec")&amp;" "&amp;(2027+INT((D65-1)/12))&amp;" (month "&amp;D65&amp;")")</f>
        <v>Jul 2027 (month 7)</v>
      </c>
    </row>
    <row r="67" spans="2:64" x14ac:dyDescent="0.35">
      <c r="B67" s="3" t="s">
        <v>442</v>
      </c>
      <c r="C67" s="18" t="s">
        <v>203</v>
      </c>
      <c r="D67" s="77">
        <f>IF(SUM(E59:BL59)&gt;0,MATCH(1,E59:BL59,0),0)</f>
        <v>0</v>
      </c>
    </row>
    <row r="68" spans="2:64" x14ac:dyDescent="0.35">
      <c r="B68" s="3" t="s">
        <v>263</v>
      </c>
      <c r="C68" s="18" t="s">
        <v>439</v>
      </c>
      <c r="D68" s="3" t="str">
        <f>IF(D67=0,"not reached",CHOOSE(MOD(D67-1,12)+1,"Jan","Feb","Mar","Apr","May","Jun","Jul","Aug","Sep","Oct","Nov","Dec")&amp;" "&amp;(2027+INT((D67-1)/12))&amp;" (month "&amp;D67&amp;")")</f>
        <v>not reached</v>
      </c>
    </row>
    <row r="69" spans="2:64" x14ac:dyDescent="0.35">
      <c r="B69" s="3" t="s">
        <v>443</v>
      </c>
      <c r="C69" s="18" t="s">
        <v>203</v>
      </c>
      <c r="D69" s="77">
        <f>IF(SUM(E53:BL53)&gt;0,MATCH(1,E53:BL53,0),0)</f>
        <v>0</v>
      </c>
    </row>
    <row r="70" spans="2:64" x14ac:dyDescent="0.35">
      <c r="B70" s="3" t="s">
        <v>258</v>
      </c>
      <c r="C70" s="18" t="s">
        <v>439</v>
      </c>
      <c r="D70" s="3" t="str">
        <f>IF(D69=0,"not within 60 months",CHOOSE(MOD(D69-1,12)+1,"Jan","Feb","Mar","Apr","May","Jun","Jul","Aug","Sep","Oct","Nov","Dec")&amp;" "&amp;(2027+INT((D69-1)/12))&amp;" (month "&amp;D69&amp;")")</f>
        <v>not within 60 months</v>
      </c>
    </row>
    <row r="71" spans="2:64" x14ac:dyDescent="0.35">
      <c r="B71" s="16" t="s">
        <v>398</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row>
    <row r="72" spans="2:64" x14ac:dyDescent="0.35">
      <c r="B72" s="3" t="s">
        <v>444</v>
      </c>
      <c r="C72" s="18" t="s">
        <v>111</v>
      </c>
      <c r="D72" s="53">
        <f>MAX(MAX(E72:BL72),-MIN(E72:BL72))</f>
        <v>0</v>
      </c>
      <c r="E72" s="40">
        <f>E48-(Inputs!$D$68+SUM($E28:E28)-SUM($E30:E30)-SUM($E40:E40)+SUM($E35:E35)+SUM($E45:E45))</f>
        <v>0</v>
      </c>
      <c r="F72" s="40">
        <f>F48-(Inputs!$D$68+SUM($E28:F28)-SUM($E30:F30)-SUM($E40:F40)+SUM($E35:F35)+SUM($E45:F45))</f>
        <v>0</v>
      </c>
      <c r="G72" s="40">
        <f>G48-(Inputs!$D$68+SUM($E28:G28)-SUM($E30:G30)-SUM($E40:G40)+SUM($E35:G35)+SUM($E45:G45))</f>
        <v>0</v>
      </c>
      <c r="H72" s="40">
        <f>H48-(Inputs!$D$68+SUM($E28:H28)-SUM($E30:H30)-SUM($E40:H40)+SUM($E35:H35)+SUM($E45:H45))</f>
        <v>0</v>
      </c>
      <c r="I72" s="40">
        <f>I48-(Inputs!$D$68+SUM($E28:I28)-SUM($E30:I30)-SUM($E40:I40)+SUM($E35:I35)+SUM($E45:I45))</f>
        <v>0</v>
      </c>
      <c r="J72" s="40">
        <f>J48-(Inputs!$D$68+SUM($E28:J28)-SUM($E30:J30)-SUM($E40:J40)+SUM($E35:J35)+SUM($E45:J45))</f>
        <v>0</v>
      </c>
      <c r="K72" s="40">
        <f>K48-(Inputs!$D$68+SUM($E28:K28)-SUM($E30:K30)-SUM($E40:K40)+SUM($E35:K35)+SUM($E45:K45))</f>
        <v>0</v>
      </c>
      <c r="L72" s="40">
        <f>L48-(Inputs!$D$68+SUM($E28:L28)-SUM($E30:L30)-SUM($E40:L40)+SUM($E35:L35)+SUM($E45:L45))</f>
        <v>0</v>
      </c>
      <c r="M72" s="40">
        <f>M48-(Inputs!$D$68+SUM($E28:M28)-SUM($E30:M30)-SUM($E40:M40)+SUM($E35:M35)+SUM($E45:M45))</f>
        <v>0</v>
      </c>
      <c r="N72" s="40">
        <f>N48-(Inputs!$D$68+SUM($E28:N28)-SUM($E30:N30)-SUM($E40:N40)+SUM($E35:N35)+SUM($E45:N45))</f>
        <v>0</v>
      </c>
      <c r="O72" s="40">
        <f>O48-(Inputs!$D$68+SUM($E28:O28)-SUM($E30:O30)-SUM($E40:O40)+SUM($E35:O35)+SUM($E45:O45))</f>
        <v>0</v>
      </c>
      <c r="P72" s="40">
        <f>P48-(Inputs!$D$68+SUM($E28:P28)-SUM($E30:P30)-SUM($E40:P40)+SUM($E35:P35)+SUM($E45:P45))</f>
        <v>0</v>
      </c>
      <c r="Q72" s="40">
        <f>Q48-(Inputs!$D$68+SUM($E28:Q28)-SUM($E30:Q30)-SUM($E40:Q40)+SUM($E35:Q35)+SUM($E45:Q45))</f>
        <v>0</v>
      </c>
      <c r="R72" s="40">
        <f>R48-(Inputs!$D$68+SUM($E28:R28)-SUM($E30:R30)-SUM($E40:R40)+SUM($E35:R35)+SUM($E45:R45))</f>
        <v>0</v>
      </c>
      <c r="S72" s="40">
        <f>S48-(Inputs!$D$68+SUM($E28:S28)-SUM($E30:S30)-SUM($E40:S40)+SUM($E35:S35)+SUM($E45:S45))</f>
        <v>0</v>
      </c>
      <c r="T72" s="40">
        <f>T48-(Inputs!$D$68+SUM($E28:T28)-SUM($E30:T30)-SUM($E40:T40)+SUM($E35:T35)+SUM($E45:T45))</f>
        <v>0</v>
      </c>
      <c r="U72" s="40">
        <f>U48-(Inputs!$D$68+SUM($E28:U28)-SUM($E30:U30)-SUM($E40:U40)+SUM($E35:U35)+SUM($E45:U45))</f>
        <v>0</v>
      </c>
      <c r="V72" s="40">
        <f>V48-(Inputs!$D$68+SUM($E28:V28)-SUM($E30:V30)-SUM($E40:V40)+SUM($E35:V35)+SUM($E45:V45))</f>
        <v>0</v>
      </c>
      <c r="W72" s="40">
        <f>W48-(Inputs!$D$68+SUM($E28:W28)-SUM($E30:W30)-SUM($E40:W40)+SUM($E35:W35)+SUM($E45:W45))</f>
        <v>0</v>
      </c>
      <c r="X72" s="40">
        <f>X48-(Inputs!$D$68+SUM($E28:X28)-SUM($E30:X30)-SUM($E40:X40)+SUM($E35:X35)+SUM($E45:X45))</f>
        <v>0</v>
      </c>
      <c r="Y72" s="40">
        <f>Y48-(Inputs!$D$68+SUM($E28:Y28)-SUM($E30:Y30)-SUM($E40:Y40)+SUM($E35:Y35)+SUM($E45:Y45))</f>
        <v>0</v>
      </c>
      <c r="Z72" s="40">
        <f>Z48-(Inputs!$D$68+SUM($E28:Z28)-SUM($E30:Z30)-SUM($E40:Z40)+SUM($E35:Z35)+SUM($E45:Z45))</f>
        <v>0</v>
      </c>
      <c r="AA72" s="40">
        <f>AA48-(Inputs!$D$68+SUM($E28:AA28)-SUM($E30:AA30)-SUM($E40:AA40)+SUM($E35:AA35)+SUM($E45:AA45))</f>
        <v>0</v>
      </c>
      <c r="AB72" s="40">
        <f>AB48-(Inputs!$D$68+SUM($E28:AB28)-SUM($E30:AB30)-SUM($E40:AB40)+SUM($E35:AB35)+SUM($E45:AB45))</f>
        <v>0</v>
      </c>
      <c r="AC72" s="40">
        <f>AC48-(Inputs!$D$68+SUM($E28:AC28)-SUM($E30:AC30)-SUM($E40:AC40)+SUM($E35:AC35)+SUM($E45:AC45))</f>
        <v>0</v>
      </c>
      <c r="AD72" s="40">
        <f>AD48-(Inputs!$D$68+SUM($E28:AD28)-SUM($E30:AD30)-SUM($E40:AD40)+SUM($E35:AD35)+SUM($E45:AD45))</f>
        <v>0</v>
      </c>
      <c r="AE72" s="40">
        <f>AE48-(Inputs!$D$68+SUM($E28:AE28)-SUM($E30:AE30)-SUM($E40:AE40)+SUM($E35:AE35)+SUM($E45:AE45))</f>
        <v>0</v>
      </c>
      <c r="AF72" s="40">
        <f>AF48-(Inputs!$D$68+SUM($E28:AF28)-SUM($E30:AF30)-SUM($E40:AF40)+SUM($E35:AF35)+SUM($E45:AF45))</f>
        <v>0</v>
      </c>
      <c r="AG72" s="40">
        <f>AG48-(Inputs!$D$68+SUM($E28:AG28)-SUM($E30:AG30)-SUM($E40:AG40)+SUM($E35:AG35)+SUM($E45:AG45))</f>
        <v>0</v>
      </c>
      <c r="AH72" s="40">
        <f>AH48-(Inputs!$D$68+SUM($E28:AH28)-SUM($E30:AH30)-SUM($E40:AH40)+SUM($E35:AH35)+SUM($E45:AH45))</f>
        <v>0</v>
      </c>
      <c r="AI72" s="40">
        <f>AI48-(Inputs!$D$68+SUM($E28:AI28)-SUM($E30:AI30)-SUM($E40:AI40)+SUM($E35:AI35)+SUM($E45:AI45))</f>
        <v>0</v>
      </c>
      <c r="AJ72" s="40">
        <f>AJ48-(Inputs!$D$68+SUM($E28:AJ28)-SUM($E30:AJ30)-SUM($E40:AJ40)+SUM($E35:AJ35)+SUM($E45:AJ45))</f>
        <v>0</v>
      </c>
      <c r="AK72" s="40">
        <f>AK48-(Inputs!$D$68+SUM($E28:AK28)-SUM($E30:AK30)-SUM($E40:AK40)+SUM($E35:AK35)+SUM($E45:AK45))</f>
        <v>0</v>
      </c>
      <c r="AL72" s="40">
        <f>AL48-(Inputs!$D$68+SUM($E28:AL28)-SUM($E30:AL30)-SUM($E40:AL40)+SUM($E35:AL35)+SUM($E45:AL45))</f>
        <v>0</v>
      </c>
      <c r="AM72" s="40">
        <f>AM48-(Inputs!$D$68+SUM($E28:AM28)-SUM($E30:AM30)-SUM($E40:AM40)+SUM($E35:AM35)+SUM($E45:AM45))</f>
        <v>0</v>
      </c>
      <c r="AN72" s="40">
        <f>AN48-(Inputs!$D$68+SUM($E28:AN28)-SUM($E30:AN30)-SUM($E40:AN40)+SUM($E35:AN35)+SUM($E45:AN45))</f>
        <v>0</v>
      </c>
      <c r="AO72" s="40">
        <f>AO48-(Inputs!$D$68+SUM($E28:AO28)-SUM($E30:AO30)-SUM($E40:AO40)+SUM($E35:AO35)+SUM($E45:AO45))</f>
        <v>0</v>
      </c>
      <c r="AP72" s="40">
        <f>AP48-(Inputs!$D$68+SUM($E28:AP28)-SUM($E30:AP30)-SUM($E40:AP40)+SUM($E35:AP35)+SUM($E45:AP45))</f>
        <v>0</v>
      </c>
      <c r="AQ72" s="40">
        <f>AQ48-(Inputs!$D$68+SUM($E28:AQ28)-SUM($E30:AQ30)-SUM($E40:AQ40)+SUM($E35:AQ35)+SUM($E45:AQ45))</f>
        <v>0</v>
      </c>
      <c r="AR72" s="40">
        <f>AR48-(Inputs!$D$68+SUM($E28:AR28)-SUM($E30:AR30)-SUM($E40:AR40)+SUM($E35:AR35)+SUM($E45:AR45))</f>
        <v>0</v>
      </c>
      <c r="AS72" s="40">
        <f>AS48-(Inputs!$D$68+SUM($E28:AS28)-SUM($E30:AS30)-SUM($E40:AS40)+SUM($E35:AS35)+SUM($E45:AS45))</f>
        <v>0</v>
      </c>
      <c r="AT72" s="40">
        <f>AT48-(Inputs!$D$68+SUM($E28:AT28)-SUM($E30:AT30)-SUM($E40:AT40)+SUM($E35:AT35)+SUM($E45:AT45))</f>
        <v>0</v>
      </c>
      <c r="AU72" s="40">
        <f>AU48-(Inputs!$D$68+SUM($E28:AU28)-SUM($E30:AU30)-SUM($E40:AU40)+SUM($E35:AU35)+SUM($E45:AU45))</f>
        <v>0</v>
      </c>
      <c r="AV72" s="40">
        <f>AV48-(Inputs!$D$68+SUM($E28:AV28)-SUM($E30:AV30)-SUM($E40:AV40)+SUM($E35:AV35)+SUM($E45:AV45))</f>
        <v>0</v>
      </c>
      <c r="AW72" s="40">
        <f>AW48-(Inputs!$D$68+SUM($E28:AW28)-SUM($E30:AW30)-SUM($E40:AW40)+SUM($E35:AW35)+SUM($E45:AW45))</f>
        <v>0</v>
      </c>
      <c r="AX72" s="40">
        <f>AX48-(Inputs!$D$68+SUM($E28:AX28)-SUM($E30:AX30)-SUM($E40:AX40)+SUM($E35:AX35)+SUM($E45:AX45))</f>
        <v>0</v>
      </c>
      <c r="AY72" s="40">
        <f>AY48-(Inputs!$D$68+SUM($E28:AY28)-SUM($E30:AY30)-SUM($E40:AY40)+SUM($E35:AY35)+SUM($E45:AY45))</f>
        <v>0</v>
      </c>
      <c r="AZ72" s="40">
        <f>AZ48-(Inputs!$D$68+SUM($E28:AZ28)-SUM($E30:AZ30)-SUM($E40:AZ40)+SUM($E35:AZ35)+SUM($E45:AZ45))</f>
        <v>0</v>
      </c>
      <c r="BA72" s="40">
        <f>BA48-(Inputs!$D$68+SUM($E28:BA28)-SUM($E30:BA30)-SUM($E40:BA40)+SUM($E35:BA35)+SUM($E45:BA45))</f>
        <v>0</v>
      </c>
      <c r="BB72" s="40">
        <f>BB48-(Inputs!$D$68+SUM($E28:BB28)-SUM($E30:BB30)-SUM($E40:BB40)+SUM($E35:BB35)+SUM($E45:BB45))</f>
        <v>0</v>
      </c>
      <c r="BC72" s="40">
        <f>BC48-(Inputs!$D$68+SUM($E28:BC28)-SUM($E30:BC30)-SUM($E40:BC40)+SUM($E35:BC35)+SUM($E45:BC45))</f>
        <v>0</v>
      </c>
      <c r="BD72" s="40">
        <f>BD48-(Inputs!$D$68+SUM($E28:BD28)-SUM($E30:BD30)-SUM($E40:BD40)+SUM($E35:BD35)+SUM($E45:BD45))</f>
        <v>0</v>
      </c>
      <c r="BE72" s="40">
        <f>BE48-(Inputs!$D$68+SUM($E28:BE28)-SUM($E30:BE30)-SUM($E40:BE40)+SUM($E35:BE35)+SUM($E45:BE45))</f>
        <v>0</v>
      </c>
      <c r="BF72" s="40">
        <f>BF48-(Inputs!$D$68+SUM($E28:BF28)-SUM($E30:BF30)-SUM($E40:BF40)+SUM($E35:BF35)+SUM($E45:BF45))</f>
        <v>0</v>
      </c>
      <c r="BG72" s="40">
        <f>BG48-(Inputs!$D$68+SUM($E28:BG28)-SUM($E30:BG30)-SUM($E40:BG40)+SUM($E35:BG35)+SUM($E45:BG45))</f>
        <v>0</v>
      </c>
      <c r="BH72" s="40">
        <f>BH48-(Inputs!$D$68+SUM($E28:BH28)-SUM($E30:BH30)-SUM($E40:BH40)+SUM($E35:BH35)+SUM($E45:BH45))</f>
        <v>0</v>
      </c>
      <c r="BI72" s="40">
        <f>BI48-(Inputs!$D$68+SUM($E28:BI28)-SUM($E30:BI30)-SUM($E40:BI40)+SUM($E35:BI35)+SUM($E45:BI45))</f>
        <v>0</v>
      </c>
      <c r="BJ72" s="40">
        <f>BJ48-(Inputs!$D$68+SUM($E28:BJ28)-SUM($E30:BJ30)-SUM($E40:BJ40)+SUM($E35:BJ35)+SUM($E45:BJ45))</f>
        <v>0</v>
      </c>
      <c r="BK72" s="40">
        <f>BK48-(Inputs!$D$68+SUM($E28:BK28)-SUM($E30:BK30)-SUM($E40:BK40)+SUM($E35:BK35)+SUM($E45:BK45))</f>
        <v>0</v>
      </c>
      <c r="BL72" s="40">
        <f>BL48-(Inputs!$D$68+SUM($E28:BL28)-SUM($E30:BL30)-SUM($E40:BL40)+SUM($E35:BL35)+SUM($E45:BL45))</f>
        <v>0</v>
      </c>
    </row>
  </sheetData>
  <pageMargins left="0.4" right="0.4" top="0.5" bottom="0.5" header="0.5" footer="0.5"/>
  <pageSetup paperSize="9" fitToHeight="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F7F7F"/>
    <pageSetUpPr fitToPage="1"/>
  </sheetPr>
  <dimension ref="B1:BL72"/>
  <sheetViews>
    <sheetView showGridLines="0" workbookViewId="0">
      <pane xSplit="4" ySplit="8" topLeftCell="E9" activePane="bottomRight" state="frozen"/>
      <selection pane="topRight"/>
      <selection pane="bottomLeft"/>
      <selection pane="bottomRight"/>
    </sheetView>
  </sheetViews>
  <sheetFormatPr defaultRowHeight="14.5" x14ac:dyDescent="0.35"/>
  <cols>
    <col min="1" max="1" width="2" customWidth="1"/>
    <col min="2" max="2" width="62" customWidth="1"/>
    <col min="3" max="3" width="9" customWidth="1"/>
    <col min="4" max="4" width="16" customWidth="1"/>
    <col min="5" max="64" width="11.453125" customWidth="1"/>
  </cols>
  <sheetData>
    <row r="1" spans="2:64" ht="20" x14ac:dyDescent="0.4">
      <c r="B1" s="11" t="s">
        <v>445</v>
      </c>
    </row>
    <row r="2" spans="2:64" x14ac:dyDescent="0.35">
      <c r="B2" s="9" t="s">
        <v>95</v>
      </c>
    </row>
    <row r="3" spans="2:64" x14ac:dyDescent="0.35">
      <c r="B3" s="9" t="s">
        <v>411</v>
      </c>
    </row>
    <row r="4" spans="2:64" x14ac:dyDescent="0.35">
      <c r="B4" s="3" t="s">
        <v>277</v>
      </c>
      <c r="E4" s="13">
        <v>1</v>
      </c>
      <c r="F4" s="13">
        <f t="shared" ref="F4:AK4" si="0">E4+1</f>
        <v>2</v>
      </c>
      <c r="G4" s="13">
        <f t="shared" si="0"/>
        <v>3</v>
      </c>
      <c r="H4" s="13">
        <f t="shared" si="0"/>
        <v>4</v>
      </c>
      <c r="I4" s="13">
        <f t="shared" si="0"/>
        <v>5</v>
      </c>
      <c r="J4" s="13">
        <f t="shared" si="0"/>
        <v>6</v>
      </c>
      <c r="K4" s="13">
        <f t="shared" si="0"/>
        <v>7</v>
      </c>
      <c r="L4" s="13">
        <f t="shared" si="0"/>
        <v>8</v>
      </c>
      <c r="M4" s="13">
        <f t="shared" si="0"/>
        <v>9</v>
      </c>
      <c r="N4" s="13">
        <f t="shared" si="0"/>
        <v>10</v>
      </c>
      <c r="O4" s="13">
        <f t="shared" si="0"/>
        <v>11</v>
      </c>
      <c r="P4" s="13">
        <f t="shared" si="0"/>
        <v>12</v>
      </c>
      <c r="Q4" s="13">
        <f t="shared" si="0"/>
        <v>13</v>
      </c>
      <c r="R4" s="13">
        <f t="shared" si="0"/>
        <v>14</v>
      </c>
      <c r="S4" s="13">
        <f t="shared" si="0"/>
        <v>15</v>
      </c>
      <c r="T4" s="13">
        <f t="shared" si="0"/>
        <v>16</v>
      </c>
      <c r="U4" s="13">
        <f t="shared" si="0"/>
        <v>17</v>
      </c>
      <c r="V4" s="13">
        <f t="shared" si="0"/>
        <v>18</v>
      </c>
      <c r="W4" s="13">
        <f t="shared" si="0"/>
        <v>19</v>
      </c>
      <c r="X4" s="13">
        <f t="shared" si="0"/>
        <v>20</v>
      </c>
      <c r="Y4" s="13">
        <f t="shared" si="0"/>
        <v>21</v>
      </c>
      <c r="Z4" s="13">
        <f t="shared" si="0"/>
        <v>22</v>
      </c>
      <c r="AA4" s="13">
        <f t="shared" si="0"/>
        <v>23</v>
      </c>
      <c r="AB4" s="13">
        <f t="shared" si="0"/>
        <v>24</v>
      </c>
      <c r="AC4" s="13">
        <f t="shared" si="0"/>
        <v>25</v>
      </c>
      <c r="AD4" s="13">
        <f t="shared" si="0"/>
        <v>26</v>
      </c>
      <c r="AE4" s="13">
        <f t="shared" si="0"/>
        <v>27</v>
      </c>
      <c r="AF4" s="13">
        <f t="shared" si="0"/>
        <v>28</v>
      </c>
      <c r="AG4" s="13">
        <f t="shared" si="0"/>
        <v>29</v>
      </c>
      <c r="AH4" s="13">
        <f t="shared" si="0"/>
        <v>30</v>
      </c>
      <c r="AI4" s="13">
        <f t="shared" si="0"/>
        <v>31</v>
      </c>
      <c r="AJ4" s="13">
        <f t="shared" si="0"/>
        <v>32</v>
      </c>
      <c r="AK4" s="13">
        <f t="shared" si="0"/>
        <v>33</v>
      </c>
      <c r="AL4" s="13">
        <f t="shared" ref="AL4:BL4" si="1">AK4+1</f>
        <v>34</v>
      </c>
      <c r="AM4" s="13">
        <f t="shared" si="1"/>
        <v>35</v>
      </c>
      <c r="AN4" s="13">
        <f t="shared" si="1"/>
        <v>36</v>
      </c>
      <c r="AO4" s="13">
        <f t="shared" si="1"/>
        <v>37</v>
      </c>
      <c r="AP4" s="13">
        <f t="shared" si="1"/>
        <v>38</v>
      </c>
      <c r="AQ4" s="13">
        <f t="shared" si="1"/>
        <v>39</v>
      </c>
      <c r="AR4" s="13">
        <f t="shared" si="1"/>
        <v>40</v>
      </c>
      <c r="AS4" s="13">
        <f t="shared" si="1"/>
        <v>41</v>
      </c>
      <c r="AT4" s="13">
        <f t="shared" si="1"/>
        <v>42</v>
      </c>
      <c r="AU4" s="13">
        <f t="shared" si="1"/>
        <v>43</v>
      </c>
      <c r="AV4" s="13">
        <f t="shared" si="1"/>
        <v>44</v>
      </c>
      <c r="AW4" s="13">
        <f t="shared" si="1"/>
        <v>45</v>
      </c>
      <c r="AX4" s="13">
        <f t="shared" si="1"/>
        <v>46</v>
      </c>
      <c r="AY4" s="13">
        <f t="shared" si="1"/>
        <v>47</v>
      </c>
      <c r="AZ4" s="13">
        <f t="shared" si="1"/>
        <v>48</v>
      </c>
      <c r="BA4" s="13">
        <f t="shared" si="1"/>
        <v>49</v>
      </c>
      <c r="BB4" s="13">
        <f t="shared" si="1"/>
        <v>50</v>
      </c>
      <c r="BC4" s="13">
        <f t="shared" si="1"/>
        <v>51</v>
      </c>
      <c r="BD4" s="13">
        <f t="shared" si="1"/>
        <v>52</v>
      </c>
      <c r="BE4" s="13">
        <f t="shared" si="1"/>
        <v>53</v>
      </c>
      <c r="BF4" s="13">
        <f t="shared" si="1"/>
        <v>54</v>
      </c>
      <c r="BG4" s="13">
        <f t="shared" si="1"/>
        <v>55</v>
      </c>
      <c r="BH4" s="13">
        <f t="shared" si="1"/>
        <v>56</v>
      </c>
      <c r="BI4" s="13">
        <f t="shared" si="1"/>
        <v>57</v>
      </c>
      <c r="BJ4" s="13">
        <f t="shared" si="1"/>
        <v>58</v>
      </c>
      <c r="BK4" s="13">
        <f t="shared" si="1"/>
        <v>59</v>
      </c>
      <c r="BL4" s="13">
        <f t="shared" si="1"/>
        <v>60</v>
      </c>
    </row>
    <row r="5" spans="2:64" x14ac:dyDescent="0.35">
      <c r="B5" s="3" t="s">
        <v>278</v>
      </c>
      <c r="E5" s="38">
        <f t="shared" ref="E5:AJ5" si="2">DATE(2027,E4,1)</f>
        <v>46388</v>
      </c>
      <c r="F5" s="38">
        <f t="shared" si="2"/>
        <v>46419</v>
      </c>
      <c r="G5" s="38">
        <f t="shared" si="2"/>
        <v>46447</v>
      </c>
      <c r="H5" s="38">
        <f t="shared" si="2"/>
        <v>46478</v>
      </c>
      <c r="I5" s="38">
        <f t="shared" si="2"/>
        <v>46508</v>
      </c>
      <c r="J5" s="38">
        <f t="shared" si="2"/>
        <v>46539</v>
      </c>
      <c r="K5" s="38">
        <f t="shared" si="2"/>
        <v>46569</v>
      </c>
      <c r="L5" s="38">
        <f t="shared" si="2"/>
        <v>46600</v>
      </c>
      <c r="M5" s="38">
        <f t="shared" si="2"/>
        <v>46631</v>
      </c>
      <c r="N5" s="38">
        <f t="shared" si="2"/>
        <v>46661</v>
      </c>
      <c r="O5" s="38">
        <f t="shared" si="2"/>
        <v>46692</v>
      </c>
      <c r="P5" s="38">
        <f t="shared" si="2"/>
        <v>46722</v>
      </c>
      <c r="Q5" s="38">
        <f t="shared" si="2"/>
        <v>46753</v>
      </c>
      <c r="R5" s="38">
        <f t="shared" si="2"/>
        <v>46784</v>
      </c>
      <c r="S5" s="38">
        <f t="shared" si="2"/>
        <v>46813</v>
      </c>
      <c r="T5" s="38">
        <f t="shared" si="2"/>
        <v>46844</v>
      </c>
      <c r="U5" s="38">
        <f t="shared" si="2"/>
        <v>46874</v>
      </c>
      <c r="V5" s="38">
        <f t="shared" si="2"/>
        <v>46905</v>
      </c>
      <c r="W5" s="38">
        <f t="shared" si="2"/>
        <v>46935</v>
      </c>
      <c r="X5" s="38">
        <f t="shared" si="2"/>
        <v>46966</v>
      </c>
      <c r="Y5" s="38">
        <f t="shared" si="2"/>
        <v>46997</v>
      </c>
      <c r="Z5" s="38">
        <f t="shared" si="2"/>
        <v>47027</v>
      </c>
      <c r="AA5" s="38">
        <f t="shared" si="2"/>
        <v>47058</v>
      </c>
      <c r="AB5" s="38">
        <f t="shared" si="2"/>
        <v>47088</v>
      </c>
      <c r="AC5" s="38">
        <f t="shared" si="2"/>
        <v>47119</v>
      </c>
      <c r="AD5" s="38">
        <f t="shared" si="2"/>
        <v>47150</v>
      </c>
      <c r="AE5" s="38">
        <f t="shared" si="2"/>
        <v>47178</v>
      </c>
      <c r="AF5" s="38">
        <f t="shared" si="2"/>
        <v>47209</v>
      </c>
      <c r="AG5" s="38">
        <f t="shared" si="2"/>
        <v>47239</v>
      </c>
      <c r="AH5" s="38">
        <f t="shared" si="2"/>
        <v>47270</v>
      </c>
      <c r="AI5" s="38">
        <f t="shared" si="2"/>
        <v>47300</v>
      </c>
      <c r="AJ5" s="38">
        <f t="shared" si="2"/>
        <v>47331</v>
      </c>
      <c r="AK5" s="38">
        <f t="shared" ref="AK5:BP5" si="3">DATE(2027,AK4,1)</f>
        <v>47362</v>
      </c>
      <c r="AL5" s="38">
        <f t="shared" si="3"/>
        <v>47392</v>
      </c>
      <c r="AM5" s="38">
        <f t="shared" si="3"/>
        <v>47423</v>
      </c>
      <c r="AN5" s="38">
        <f t="shared" si="3"/>
        <v>47453</v>
      </c>
      <c r="AO5" s="38">
        <f t="shared" si="3"/>
        <v>47484</v>
      </c>
      <c r="AP5" s="38">
        <f t="shared" si="3"/>
        <v>47515</v>
      </c>
      <c r="AQ5" s="38">
        <f t="shared" si="3"/>
        <v>47543</v>
      </c>
      <c r="AR5" s="38">
        <f t="shared" si="3"/>
        <v>47574</v>
      </c>
      <c r="AS5" s="38">
        <f t="shared" si="3"/>
        <v>47604</v>
      </c>
      <c r="AT5" s="38">
        <f t="shared" si="3"/>
        <v>47635</v>
      </c>
      <c r="AU5" s="38">
        <f t="shared" si="3"/>
        <v>47665</v>
      </c>
      <c r="AV5" s="38">
        <f t="shared" si="3"/>
        <v>47696</v>
      </c>
      <c r="AW5" s="38">
        <f t="shared" si="3"/>
        <v>47727</v>
      </c>
      <c r="AX5" s="38">
        <f t="shared" si="3"/>
        <v>47757</v>
      </c>
      <c r="AY5" s="38">
        <f t="shared" si="3"/>
        <v>47788</v>
      </c>
      <c r="AZ5" s="38">
        <f t="shared" si="3"/>
        <v>47818</v>
      </c>
      <c r="BA5" s="38">
        <f t="shared" si="3"/>
        <v>47849</v>
      </c>
      <c r="BB5" s="38">
        <f t="shared" si="3"/>
        <v>47880</v>
      </c>
      <c r="BC5" s="38">
        <f t="shared" si="3"/>
        <v>47908</v>
      </c>
      <c r="BD5" s="38">
        <f t="shared" si="3"/>
        <v>47939</v>
      </c>
      <c r="BE5" s="38">
        <f t="shared" si="3"/>
        <v>47969</v>
      </c>
      <c r="BF5" s="38">
        <f t="shared" si="3"/>
        <v>48000</v>
      </c>
      <c r="BG5" s="38">
        <f t="shared" si="3"/>
        <v>48030</v>
      </c>
      <c r="BH5" s="38">
        <f t="shared" si="3"/>
        <v>48061</v>
      </c>
      <c r="BI5" s="38">
        <f t="shared" si="3"/>
        <v>48092</v>
      </c>
      <c r="BJ5" s="38">
        <f t="shared" si="3"/>
        <v>48122</v>
      </c>
      <c r="BK5" s="38">
        <f t="shared" si="3"/>
        <v>48153</v>
      </c>
      <c r="BL5" s="38">
        <f t="shared" si="3"/>
        <v>48183</v>
      </c>
    </row>
    <row r="6" spans="2:64" x14ac:dyDescent="0.35">
      <c r="B6" s="3" t="s">
        <v>279</v>
      </c>
      <c r="E6" s="13">
        <f t="shared" ref="E6:AJ6" si="4">YEAR(E5)</f>
        <v>2027</v>
      </c>
      <c r="F6" s="13">
        <f t="shared" si="4"/>
        <v>2027</v>
      </c>
      <c r="G6" s="13">
        <f t="shared" si="4"/>
        <v>2027</v>
      </c>
      <c r="H6" s="13">
        <f t="shared" si="4"/>
        <v>2027</v>
      </c>
      <c r="I6" s="13">
        <f t="shared" si="4"/>
        <v>2027</v>
      </c>
      <c r="J6" s="13">
        <f t="shared" si="4"/>
        <v>2027</v>
      </c>
      <c r="K6" s="13">
        <f t="shared" si="4"/>
        <v>2027</v>
      </c>
      <c r="L6" s="13">
        <f t="shared" si="4"/>
        <v>2027</v>
      </c>
      <c r="M6" s="13">
        <f t="shared" si="4"/>
        <v>2027</v>
      </c>
      <c r="N6" s="13">
        <f t="shared" si="4"/>
        <v>2027</v>
      </c>
      <c r="O6" s="13">
        <f t="shared" si="4"/>
        <v>2027</v>
      </c>
      <c r="P6" s="13">
        <f t="shared" si="4"/>
        <v>2027</v>
      </c>
      <c r="Q6" s="13">
        <f t="shared" si="4"/>
        <v>2028</v>
      </c>
      <c r="R6" s="13">
        <f t="shared" si="4"/>
        <v>2028</v>
      </c>
      <c r="S6" s="13">
        <f t="shared" si="4"/>
        <v>2028</v>
      </c>
      <c r="T6" s="13">
        <f t="shared" si="4"/>
        <v>2028</v>
      </c>
      <c r="U6" s="13">
        <f t="shared" si="4"/>
        <v>2028</v>
      </c>
      <c r="V6" s="13">
        <f t="shared" si="4"/>
        <v>2028</v>
      </c>
      <c r="W6" s="13">
        <f t="shared" si="4"/>
        <v>2028</v>
      </c>
      <c r="X6" s="13">
        <f t="shared" si="4"/>
        <v>2028</v>
      </c>
      <c r="Y6" s="13">
        <f t="shared" si="4"/>
        <v>2028</v>
      </c>
      <c r="Z6" s="13">
        <f t="shared" si="4"/>
        <v>2028</v>
      </c>
      <c r="AA6" s="13">
        <f t="shared" si="4"/>
        <v>2028</v>
      </c>
      <c r="AB6" s="13">
        <f t="shared" si="4"/>
        <v>2028</v>
      </c>
      <c r="AC6" s="13">
        <f t="shared" si="4"/>
        <v>2029</v>
      </c>
      <c r="AD6" s="13">
        <f t="shared" si="4"/>
        <v>2029</v>
      </c>
      <c r="AE6" s="13">
        <f t="shared" si="4"/>
        <v>2029</v>
      </c>
      <c r="AF6" s="13">
        <f t="shared" si="4"/>
        <v>2029</v>
      </c>
      <c r="AG6" s="13">
        <f t="shared" si="4"/>
        <v>2029</v>
      </c>
      <c r="AH6" s="13">
        <f t="shared" si="4"/>
        <v>2029</v>
      </c>
      <c r="AI6" s="13">
        <f t="shared" si="4"/>
        <v>2029</v>
      </c>
      <c r="AJ6" s="13">
        <f t="shared" si="4"/>
        <v>2029</v>
      </c>
      <c r="AK6" s="13">
        <f t="shared" ref="AK6:BP6" si="5">YEAR(AK5)</f>
        <v>2029</v>
      </c>
      <c r="AL6" s="13">
        <f t="shared" si="5"/>
        <v>2029</v>
      </c>
      <c r="AM6" s="13">
        <f t="shared" si="5"/>
        <v>2029</v>
      </c>
      <c r="AN6" s="13">
        <f t="shared" si="5"/>
        <v>2029</v>
      </c>
      <c r="AO6" s="13">
        <f t="shared" si="5"/>
        <v>2030</v>
      </c>
      <c r="AP6" s="13">
        <f t="shared" si="5"/>
        <v>2030</v>
      </c>
      <c r="AQ6" s="13">
        <f t="shared" si="5"/>
        <v>2030</v>
      </c>
      <c r="AR6" s="13">
        <f t="shared" si="5"/>
        <v>2030</v>
      </c>
      <c r="AS6" s="13">
        <f t="shared" si="5"/>
        <v>2030</v>
      </c>
      <c r="AT6" s="13">
        <f t="shared" si="5"/>
        <v>2030</v>
      </c>
      <c r="AU6" s="13">
        <f t="shared" si="5"/>
        <v>2030</v>
      </c>
      <c r="AV6" s="13">
        <f t="shared" si="5"/>
        <v>2030</v>
      </c>
      <c r="AW6" s="13">
        <f t="shared" si="5"/>
        <v>2030</v>
      </c>
      <c r="AX6" s="13">
        <f t="shared" si="5"/>
        <v>2030</v>
      </c>
      <c r="AY6" s="13">
        <f t="shared" si="5"/>
        <v>2030</v>
      </c>
      <c r="AZ6" s="13">
        <f t="shared" si="5"/>
        <v>2030</v>
      </c>
      <c r="BA6" s="13">
        <f t="shared" si="5"/>
        <v>2031</v>
      </c>
      <c r="BB6" s="13">
        <f t="shared" si="5"/>
        <v>2031</v>
      </c>
      <c r="BC6" s="13">
        <f t="shared" si="5"/>
        <v>2031</v>
      </c>
      <c r="BD6" s="13">
        <f t="shared" si="5"/>
        <v>2031</v>
      </c>
      <c r="BE6" s="13">
        <f t="shared" si="5"/>
        <v>2031</v>
      </c>
      <c r="BF6" s="13">
        <f t="shared" si="5"/>
        <v>2031</v>
      </c>
      <c r="BG6" s="13">
        <f t="shared" si="5"/>
        <v>2031</v>
      </c>
      <c r="BH6" s="13">
        <f t="shared" si="5"/>
        <v>2031</v>
      </c>
      <c r="BI6" s="13">
        <f t="shared" si="5"/>
        <v>2031</v>
      </c>
      <c r="BJ6" s="13">
        <f t="shared" si="5"/>
        <v>2031</v>
      </c>
      <c r="BK6" s="13">
        <f t="shared" si="5"/>
        <v>2031</v>
      </c>
      <c r="BL6" s="13">
        <f t="shared" si="5"/>
        <v>2031</v>
      </c>
    </row>
    <row r="7" spans="2:64" x14ac:dyDescent="0.35">
      <c r="B7" s="3" t="s">
        <v>280</v>
      </c>
      <c r="E7" s="13">
        <f t="shared" ref="E7:AJ7" si="6">MONTH(E5)</f>
        <v>1</v>
      </c>
      <c r="F7" s="13">
        <f t="shared" si="6"/>
        <v>2</v>
      </c>
      <c r="G7" s="13">
        <f t="shared" si="6"/>
        <v>3</v>
      </c>
      <c r="H7" s="13">
        <f t="shared" si="6"/>
        <v>4</v>
      </c>
      <c r="I7" s="13">
        <f t="shared" si="6"/>
        <v>5</v>
      </c>
      <c r="J7" s="13">
        <f t="shared" si="6"/>
        <v>6</v>
      </c>
      <c r="K7" s="13">
        <f t="shared" si="6"/>
        <v>7</v>
      </c>
      <c r="L7" s="13">
        <f t="shared" si="6"/>
        <v>8</v>
      </c>
      <c r="M7" s="13">
        <f t="shared" si="6"/>
        <v>9</v>
      </c>
      <c r="N7" s="13">
        <f t="shared" si="6"/>
        <v>10</v>
      </c>
      <c r="O7" s="13">
        <f t="shared" si="6"/>
        <v>11</v>
      </c>
      <c r="P7" s="13">
        <f t="shared" si="6"/>
        <v>12</v>
      </c>
      <c r="Q7" s="13">
        <f t="shared" si="6"/>
        <v>1</v>
      </c>
      <c r="R7" s="13">
        <f t="shared" si="6"/>
        <v>2</v>
      </c>
      <c r="S7" s="13">
        <f t="shared" si="6"/>
        <v>3</v>
      </c>
      <c r="T7" s="13">
        <f t="shared" si="6"/>
        <v>4</v>
      </c>
      <c r="U7" s="13">
        <f t="shared" si="6"/>
        <v>5</v>
      </c>
      <c r="V7" s="13">
        <f t="shared" si="6"/>
        <v>6</v>
      </c>
      <c r="W7" s="13">
        <f t="shared" si="6"/>
        <v>7</v>
      </c>
      <c r="X7" s="13">
        <f t="shared" si="6"/>
        <v>8</v>
      </c>
      <c r="Y7" s="13">
        <f t="shared" si="6"/>
        <v>9</v>
      </c>
      <c r="Z7" s="13">
        <f t="shared" si="6"/>
        <v>10</v>
      </c>
      <c r="AA7" s="13">
        <f t="shared" si="6"/>
        <v>11</v>
      </c>
      <c r="AB7" s="13">
        <f t="shared" si="6"/>
        <v>12</v>
      </c>
      <c r="AC7" s="13">
        <f t="shared" si="6"/>
        <v>1</v>
      </c>
      <c r="AD7" s="13">
        <f t="shared" si="6"/>
        <v>2</v>
      </c>
      <c r="AE7" s="13">
        <f t="shared" si="6"/>
        <v>3</v>
      </c>
      <c r="AF7" s="13">
        <f t="shared" si="6"/>
        <v>4</v>
      </c>
      <c r="AG7" s="13">
        <f t="shared" si="6"/>
        <v>5</v>
      </c>
      <c r="AH7" s="13">
        <f t="shared" si="6"/>
        <v>6</v>
      </c>
      <c r="AI7" s="13">
        <f t="shared" si="6"/>
        <v>7</v>
      </c>
      <c r="AJ7" s="13">
        <f t="shared" si="6"/>
        <v>8</v>
      </c>
      <c r="AK7" s="13">
        <f t="shared" ref="AK7:BL7" si="7">MONTH(AK5)</f>
        <v>9</v>
      </c>
      <c r="AL7" s="13">
        <f t="shared" si="7"/>
        <v>10</v>
      </c>
      <c r="AM7" s="13">
        <f t="shared" si="7"/>
        <v>11</v>
      </c>
      <c r="AN7" s="13">
        <f t="shared" si="7"/>
        <v>12</v>
      </c>
      <c r="AO7" s="13">
        <f t="shared" si="7"/>
        <v>1</v>
      </c>
      <c r="AP7" s="13">
        <f t="shared" si="7"/>
        <v>2</v>
      </c>
      <c r="AQ7" s="13">
        <f t="shared" si="7"/>
        <v>3</v>
      </c>
      <c r="AR7" s="13">
        <f t="shared" si="7"/>
        <v>4</v>
      </c>
      <c r="AS7" s="13">
        <f t="shared" si="7"/>
        <v>5</v>
      </c>
      <c r="AT7" s="13">
        <f t="shared" si="7"/>
        <v>6</v>
      </c>
      <c r="AU7" s="13">
        <f t="shared" si="7"/>
        <v>7</v>
      </c>
      <c r="AV7" s="13">
        <f t="shared" si="7"/>
        <v>8</v>
      </c>
      <c r="AW7" s="13">
        <f t="shared" si="7"/>
        <v>9</v>
      </c>
      <c r="AX7" s="13">
        <f t="shared" si="7"/>
        <v>10</v>
      </c>
      <c r="AY7" s="13">
        <f t="shared" si="7"/>
        <v>11</v>
      </c>
      <c r="AZ7" s="13">
        <f t="shared" si="7"/>
        <v>12</v>
      </c>
      <c r="BA7" s="13">
        <f t="shared" si="7"/>
        <v>1</v>
      </c>
      <c r="BB7" s="13">
        <f t="shared" si="7"/>
        <v>2</v>
      </c>
      <c r="BC7" s="13">
        <f t="shared" si="7"/>
        <v>3</v>
      </c>
      <c r="BD7" s="13">
        <f t="shared" si="7"/>
        <v>4</v>
      </c>
      <c r="BE7" s="13">
        <f t="shared" si="7"/>
        <v>5</v>
      </c>
      <c r="BF7" s="13">
        <f t="shared" si="7"/>
        <v>6</v>
      </c>
      <c r="BG7" s="13">
        <f t="shared" si="7"/>
        <v>7</v>
      </c>
      <c r="BH7" s="13">
        <f t="shared" si="7"/>
        <v>8</v>
      </c>
      <c r="BI7" s="13">
        <f t="shared" si="7"/>
        <v>9</v>
      </c>
      <c r="BJ7" s="13">
        <f t="shared" si="7"/>
        <v>10</v>
      </c>
      <c r="BK7" s="13">
        <f t="shared" si="7"/>
        <v>11</v>
      </c>
      <c r="BL7" s="13">
        <f t="shared" si="7"/>
        <v>12</v>
      </c>
    </row>
    <row r="8" spans="2:64" ht="26" x14ac:dyDescent="0.35">
      <c r="B8" s="14" t="s">
        <v>281</v>
      </c>
      <c r="C8" s="15" t="s">
        <v>102</v>
      </c>
      <c r="D8" s="15" t="s">
        <v>412</v>
      </c>
      <c r="E8" s="39" t="str">
        <f t="shared" ref="E8:AJ8" si="8">CHOOSE(E7,"Jan","Feb","Mar","Apr","May","Jun","Jul","Aug","Sep","Oct","Nov","Dec")&amp;" "&amp;(E6-2000)</f>
        <v>Jan 27</v>
      </c>
      <c r="F8" s="39" t="str">
        <f t="shared" si="8"/>
        <v>Feb 27</v>
      </c>
      <c r="G8" s="39" t="str">
        <f t="shared" si="8"/>
        <v>Mar 27</v>
      </c>
      <c r="H8" s="39" t="str">
        <f t="shared" si="8"/>
        <v>Apr 27</v>
      </c>
      <c r="I8" s="39" t="str">
        <f t="shared" si="8"/>
        <v>May 27</v>
      </c>
      <c r="J8" s="39" t="str">
        <f t="shared" si="8"/>
        <v>Jun 27</v>
      </c>
      <c r="K8" s="39" t="str">
        <f t="shared" si="8"/>
        <v>Jul 27</v>
      </c>
      <c r="L8" s="39" t="str">
        <f t="shared" si="8"/>
        <v>Aug 27</v>
      </c>
      <c r="M8" s="39" t="str">
        <f t="shared" si="8"/>
        <v>Sep 27</v>
      </c>
      <c r="N8" s="39" t="str">
        <f t="shared" si="8"/>
        <v>Oct 27</v>
      </c>
      <c r="O8" s="39" t="str">
        <f t="shared" si="8"/>
        <v>Nov 27</v>
      </c>
      <c r="P8" s="39" t="str">
        <f t="shared" si="8"/>
        <v>Dec 27</v>
      </c>
      <c r="Q8" s="39" t="str">
        <f t="shared" si="8"/>
        <v>Jan 28</v>
      </c>
      <c r="R8" s="39" t="str">
        <f t="shared" si="8"/>
        <v>Feb 28</v>
      </c>
      <c r="S8" s="39" t="str">
        <f t="shared" si="8"/>
        <v>Mar 28</v>
      </c>
      <c r="T8" s="39" t="str">
        <f t="shared" si="8"/>
        <v>Apr 28</v>
      </c>
      <c r="U8" s="39" t="str">
        <f t="shared" si="8"/>
        <v>May 28</v>
      </c>
      <c r="V8" s="39" t="str">
        <f t="shared" si="8"/>
        <v>Jun 28</v>
      </c>
      <c r="W8" s="39" t="str">
        <f t="shared" si="8"/>
        <v>Jul 28</v>
      </c>
      <c r="X8" s="39" t="str">
        <f t="shared" si="8"/>
        <v>Aug 28</v>
      </c>
      <c r="Y8" s="39" t="str">
        <f t="shared" si="8"/>
        <v>Sep 28</v>
      </c>
      <c r="Z8" s="39" t="str">
        <f t="shared" si="8"/>
        <v>Oct 28</v>
      </c>
      <c r="AA8" s="39" t="str">
        <f t="shared" si="8"/>
        <v>Nov 28</v>
      </c>
      <c r="AB8" s="39" t="str">
        <f t="shared" si="8"/>
        <v>Dec 28</v>
      </c>
      <c r="AC8" s="39" t="str">
        <f t="shared" si="8"/>
        <v>Jan 29</v>
      </c>
      <c r="AD8" s="39" t="str">
        <f t="shared" si="8"/>
        <v>Feb 29</v>
      </c>
      <c r="AE8" s="39" t="str">
        <f t="shared" si="8"/>
        <v>Mar 29</v>
      </c>
      <c r="AF8" s="39" t="str">
        <f t="shared" si="8"/>
        <v>Apr 29</v>
      </c>
      <c r="AG8" s="39" t="str">
        <f t="shared" si="8"/>
        <v>May 29</v>
      </c>
      <c r="AH8" s="39" t="str">
        <f t="shared" si="8"/>
        <v>Jun 29</v>
      </c>
      <c r="AI8" s="39" t="str">
        <f t="shared" si="8"/>
        <v>Jul 29</v>
      </c>
      <c r="AJ8" s="39" t="str">
        <f t="shared" si="8"/>
        <v>Aug 29</v>
      </c>
      <c r="AK8" s="39" t="str">
        <f t="shared" ref="AK8:BP8" si="9">CHOOSE(AK7,"Jan","Feb","Mar","Apr","May","Jun","Jul","Aug","Sep","Oct","Nov","Dec")&amp;" "&amp;(AK6-2000)</f>
        <v>Sep 29</v>
      </c>
      <c r="AL8" s="39" t="str">
        <f t="shared" si="9"/>
        <v>Oct 29</v>
      </c>
      <c r="AM8" s="39" t="str">
        <f t="shared" si="9"/>
        <v>Nov 29</v>
      </c>
      <c r="AN8" s="39" t="str">
        <f t="shared" si="9"/>
        <v>Dec 29</v>
      </c>
      <c r="AO8" s="39" t="str">
        <f t="shared" si="9"/>
        <v>Jan 30</v>
      </c>
      <c r="AP8" s="39" t="str">
        <f t="shared" si="9"/>
        <v>Feb 30</v>
      </c>
      <c r="AQ8" s="39" t="str">
        <f t="shared" si="9"/>
        <v>Mar 30</v>
      </c>
      <c r="AR8" s="39" t="str">
        <f t="shared" si="9"/>
        <v>Apr 30</v>
      </c>
      <c r="AS8" s="39" t="str">
        <f t="shared" si="9"/>
        <v>May 30</v>
      </c>
      <c r="AT8" s="39" t="str">
        <f t="shared" si="9"/>
        <v>Jun 30</v>
      </c>
      <c r="AU8" s="39" t="str">
        <f t="shared" si="9"/>
        <v>Jul 30</v>
      </c>
      <c r="AV8" s="39" t="str">
        <f t="shared" si="9"/>
        <v>Aug 30</v>
      </c>
      <c r="AW8" s="39" t="str">
        <f t="shared" si="9"/>
        <v>Sep 30</v>
      </c>
      <c r="AX8" s="39" t="str">
        <f t="shared" si="9"/>
        <v>Oct 30</v>
      </c>
      <c r="AY8" s="39" t="str">
        <f t="shared" si="9"/>
        <v>Nov 30</v>
      </c>
      <c r="AZ8" s="39" t="str">
        <f t="shared" si="9"/>
        <v>Dec 30</v>
      </c>
      <c r="BA8" s="39" t="str">
        <f t="shared" si="9"/>
        <v>Jan 31</v>
      </c>
      <c r="BB8" s="39" t="str">
        <f t="shared" si="9"/>
        <v>Feb 31</v>
      </c>
      <c r="BC8" s="39" t="str">
        <f t="shared" si="9"/>
        <v>Mar 31</v>
      </c>
      <c r="BD8" s="39" t="str">
        <f t="shared" si="9"/>
        <v>Apr 31</v>
      </c>
      <c r="BE8" s="39" t="str">
        <f t="shared" si="9"/>
        <v>May 31</v>
      </c>
      <c r="BF8" s="39" t="str">
        <f t="shared" si="9"/>
        <v>Jun 31</v>
      </c>
      <c r="BG8" s="39" t="str">
        <f t="shared" si="9"/>
        <v>Jul 31</v>
      </c>
      <c r="BH8" s="39" t="str">
        <f t="shared" si="9"/>
        <v>Aug 31</v>
      </c>
      <c r="BI8" s="39" t="str">
        <f t="shared" si="9"/>
        <v>Sep 31</v>
      </c>
      <c r="BJ8" s="39" t="str">
        <f t="shared" si="9"/>
        <v>Oct 31</v>
      </c>
      <c r="BK8" s="39" t="str">
        <f t="shared" si="9"/>
        <v>Nov 31</v>
      </c>
      <c r="BL8" s="39" t="str">
        <f t="shared" si="9"/>
        <v>Dec 31</v>
      </c>
    </row>
    <row r="9" spans="2:64" x14ac:dyDescent="0.35">
      <c r="B9" s="16" t="s">
        <v>413</v>
      </c>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row>
    <row r="10" spans="2:64" x14ac:dyDescent="0.35">
      <c r="B10" s="3" t="s">
        <v>147</v>
      </c>
      <c r="C10" s="18" t="s">
        <v>111</v>
      </c>
      <c r="D10" s="20">
        <f>SUM(E10:BL10)</f>
        <v>7370727.1451143743</v>
      </c>
      <c r="E10" s="40">
        <f>Inputs!$E$10*Ramp!$E$7</f>
        <v>0</v>
      </c>
      <c r="F10" s="40">
        <f>Inputs!$E$10*Ramp!$F$7</f>
        <v>0</v>
      </c>
      <c r="G10" s="40">
        <f>Inputs!$E$10*Ramp!$G$7</f>
        <v>0</v>
      </c>
      <c r="H10" s="40">
        <f>Inputs!$E$10*Ramp!$H$7</f>
        <v>0</v>
      </c>
      <c r="I10" s="40">
        <f>Inputs!$E$10*Ramp!$I$7</f>
        <v>0</v>
      </c>
      <c r="J10" s="40">
        <f>Inputs!$E$10*Ramp!$J$7</f>
        <v>0</v>
      </c>
      <c r="K10" s="40">
        <f>Inputs!$E$10*Ramp!$K$7</f>
        <v>0</v>
      </c>
      <c r="L10" s="40">
        <f>Inputs!$E$10*Ramp!$L$7</f>
        <v>0</v>
      </c>
      <c r="M10" s="40">
        <f>Inputs!$E$10*Ramp!$M$7</f>
        <v>0</v>
      </c>
      <c r="N10" s="40">
        <f>Inputs!$E$10*Ramp!$N$7</f>
        <v>2311.9106184000002</v>
      </c>
      <c r="O10" s="40">
        <f>Inputs!$E$10*Ramp!$O$7</f>
        <v>4292.4448023900004</v>
      </c>
      <c r="P10" s="40">
        <f>Inputs!$E$10*Ramp!$P$7</f>
        <v>6291.17457921</v>
      </c>
      <c r="Q10" s="40">
        <f>Inputs!$E$11*Ramp!$E$10</f>
        <v>9456.1085999099978</v>
      </c>
      <c r="R10" s="40">
        <f>Inputs!$E$11*Ramp!$F$10</f>
        <v>12836.333768439998</v>
      </c>
      <c r="S10" s="40">
        <f>Inputs!$E$11*Ramp!$G$10</f>
        <v>16319.03268674</v>
      </c>
      <c r="T10" s="40">
        <f>Inputs!$E$11*Ramp!$H$10</f>
        <v>19890.119616009997</v>
      </c>
      <c r="U10" s="40">
        <f>Inputs!$E$11*Ramp!$I$10</f>
        <v>23536.565247859995</v>
      </c>
      <c r="V10" s="40">
        <f>Inputs!$E$11*Ramp!$J$10</f>
        <v>27251.326712889997</v>
      </c>
      <c r="W10" s="40">
        <f>Inputs!$E$11*Ramp!$K$10</f>
        <v>31027.713285169997</v>
      </c>
      <c r="X10" s="40">
        <f>Inputs!$E$11*Ramp!$L$10</f>
        <v>34863.259960409996</v>
      </c>
      <c r="Y10" s="40">
        <f>Inputs!$E$11*Ramp!$M$10</f>
        <v>38754.445303909997</v>
      </c>
      <c r="Z10" s="40">
        <f>Inputs!$E$11*Ramp!$N$10</f>
        <v>42362.155154059998</v>
      </c>
      <c r="AA10" s="40">
        <f>Inputs!$E$11*Ramp!$O$10</f>
        <v>46056.492297829995</v>
      </c>
      <c r="AB10" s="40">
        <f>Inputs!$E$11*Ramp!$P$10</f>
        <v>49789.917366769994</v>
      </c>
      <c r="AC10" s="40">
        <f>IF($D$14=1,Inputs!$E$15*Ramp!$E$13,AB10*(1+Inputs!$E$12)^(1/12))</f>
        <v>54443.122267639235</v>
      </c>
      <c r="AD10" s="40">
        <f>IF($D$14=1,Inputs!$E$15*Ramp!$F$13,AC10*(1+Inputs!$E$12)^(1/12))</f>
        <v>59531.2006729165</v>
      </c>
      <c r="AE10" s="40">
        <f>IF($D$14=1,Inputs!$E$15*Ramp!$G$13,AD10*(1+Inputs!$E$12)^(1/12))</f>
        <v>65094.794456077172</v>
      </c>
      <c r="AF10" s="40">
        <f>IF($D$14=1,Inputs!$E$15*Ramp!$H$13,AE10*(1+Inputs!$E$12)^(1/12))</f>
        <v>71178.343748855274</v>
      </c>
      <c r="AG10" s="40">
        <f>IF($D$14=1,Inputs!$E$15*Ramp!$I$13,AF10*(1+Inputs!$E$12)^(1/12))</f>
        <v>77830.441914195428</v>
      </c>
      <c r="AH10" s="40">
        <f>IF($D$14=1,Inputs!$E$15*Ramp!$J$13,AG10*(1+Inputs!$E$12)^(1/12))</f>
        <v>85104.223693830601</v>
      </c>
      <c r="AI10" s="40">
        <f>IF($D$14=1,Inputs!$E$15*Ramp!$K$13,AH10*(1+Inputs!$E$12)^(1/12))</f>
        <v>93057.789630879168</v>
      </c>
      <c r="AJ10" s="40">
        <f>IF($D$14=1,Inputs!$E$15*Ramp!$L$13,AI10*(1+Inputs!$E$12)^(1/12))</f>
        <v>101754.67015760731</v>
      </c>
      <c r="AK10" s="40">
        <f>IF($D$14=1,Inputs!$E$15*Ramp!$M$13,AJ10*(1+Inputs!$E$12)^(1/12))</f>
        <v>111264.33305533521</v>
      </c>
      <c r="AL10" s="40">
        <f>IF($D$14=1,Inputs!$E$15*Ramp!$N$13,AK10*(1+Inputs!$E$12)^(1/12))</f>
        <v>121662.73833990739</v>
      </c>
      <c r="AM10" s="40">
        <f>IF($D$14=1,Inputs!$E$15*Ramp!$O$13,AL10*(1+Inputs!$E$12)^(1/12))</f>
        <v>133032.94500496727</v>
      </c>
      <c r="AN10" s="40">
        <f>IF($D$14=1,Inputs!$E$15*Ramp!$P$13,AM10*(1+Inputs!$E$12)^(1/12))</f>
        <v>145465.77446949907</v>
      </c>
      <c r="AO10" s="40">
        <f>AN10*(1+Inputs!$E$13)^(1/12)</f>
        <v>151244.14647147604</v>
      </c>
      <c r="AP10" s="40">
        <f>AO10*(1+Inputs!$E$13)^(1/12)</f>
        <v>157252.05413649813</v>
      </c>
      <c r="AQ10" s="40">
        <f>AP10*(1+Inputs!$E$13)^(1/12)</f>
        <v>163498.6153650037</v>
      </c>
      <c r="AR10" s="40">
        <f>AQ10*(1+Inputs!$E$13)^(1/12)</f>
        <v>169993.31024998665</v>
      </c>
      <c r="AS10" s="40">
        <f>AR10*(1+Inputs!$E$13)^(1/12)</f>
        <v>176745.99546445865</v>
      </c>
      <c r="AT10" s="40">
        <f>AS10*(1+Inputs!$E$13)^(1/12)</f>
        <v>183766.91922042792</v>
      </c>
      <c r="AU10" s="40">
        <f>AT10*(1+Inputs!$E$13)^(1/12)</f>
        <v>191066.73682209707</v>
      </c>
      <c r="AV10" s="40">
        <f>AU10*(1+Inputs!$E$13)^(1/12)</f>
        <v>198656.52683688438</v>
      </c>
      <c r="AW10" s="40">
        <f>AV10*(1+Inputs!$E$13)^(1/12)</f>
        <v>206547.80790881053</v>
      </c>
      <c r="AX10" s="40">
        <f>AW10*(1+Inputs!$E$13)^(1/12)</f>
        <v>214752.55623976749</v>
      </c>
      <c r="AY10" s="40">
        <f>AX10*(1+Inputs!$E$13)^(1/12)</f>
        <v>223283.22376520006</v>
      </c>
      <c r="AZ10" s="40">
        <f>AY10*(1+Inputs!$E$13)^(1/12)</f>
        <v>232152.75705178437</v>
      </c>
      <c r="BA10" s="40">
        <f>AZ10*(1+Inputs!$E$14)^(1/12)</f>
        <v>241338.32616686239</v>
      </c>
      <c r="BB10" s="40">
        <f>BA10*(1+Inputs!$E$14)^(1/12)</f>
        <v>250887.3399424277</v>
      </c>
      <c r="BC10" s="40">
        <f>BB10*(1+Inputs!$E$14)^(1/12)</f>
        <v>260814.17876358025</v>
      </c>
      <c r="BD10" s="40">
        <f>BC10*(1+Inputs!$E$14)^(1/12)</f>
        <v>271133.7920029388</v>
      </c>
      <c r="BE10" s="40">
        <f>BD10*(1+Inputs!$E$14)^(1/12)</f>
        <v>281861.72053372359</v>
      </c>
      <c r="BF10" s="40">
        <f>BE10*(1+Inputs!$E$14)^(1/12)</f>
        <v>293014.12013361207</v>
      </c>
      <c r="BG10" s="40">
        <f>BF10*(1+Inputs!$E$14)^(1/12)</f>
        <v>304607.78581461322</v>
      </c>
      <c r="BH10" s="40">
        <f>BG10*(1+Inputs!$E$14)^(1/12)</f>
        <v>316660.17711559997</v>
      </c>
      <c r="BI10" s="40">
        <f>BH10*(1+Inputs!$E$14)^(1/12)</f>
        <v>329189.44439558912</v>
      </c>
      <c r="BJ10" s="40">
        <f>BI10*(1+Inputs!$E$14)^(1/12)</f>
        <v>342214.45616736542</v>
      </c>
      <c r="BK10" s="40">
        <f>BJ10*(1+Inputs!$E$14)^(1/12)</f>
        <v>355754.82751261286</v>
      </c>
      <c r="BL10" s="40">
        <f>BK10*(1+Inputs!$E$14)^(1/12)</f>
        <v>369830.94962134509</v>
      </c>
    </row>
    <row r="11" spans="2:64" x14ac:dyDescent="0.35">
      <c r="B11" s="3" t="s">
        <v>149</v>
      </c>
      <c r="C11" s="18" t="s">
        <v>111</v>
      </c>
      <c r="D11" s="20">
        <f>SUM(E11:BL11)</f>
        <v>17076645.594362434</v>
      </c>
      <c r="E11" s="40">
        <f>Inputs!$E$17*Ramp!$E$16</f>
        <v>0</v>
      </c>
      <c r="F11" s="40">
        <f>Inputs!$E$17*Ramp!$F$16</f>
        <v>0</v>
      </c>
      <c r="G11" s="40">
        <f>Inputs!$E$17*Ramp!$G$16</f>
        <v>0</v>
      </c>
      <c r="H11" s="40">
        <f>Inputs!$E$17*Ramp!$H$16</f>
        <v>0</v>
      </c>
      <c r="I11" s="40">
        <f>Inputs!$E$17*Ramp!$I$16</f>
        <v>0</v>
      </c>
      <c r="J11" s="40">
        <f>Inputs!$E$17*Ramp!$J$16</f>
        <v>0</v>
      </c>
      <c r="K11" s="40">
        <f>Inputs!$E$17*Ramp!$K$16</f>
        <v>0</v>
      </c>
      <c r="L11" s="40">
        <f>Inputs!$E$17*Ramp!$L$16</f>
        <v>0</v>
      </c>
      <c r="M11" s="40">
        <f>Inputs!$E$17*Ramp!$M$16</f>
        <v>0</v>
      </c>
      <c r="N11" s="40">
        <f>Inputs!$E$17*Ramp!$N$16</f>
        <v>0</v>
      </c>
      <c r="O11" s="40">
        <f>Inputs!$E$17*Ramp!$O$16</f>
        <v>0</v>
      </c>
      <c r="P11" s="40">
        <f>Inputs!$E$17*Ramp!$P$16</f>
        <v>0</v>
      </c>
      <c r="Q11" s="40">
        <f>Inputs!$E$18*Ramp!$E$19</f>
        <v>4333.5052544</v>
      </c>
      <c r="R11" s="40">
        <f>Inputs!$E$18*Ramp!$F$19</f>
        <v>9580.1419731200003</v>
      </c>
      <c r="S11" s="40">
        <f>Inputs!$E$18*Ramp!$G$19</f>
        <v>15213.69880384</v>
      </c>
      <c r="T11" s="40">
        <f>Inputs!$E$18*Ramp!$H$19</f>
        <v>21317.363570639998</v>
      </c>
      <c r="U11" s="40">
        <f>Inputs!$E$18*Ramp!$I$19</f>
        <v>27806.497499020003</v>
      </c>
      <c r="V11" s="40">
        <f>Inputs!$E$18*Ramp!$J$19</f>
        <v>34664.656484220002</v>
      </c>
      <c r="W11" s="40">
        <f>Inputs!$E$18*Ramp!$K$19</f>
        <v>41860.886917280004</v>
      </c>
      <c r="X11" s="40">
        <f>Inputs!$E$18*Ramp!$L$19</f>
        <v>49425.658757020006</v>
      </c>
      <c r="Y11" s="40">
        <f>Inputs!$E$18*Ramp!$M$19</f>
        <v>57297.548435660006</v>
      </c>
      <c r="Z11" s="40">
        <f>Inputs!$E$18*Ramp!$N$19</f>
        <v>65430.609189899995</v>
      </c>
      <c r="AA11" s="40">
        <f>Inputs!$E$18*Ramp!$O$19</f>
        <v>73936.080551940002</v>
      </c>
      <c r="AB11" s="40">
        <f>Inputs!$E$18*Ramp!$P$19</f>
        <v>82783.492562960004</v>
      </c>
      <c r="AC11" s="40">
        <f>IF($D$15=1,Inputs!$E$22*Ramp!$E$22,AB11*(1+Inputs!$E$19)^(1/12))</f>
        <v>92062.77910495369</v>
      </c>
      <c r="AD11" s="40">
        <f>IF($D$15=1,Inputs!$E$22*Ramp!$F$22,AC11*(1+Inputs!$E$19)^(1/12))</f>
        <v>102382.19038755237</v>
      </c>
      <c r="AE11" s="40">
        <f>IF($D$15=1,Inputs!$E$22*Ramp!$G$22,AD11*(1+Inputs!$E$19)^(1/12))</f>
        <v>113858.31505915296</v>
      </c>
      <c r="AF11" s="40">
        <f>IF($D$15=1,Inputs!$E$22*Ramp!$H$22,AE11*(1+Inputs!$E$19)^(1/12))</f>
        <v>126620.81030926514</v>
      </c>
      <c r="AG11" s="40">
        <f>IF($D$15=1,Inputs!$E$22*Ramp!$I$22,AF11*(1+Inputs!$E$19)^(1/12))</f>
        <v>140813.86673468116</v>
      </c>
      <c r="AH11" s="40">
        <f>IF($D$15=1,Inputs!$E$22*Ramp!$J$22,AG11*(1+Inputs!$E$19)^(1/12))</f>
        <v>156597.83740399618</v>
      </c>
      <c r="AI11" s="40">
        <f>IF($D$15=1,Inputs!$E$22*Ramp!$K$22,AH11*(1+Inputs!$E$19)^(1/12))</f>
        <v>174151.04952564067</v>
      </c>
      <c r="AJ11" s="40">
        <f>IF($D$15=1,Inputs!$E$22*Ramp!$L$22,AI11*(1+Inputs!$E$19)^(1/12))</f>
        <v>193671.81918763972</v>
      </c>
      <c r="AK11" s="40">
        <f>IF($D$15=1,Inputs!$E$22*Ramp!$M$22,AJ11*(1+Inputs!$E$19)^(1/12))</f>
        <v>215380.69193161713</v>
      </c>
      <c r="AL11" s="40">
        <f>IF($D$15=1,Inputs!$E$22*Ramp!$N$22,AK11*(1+Inputs!$E$19)^(1/12))</f>
        <v>239522.9344750366</v>
      </c>
      <c r="AM11" s="40">
        <f>IF($D$15=1,Inputs!$E$22*Ramp!$O$22,AL11*(1+Inputs!$E$19)^(1/12))</f>
        <v>266371.305733143</v>
      </c>
      <c r="AN11" s="40">
        <f>IF($D$15=1,Inputs!$E$22*Ramp!$P$22,AM11*(1+Inputs!$E$19)^(1/12))</f>
        <v>296229.13844759378</v>
      </c>
      <c r="AO11" s="40">
        <f>AN11*(1+Inputs!$E$20)^(1/12)</f>
        <v>312602.75435878965</v>
      </c>
      <c r="AP11" s="40">
        <f>AO11*(1+Inputs!$E$20)^(1/12)</f>
        <v>329881.39703208039</v>
      </c>
      <c r="AQ11" s="40">
        <f>AP11*(1+Inputs!$E$20)^(1/12)</f>
        <v>348115.09044778586</v>
      </c>
      <c r="AR11" s="40">
        <f>AQ11*(1+Inputs!$E$20)^(1/12)</f>
        <v>367356.62358579494</v>
      </c>
      <c r="AS11" s="40">
        <f>AR11*(1+Inputs!$E$20)^(1/12)</f>
        <v>387661.70325671893</v>
      </c>
      <c r="AT11" s="40">
        <f>AS11*(1+Inputs!$E$20)^(1/12)</f>
        <v>409089.1153805551</v>
      </c>
      <c r="AU11" s="40">
        <f>AT11*(1+Inputs!$E$20)^(1/12)</f>
        <v>431700.8951797834</v>
      </c>
      <c r="AV11" s="40">
        <f>AU11*(1+Inputs!$E$20)^(1/12)</f>
        <v>455562.50677962846</v>
      </c>
      <c r="AW11" s="40">
        <f>AV11*(1+Inputs!$E$20)^(1/12)</f>
        <v>480743.0327354531</v>
      </c>
      <c r="AX11" s="40">
        <f>AW11*(1+Inputs!$E$20)^(1/12)</f>
        <v>507315.37403599109</v>
      </c>
      <c r="AY11" s="40">
        <f>AX11*(1+Inputs!$E$20)^(1/12)</f>
        <v>535356.46116145467</v>
      </c>
      <c r="AZ11" s="40">
        <f>AY11*(1+Inputs!$E$20)^(1/12)</f>
        <v>564947.47680755891</v>
      </c>
      <c r="BA11" s="40">
        <f>AZ11*(1+Inputs!$E$21)^(1/12)</f>
        <v>592329.39179185918</v>
      </c>
      <c r="BB11" s="40">
        <f>BA11*(1+Inputs!$E$21)^(1/12)</f>
        <v>621038.45540322165</v>
      </c>
      <c r="BC11" s="40">
        <f>BB11*(1+Inputs!$E$21)^(1/12)</f>
        <v>651138.99197686266</v>
      </c>
      <c r="BD11" s="40">
        <f>BC11*(1+Inputs!$E$21)^(1/12)</f>
        <v>682698.44352450932</v>
      </c>
      <c r="BE11" s="40">
        <f>BD11*(1+Inputs!$E$21)^(1/12)</f>
        <v>715787.5208421693</v>
      </c>
      <c r="BF11" s="40">
        <f>BE11*(1+Inputs!$E$21)^(1/12)</f>
        <v>750480.36194180243</v>
      </c>
      <c r="BG11" s="40">
        <f>BF11*(1+Inputs!$E$21)^(1/12)</f>
        <v>786854.69816187059</v>
      </c>
      <c r="BH11" s="40">
        <f>BG11*(1+Inputs!$E$21)^(1/12)</f>
        <v>824992.02832894516</v>
      </c>
      <c r="BI11" s="40">
        <f>BH11*(1+Inputs!$E$21)^(1/12)</f>
        <v>864977.8013605919</v>
      </c>
      <c r="BJ11" s="40">
        <f>BI11*(1+Inputs!$E$21)^(1/12)</f>
        <v>906901.60771866597</v>
      </c>
      <c r="BK11" s="40">
        <f>BJ11*(1+Inputs!$E$21)^(1/12)</f>
        <v>950857.3801419785</v>
      </c>
      <c r="BL11" s="40">
        <f>BK11*(1+Inputs!$E$21)^(1/12)</f>
        <v>996943.60410808888</v>
      </c>
    </row>
    <row r="12" spans="2:64" x14ac:dyDescent="0.35">
      <c r="B12" s="3" t="s">
        <v>150</v>
      </c>
      <c r="C12" s="18" t="s">
        <v>111</v>
      </c>
      <c r="D12" s="20">
        <f>SUM(E12:BL12)</f>
        <v>3296266.339076546</v>
      </c>
      <c r="E12" s="40">
        <f>Inputs!$E$24*Ramp!$E$25</f>
        <v>0</v>
      </c>
      <c r="F12" s="40">
        <f>Inputs!$E$24*Ramp!$F$25</f>
        <v>0</v>
      </c>
      <c r="G12" s="40">
        <f>Inputs!$E$24*Ramp!$G$25</f>
        <v>0</v>
      </c>
      <c r="H12" s="40">
        <f>Inputs!$E$24*Ramp!$H$25</f>
        <v>0</v>
      </c>
      <c r="I12" s="40">
        <f>Inputs!$E$24*Ramp!$I$25</f>
        <v>0</v>
      </c>
      <c r="J12" s="40">
        <f>Inputs!$E$24*Ramp!$J$25</f>
        <v>0</v>
      </c>
      <c r="K12" s="40">
        <f>Inputs!$E$24*Ramp!$K$25</f>
        <v>0</v>
      </c>
      <c r="L12" s="40">
        <f>Inputs!$E$24*Ramp!$L$25</f>
        <v>0</v>
      </c>
      <c r="M12" s="40">
        <f>Inputs!$E$24*Ramp!$M$25</f>
        <v>0</v>
      </c>
      <c r="N12" s="40">
        <f>Inputs!$E$24*Ramp!$N$25</f>
        <v>0</v>
      </c>
      <c r="O12" s="40">
        <f>Inputs!$E$24*Ramp!$O$25</f>
        <v>0</v>
      </c>
      <c r="P12" s="40">
        <f>Inputs!$E$24*Ramp!$P$25</f>
        <v>0</v>
      </c>
      <c r="Q12" s="40">
        <f>Inputs!$E$25*Ramp!$E$28</f>
        <v>0</v>
      </c>
      <c r="R12" s="40">
        <f>Inputs!$E$25*Ramp!$F$28</f>
        <v>0</v>
      </c>
      <c r="S12" s="40">
        <f>Inputs!$E$25*Ramp!$G$28</f>
        <v>0</v>
      </c>
      <c r="T12" s="40">
        <f>Inputs!$E$25*Ramp!$H$28</f>
        <v>0</v>
      </c>
      <c r="U12" s="40">
        <f>Inputs!$E$25*Ramp!$I$28</f>
        <v>0</v>
      </c>
      <c r="V12" s="40">
        <f>Inputs!$E$25*Ramp!$J$28</f>
        <v>0</v>
      </c>
      <c r="W12" s="40">
        <f>Inputs!$E$25*Ramp!$K$28</f>
        <v>0</v>
      </c>
      <c r="X12" s="40">
        <f>Inputs!$E$25*Ramp!$L$28</f>
        <v>0</v>
      </c>
      <c r="Y12" s="40">
        <f>Inputs!$E$25*Ramp!$M$28</f>
        <v>0</v>
      </c>
      <c r="Z12" s="40">
        <f>Inputs!$E$25*Ramp!$N$28</f>
        <v>0</v>
      </c>
      <c r="AA12" s="40">
        <f>Inputs!$E$25*Ramp!$O$28</f>
        <v>0</v>
      </c>
      <c r="AB12" s="40">
        <f>Inputs!$E$25*Ramp!$P$28</f>
        <v>0</v>
      </c>
      <c r="AC12" s="40">
        <f>IF($D$16=1,Inputs!$E$29*Ramp!$E$31,AB12*(1+Inputs!$E$26)^(1/12))</f>
        <v>3395.9623750000001</v>
      </c>
      <c r="AD12" s="40">
        <f>IF($D$16=1,Inputs!$E$29*Ramp!$F$31,AC12*(1+Inputs!$E$26)^(1/12))</f>
        <v>6791.6598750000003</v>
      </c>
      <c r="AE12" s="40">
        <f>IF($D$16=1,Inputs!$E$29*Ramp!$G$31,AD12*(1+Inputs!$E$26)^(1/12))</f>
        <v>10187.62225</v>
      </c>
      <c r="AF12" s="40">
        <f>IF($D$16=1,Inputs!$E$29*Ramp!$H$31,AE12*(1+Inputs!$E$26)^(1/12))</f>
        <v>13583.319750000001</v>
      </c>
      <c r="AG12" s="40">
        <f>IF($D$16=1,Inputs!$E$29*Ramp!$I$31,AF12*(1+Inputs!$E$26)^(1/12))</f>
        <v>16979.282124999998</v>
      </c>
      <c r="AH12" s="40">
        <f>IF($D$16=1,Inputs!$E$29*Ramp!$J$31,AG12*(1+Inputs!$E$26)^(1/12))</f>
        <v>20374.979625</v>
      </c>
      <c r="AI12" s="40">
        <f>IF($D$16=1,Inputs!$E$29*Ramp!$K$31,AH12*(1+Inputs!$E$26)^(1/12))</f>
        <v>23770.942000000003</v>
      </c>
      <c r="AJ12" s="40">
        <f>IF($D$16=1,Inputs!$E$29*Ramp!$L$31,AI12*(1+Inputs!$E$26)^(1/12))</f>
        <v>27166.639500000001</v>
      </c>
      <c r="AK12" s="40">
        <f>IF($D$16=1,Inputs!$E$29*Ramp!$M$31,AJ12*(1+Inputs!$E$26)^(1/12))</f>
        <v>30562.601875</v>
      </c>
      <c r="AL12" s="40">
        <f>IF($D$16=1,Inputs!$E$29*Ramp!$N$31,AK12*(1+Inputs!$E$26)^(1/12))</f>
        <v>33958.299375000002</v>
      </c>
      <c r="AM12" s="40">
        <f>IF($D$16=1,Inputs!$E$29*Ramp!$O$31,AL12*(1+Inputs!$E$26)^(1/12))</f>
        <v>37354.261750000005</v>
      </c>
      <c r="AN12" s="40">
        <f>IF($D$16=1,Inputs!$E$29*Ramp!$P$31,AM12*(1+Inputs!$E$26)^(1/12))</f>
        <v>40749.429500000006</v>
      </c>
      <c r="AO12" s="40">
        <f>AN12*(1+Inputs!$E$27)^(1/12)</f>
        <v>44957.821883819328</v>
      </c>
      <c r="AP12" s="40">
        <f>AO12*(1+Inputs!$E$27)^(1/12)</f>
        <v>49600.835480094851</v>
      </c>
      <c r="AQ12" s="40">
        <f>AP12*(1+Inputs!$E$27)^(1/12)</f>
        <v>54723.355741771309</v>
      </c>
      <c r="AR12" s="40">
        <f>AQ12*(1+Inputs!$E$27)^(1/12)</f>
        <v>60374.903661496312</v>
      </c>
      <c r="AS12" s="40">
        <f>AR12*(1+Inputs!$E$27)^(1/12)</f>
        <v>66610.114506420316</v>
      </c>
      <c r="AT12" s="40">
        <f>AS12*(1+Inputs!$E$27)^(1/12)</f>
        <v>73489.265994274945</v>
      </c>
      <c r="AU12" s="40">
        <f>AT12*(1+Inputs!$E$27)^(1/12)</f>
        <v>81078.861016771611</v>
      </c>
      <c r="AV12" s="40">
        <f>AU12*(1+Inputs!$E$27)^(1/12)</f>
        <v>89452.270543688472</v>
      </c>
      <c r="AW12" s="40">
        <f>AV12*(1+Inputs!$E$27)^(1/12)</f>
        <v>98690.4429227988</v>
      </c>
      <c r="AX12" s="40">
        <f>AW12*(1+Inputs!$E$27)^(1/12)</f>
        <v>108882.68643266344</v>
      </c>
      <c r="AY12" s="40">
        <f>AX12*(1+Inputs!$E$27)^(1/12)</f>
        <v>120127.53265346779</v>
      </c>
      <c r="AZ12" s="40">
        <f>AY12*(1+Inputs!$E$27)^(1/12)</f>
        <v>132533.68900237718</v>
      </c>
      <c r="BA12" s="40">
        <f>AZ12*(1+Inputs!$E$28)^(1/12)</f>
        <v>137640.87242972202</v>
      </c>
      <c r="BB12" s="40">
        <f>BA12*(1+Inputs!$E$28)^(1/12)</f>
        <v>142944.86108264295</v>
      </c>
      <c r="BC12" s="40">
        <f>BB12*(1+Inputs!$E$28)^(1/12)</f>
        <v>148453.2388471243</v>
      </c>
      <c r="BD12" s="40">
        <f>BC12*(1+Inputs!$E$28)^(1/12)</f>
        <v>154173.88185406648</v>
      </c>
      <c r="BE12" s="40">
        <f>BD12*(1+Inputs!$E$28)^(1/12)</f>
        <v>160114.96974093866</v>
      </c>
      <c r="BF12" s="40">
        <f>BE12*(1+Inputs!$E$28)^(1/12)</f>
        <v>166284.99734739933</v>
      </c>
      <c r="BG12" s="40">
        <f>BF12*(1+Inputs!$E$28)^(1/12)</f>
        <v>172692.78686160716</v>
      </c>
      <c r="BH12" s="40">
        <f>BG12*(1+Inputs!$E$28)^(1/12)</f>
        <v>179347.50043458989</v>
      </c>
      <c r="BI12" s="40">
        <f>BH12*(1+Inputs!$E$28)^(1/12)</f>
        <v>186258.6532807076</v>
      </c>
      <c r="BJ12" s="40">
        <f>BI12*(1+Inputs!$E$28)^(1/12)</f>
        <v>193436.12728294212</v>
      </c>
      <c r="BK12" s="40">
        <f>BJ12*(1+Inputs!$E$28)^(1/12)</f>
        <v>200890.18512246612</v>
      </c>
      <c r="BL12" s="40">
        <f>BK12*(1+Inputs!$E$28)^(1/12)</f>
        <v>208631.48495269488</v>
      </c>
    </row>
    <row r="13" spans="2:64" x14ac:dyDescent="0.35">
      <c r="B13" s="4" t="s">
        <v>284</v>
      </c>
      <c r="C13" s="18" t="s">
        <v>111</v>
      </c>
      <c r="D13" s="56">
        <f>SUM(E13:BL13)</f>
        <v>27743639.078553356</v>
      </c>
      <c r="E13" s="56">
        <f t="shared" ref="E13:AJ13" si="10">E10+E11+E12</f>
        <v>0</v>
      </c>
      <c r="F13" s="56">
        <f t="shared" si="10"/>
        <v>0</v>
      </c>
      <c r="G13" s="56">
        <f t="shared" si="10"/>
        <v>0</v>
      </c>
      <c r="H13" s="56">
        <f t="shared" si="10"/>
        <v>0</v>
      </c>
      <c r="I13" s="56">
        <f t="shared" si="10"/>
        <v>0</v>
      </c>
      <c r="J13" s="56">
        <f t="shared" si="10"/>
        <v>0</v>
      </c>
      <c r="K13" s="56">
        <f t="shared" si="10"/>
        <v>0</v>
      </c>
      <c r="L13" s="56">
        <f t="shared" si="10"/>
        <v>0</v>
      </c>
      <c r="M13" s="56">
        <f t="shared" si="10"/>
        <v>0</v>
      </c>
      <c r="N13" s="56">
        <f t="shared" si="10"/>
        <v>2311.9106184000002</v>
      </c>
      <c r="O13" s="56">
        <f t="shared" si="10"/>
        <v>4292.4448023900004</v>
      </c>
      <c r="P13" s="56">
        <f t="shared" si="10"/>
        <v>6291.17457921</v>
      </c>
      <c r="Q13" s="56">
        <f t="shared" si="10"/>
        <v>13789.613854309999</v>
      </c>
      <c r="R13" s="56">
        <f t="shared" si="10"/>
        <v>22416.475741559996</v>
      </c>
      <c r="S13" s="56">
        <f t="shared" si="10"/>
        <v>31532.731490580001</v>
      </c>
      <c r="T13" s="56">
        <f t="shared" si="10"/>
        <v>41207.483186649995</v>
      </c>
      <c r="U13" s="56">
        <f t="shared" si="10"/>
        <v>51343.062746879994</v>
      </c>
      <c r="V13" s="56">
        <f t="shared" si="10"/>
        <v>61915.983197109999</v>
      </c>
      <c r="W13" s="56">
        <f t="shared" si="10"/>
        <v>72888.600202450005</v>
      </c>
      <c r="X13" s="56">
        <f t="shared" si="10"/>
        <v>84288.918717430002</v>
      </c>
      <c r="Y13" s="56">
        <f t="shared" si="10"/>
        <v>96051.993739569996</v>
      </c>
      <c r="Z13" s="56">
        <f t="shared" si="10"/>
        <v>107792.76434395999</v>
      </c>
      <c r="AA13" s="56">
        <f t="shared" si="10"/>
        <v>119992.57284976999</v>
      </c>
      <c r="AB13" s="56">
        <f t="shared" si="10"/>
        <v>132573.40992973</v>
      </c>
      <c r="AC13" s="56">
        <f t="shared" si="10"/>
        <v>149901.86374759293</v>
      </c>
      <c r="AD13" s="56">
        <f t="shared" si="10"/>
        <v>168705.05093546887</v>
      </c>
      <c r="AE13" s="56">
        <f t="shared" si="10"/>
        <v>189140.73176523013</v>
      </c>
      <c r="AF13" s="56">
        <f t="shared" si="10"/>
        <v>211382.47380812041</v>
      </c>
      <c r="AG13" s="56">
        <f t="shared" si="10"/>
        <v>235623.59077387658</v>
      </c>
      <c r="AH13" s="56">
        <f t="shared" si="10"/>
        <v>262077.04072282679</v>
      </c>
      <c r="AI13" s="56">
        <f t="shared" si="10"/>
        <v>290979.78115651984</v>
      </c>
      <c r="AJ13" s="56">
        <f t="shared" si="10"/>
        <v>322593.12884524703</v>
      </c>
      <c r="AK13" s="56">
        <f t="shared" ref="AK13:BP13" si="11">AK10+AK11+AK12</f>
        <v>357207.6268619523</v>
      </c>
      <c r="AL13" s="56">
        <f t="shared" si="11"/>
        <v>395143.972189944</v>
      </c>
      <c r="AM13" s="56">
        <f t="shared" si="11"/>
        <v>436758.51248811028</v>
      </c>
      <c r="AN13" s="56">
        <f t="shared" si="11"/>
        <v>482444.34241709288</v>
      </c>
      <c r="AO13" s="56">
        <f t="shared" si="11"/>
        <v>508804.72271408502</v>
      </c>
      <c r="AP13" s="56">
        <f t="shared" si="11"/>
        <v>536734.28664867335</v>
      </c>
      <c r="AQ13" s="56">
        <f t="shared" si="11"/>
        <v>566337.0615545609</v>
      </c>
      <c r="AR13" s="56">
        <f t="shared" si="11"/>
        <v>597724.837497278</v>
      </c>
      <c r="AS13" s="56">
        <f t="shared" si="11"/>
        <v>631017.81322759797</v>
      </c>
      <c r="AT13" s="56">
        <f t="shared" si="11"/>
        <v>666345.30059525801</v>
      </c>
      <c r="AU13" s="56">
        <f t="shared" si="11"/>
        <v>703846.49301865208</v>
      </c>
      <c r="AV13" s="56">
        <f t="shared" si="11"/>
        <v>743671.30416020122</v>
      </c>
      <c r="AW13" s="56">
        <f t="shared" si="11"/>
        <v>785981.28356706246</v>
      </c>
      <c r="AX13" s="56">
        <f t="shared" si="11"/>
        <v>830950.61670842208</v>
      </c>
      <c r="AY13" s="56">
        <f t="shared" si="11"/>
        <v>878767.21758012241</v>
      </c>
      <c r="AZ13" s="56">
        <f t="shared" si="11"/>
        <v>929633.92286172044</v>
      </c>
      <c r="BA13" s="56">
        <f t="shared" si="11"/>
        <v>971308.59038844355</v>
      </c>
      <c r="BB13" s="56">
        <f t="shared" si="11"/>
        <v>1014870.6564282923</v>
      </c>
      <c r="BC13" s="56">
        <f t="shared" si="11"/>
        <v>1060406.4095875672</v>
      </c>
      <c r="BD13" s="56">
        <f t="shared" si="11"/>
        <v>1108006.1173815145</v>
      </c>
      <c r="BE13" s="56">
        <f t="shared" si="11"/>
        <v>1157764.2111168315</v>
      </c>
      <c r="BF13" s="56">
        <f t="shared" si="11"/>
        <v>1209779.4794228137</v>
      </c>
      <c r="BG13" s="56">
        <f t="shared" si="11"/>
        <v>1264155.2708380909</v>
      </c>
      <c r="BH13" s="56">
        <f t="shared" si="11"/>
        <v>1320999.7058791348</v>
      </c>
      <c r="BI13" s="56">
        <f t="shared" si="11"/>
        <v>1380425.8990368885</v>
      </c>
      <c r="BJ13" s="56">
        <f t="shared" si="11"/>
        <v>1442552.1911689737</v>
      </c>
      <c r="BK13" s="56">
        <f t="shared" si="11"/>
        <v>1507502.3927770576</v>
      </c>
      <c r="BL13" s="56">
        <f t="shared" si="11"/>
        <v>1575406.038682129</v>
      </c>
    </row>
    <row r="14" spans="2:64" x14ac:dyDescent="0.35">
      <c r="B14" s="3" t="s">
        <v>414</v>
      </c>
      <c r="C14" s="18" t="s">
        <v>415</v>
      </c>
      <c r="D14" s="13">
        <f>IF(AB10=0,1,0)</f>
        <v>0</v>
      </c>
    </row>
    <row r="15" spans="2:64" x14ac:dyDescent="0.35">
      <c r="B15" s="3" t="s">
        <v>416</v>
      </c>
      <c r="C15" s="18" t="s">
        <v>415</v>
      </c>
      <c r="D15" s="13">
        <f>IF(AB11=0,1,0)</f>
        <v>0</v>
      </c>
    </row>
    <row r="16" spans="2:64" x14ac:dyDescent="0.35">
      <c r="B16" s="3" t="s">
        <v>417</v>
      </c>
      <c r="C16" s="18" t="s">
        <v>415</v>
      </c>
      <c r="D16" s="13">
        <f>IF(AB12=0,1,0)</f>
        <v>1</v>
      </c>
    </row>
    <row r="17" spans="2:64" x14ac:dyDescent="0.35">
      <c r="B17" s="16" t="s">
        <v>418</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row>
    <row r="18" spans="2:64" x14ac:dyDescent="0.35">
      <c r="B18" s="3" t="s">
        <v>419</v>
      </c>
      <c r="C18" s="18" t="s">
        <v>111</v>
      </c>
      <c r="D18" s="20">
        <f>SUM(E18:BL18)</f>
        <v>1064810.9418155397</v>
      </c>
      <c r="E18" s="40">
        <f>E10*(1-Inputs!$D$33)</f>
        <v>0</v>
      </c>
      <c r="F18" s="40">
        <f>F10*(1-Inputs!$D$33)</f>
        <v>0</v>
      </c>
      <c r="G18" s="40">
        <f>G10*(1-Inputs!$D$33)</f>
        <v>0</v>
      </c>
      <c r="H18" s="40">
        <f>H10*(1-Inputs!$D$33)</f>
        <v>0</v>
      </c>
      <c r="I18" s="40">
        <f>I10*(1-Inputs!$D$33)</f>
        <v>0</v>
      </c>
      <c r="J18" s="40">
        <f>J10*(1-Inputs!$D$33)</f>
        <v>0</v>
      </c>
      <c r="K18" s="40">
        <f>K10*(1-Inputs!$D$33)</f>
        <v>0</v>
      </c>
      <c r="L18" s="40">
        <f>L10*(1-Inputs!$D$33)</f>
        <v>0</v>
      </c>
      <c r="M18" s="40">
        <f>M10*(1-Inputs!$D$33)</f>
        <v>0</v>
      </c>
      <c r="N18" s="40">
        <f>N10*(1-Inputs!$D$33)</f>
        <v>3875.5413103168012</v>
      </c>
      <c r="O18" s="40">
        <f>O10*(1-Inputs!$D$33)</f>
        <v>7195.5840427040457</v>
      </c>
      <c r="P18" s="40">
        <f>P10*(1-Inputs!$D$33)</f>
        <v>10546.128720589153</v>
      </c>
      <c r="Q18" s="40">
        <f>Q10*(1-Inputs!$E$33)</f>
        <v>1916.280407771761</v>
      </c>
      <c r="R18" s="40">
        <f>R10*(1-Inputs!$E$33)</f>
        <v>2601.2830381743656</v>
      </c>
      <c r="S18" s="40">
        <f>S10*(1-Inputs!$E$33)</f>
        <v>3307.0519739678607</v>
      </c>
      <c r="T18" s="40">
        <f>T10*(1-Inputs!$E$33)</f>
        <v>4030.7327401844259</v>
      </c>
      <c r="U18" s="40">
        <f>U10*(1-Inputs!$E$33)</f>
        <v>4769.6849474788278</v>
      </c>
      <c r="V18" s="40">
        <f>V10*(1-Inputs!$E$33)</f>
        <v>5522.4813583671576</v>
      </c>
      <c r="W18" s="40">
        <f>W10*(1-Inputs!$E$33)</f>
        <v>6287.7660972396998</v>
      </c>
      <c r="X18" s="40">
        <f>X10*(1-Inputs!$E$33)</f>
        <v>7065.0396309770858</v>
      </c>
      <c r="Y18" s="40">
        <f>Y10*(1-Inputs!$E$33)</f>
        <v>7853.5883408373611</v>
      </c>
      <c r="Z18" s="40">
        <f>Z10*(1-Inputs!$E$33)</f>
        <v>8584.6907419702584</v>
      </c>
      <c r="AA18" s="40">
        <f>AA10*(1-Inputs!$E$33)</f>
        <v>9333.348164155248</v>
      </c>
      <c r="AB18" s="40">
        <f>AB10*(1-Inputs!$E$33)</f>
        <v>10089.92675437594</v>
      </c>
      <c r="AC18" s="40">
        <f>AC10*(1-Inputs!$F$33)</f>
        <v>8409.9379829267709</v>
      </c>
      <c r="AD18" s="40">
        <f>AD10*(1-Inputs!$F$33)</f>
        <v>9195.9036303467601</v>
      </c>
      <c r="AE18" s="40">
        <f>AE10*(1-Inputs!$F$33)</f>
        <v>10055.323089219157</v>
      </c>
      <c r="AF18" s="40">
        <f>AF10*(1-Inputs!$F$33)</f>
        <v>10995.061115573175</v>
      </c>
      <c r="AG18" s="40">
        <f>AG10*(1-Inputs!$F$33)</f>
        <v>12022.624023369601</v>
      </c>
      <c r="AH18" s="40">
        <f>AH10*(1-Inputs!$F$33)</f>
        <v>13146.219642433405</v>
      </c>
      <c r="AI18" s="40">
        <f>AI10*(1-Inputs!$F$33)</f>
        <v>14374.822879861173</v>
      </c>
      <c r="AJ18" s="40">
        <f>AJ10*(1-Inputs!$F$33)</f>
        <v>15718.247408585921</v>
      </c>
      <c r="AK18" s="40">
        <f>AK10*(1-Inputs!$F$33)</f>
        <v>17187.224055723746</v>
      </c>
      <c r="AL18" s="40">
        <f>AL10*(1-Inputs!$F$33)</f>
        <v>18793.486516842182</v>
      </c>
      <c r="AM18" s="40">
        <f>AM10*(1-Inputs!$F$33)</f>
        <v>20549.865080807311</v>
      </c>
      <c r="AN18" s="40">
        <f>AN10*(1-Inputs!$F$33)</f>
        <v>22470.389113852467</v>
      </c>
      <c r="AO18" s="40">
        <f>AO10*(1-Inputs!$G$33)</f>
        <v>21164.349636486004</v>
      </c>
      <c r="AP18" s="40">
        <f>AP10*(1-Inputs!$G$33)</f>
        <v>22005.066195590873</v>
      </c>
      <c r="AQ18" s="40">
        <f>AQ10*(1-Inputs!$G$33)</f>
        <v>22879.178741101798</v>
      </c>
      <c r="AR18" s="40">
        <f>AR10*(1-Inputs!$G$33)</f>
        <v>23788.013869831888</v>
      </c>
      <c r="AS18" s="40">
        <f>AS10*(1-Inputs!$G$33)</f>
        <v>24732.950875319028</v>
      </c>
      <c r="AT18" s="40">
        <f>AT10*(1-Inputs!$G$33)</f>
        <v>25715.423841110587</v>
      </c>
      <c r="AU18" s="40">
        <f>AU10*(1-Inputs!$G$33)</f>
        <v>26736.923817200161</v>
      </c>
      <c r="AV18" s="40">
        <f>AV10*(1-Inputs!$G$33)</f>
        <v>27799.001082919422</v>
      </c>
      <c r="AW18" s="40">
        <f>AW10*(1-Inputs!$G$33)</f>
        <v>28903.267499719408</v>
      </c>
      <c r="AX18" s="40">
        <f>AX10*(1-Inputs!$G$33)</f>
        <v>30051.398957411871</v>
      </c>
      <c r="AY18" s="40">
        <f>AY10*(1-Inputs!$G$33)</f>
        <v>31245.137917583277</v>
      </c>
      <c r="AZ18" s="40">
        <f>AZ10*(1-Inputs!$G$33)</f>
        <v>32486.296058041455</v>
      </c>
      <c r="BA18" s="40">
        <f>BA10*(1-Inputs!$H$33)</f>
        <v>32118.269799590711</v>
      </c>
      <c r="BB18" s="40">
        <f>BB10*(1-Inputs!$H$33)</f>
        <v>33389.090748898045</v>
      </c>
      <c r="BC18" s="40">
        <f>BC10*(1-Inputs!$H$33)</f>
        <v>34710.194166572306</v>
      </c>
      <c r="BD18" s="40">
        <f>BD10*(1-Inputs!$H$33)</f>
        <v>36083.5695749191</v>
      </c>
      <c r="BE18" s="40">
        <f>BE10*(1-Inputs!$H$33)</f>
        <v>37511.285215510063</v>
      </c>
      <c r="BF18" s="40">
        <f>BF10*(1-Inputs!$H$33)</f>
        <v>38995.491163861625</v>
      </c>
      <c r="BG18" s="40">
        <f>BG10*(1-Inputs!$H$33)</f>
        <v>40538.422567351983</v>
      </c>
      <c r="BH18" s="40">
        <f>BH10*(1-Inputs!$H$33)</f>
        <v>42142.4030112525</v>
      </c>
      <c r="BI18" s="40">
        <f>BI10*(1-Inputs!$H$33)</f>
        <v>43809.848017942575</v>
      </c>
      <c r="BJ18" s="40">
        <f>BJ10*(1-Inputs!$H$33)</f>
        <v>45543.268684577655</v>
      </c>
      <c r="BK18" s="40">
        <f>BK10*(1-Inputs!$H$33)</f>
        <v>47345.275464688566</v>
      </c>
      <c r="BL18" s="40">
        <f>BL10*(1-Inputs!$H$33)</f>
        <v>49218.582099407082</v>
      </c>
    </row>
    <row r="19" spans="2:64" x14ac:dyDescent="0.35">
      <c r="B19" s="3" t="s">
        <v>420</v>
      </c>
      <c r="C19" s="18" t="s">
        <v>111</v>
      </c>
      <c r="D19" s="20">
        <f>SUM(E19:BL19)</f>
        <v>9954214.7039882131</v>
      </c>
      <c r="E19" s="40">
        <f>E11*(1-Inputs!$D$36)</f>
        <v>0</v>
      </c>
      <c r="F19" s="40">
        <f>F11*(1-Inputs!$D$36)</f>
        <v>0</v>
      </c>
      <c r="G19" s="40">
        <f>G11*(1-Inputs!$D$36)</f>
        <v>0</v>
      </c>
      <c r="H19" s="40">
        <f>H11*(1-Inputs!$D$36)</f>
        <v>0</v>
      </c>
      <c r="I19" s="40">
        <f>I11*(1-Inputs!$D$36)</f>
        <v>0</v>
      </c>
      <c r="J19" s="40">
        <f>J11*(1-Inputs!$D$36)</f>
        <v>0</v>
      </c>
      <c r="K19" s="40">
        <f>K11*(1-Inputs!$D$36)</f>
        <v>0</v>
      </c>
      <c r="L19" s="40">
        <f>L11*(1-Inputs!$D$36)</f>
        <v>0</v>
      </c>
      <c r="M19" s="40">
        <f>M11*(1-Inputs!$D$36)</f>
        <v>0</v>
      </c>
      <c r="N19" s="40">
        <f>N11*(1-Inputs!$D$36)</f>
        <v>0</v>
      </c>
      <c r="O19" s="40">
        <f>O11*(1-Inputs!$D$36)</f>
        <v>0</v>
      </c>
      <c r="P19" s="40">
        <f>P11*(1-Inputs!$D$36)</f>
        <v>0</v>
      </c>
      <c r="Q19" s="40">
        <f>Q11*(1-Inputs!$E$36)</f>
        <v>2773.4173617844735</v>
      </c>
      <c r="R19" s="40">
        <f>R11*(1-Inputs!$E$36)</f>
        <v>6131.2333819449614</v>
      </c>
      <c r="S19" s="40">
        <f>S11*(1-Inputs!$E$36)</f>
        <v>9736.6759522647753</v>
      </c>
      <c r="T19" s="40">
        <f>T11*(1-Inputs!$E$36)</f>
        <v>13642.984781028174</v>
      </c>
      <c r="U19" s="40">
        <f>U11*(1-Inputs!$E$36)</f>
        <v>17795.991560387807</v>
      </c>
      <c r="V19" s="40">
        <f>V11*(1-Inputs!$E$36)</f>
        <v>22185.172161961895</v>
      </c>
      <c r="W19" s="40">
        <f>W11*(1-Inputs!$E$36)</f>
        <v>26790.716461737698</v>
      </c>
      <c r="X19" s="40">
        <f>X11*(1-Inputs!$E$36)</f>
        <v>31632.12505054026</v>
      </c>
      <c r="Y19" s="40">
        <f>Y11*(1-Inputs!$E$36)</f>
        <v>36670.087213531784</v>
      </c>
      <c r="Z19" s="40">
        <f>Z11*(1-Inputs!$E$36)</f>
        <v>41875.197297880855</v>
      </c>
      <c r="AA19" s="40">
        <f>AA11*(1-Inputs!$E$36)</f>
        <v>47318.647936758287</v>
      </c>
      <c r="AB19" s="40">
        <f>AB11*(1-Inputs!$E$36)</f>
        <v>52980.938539339018</v>
      </c>
      <c r="AC19" s="40">
        <f>AC11*(1-Inputs!$F$36)</f>
        <v>54806.353342865506</v>
      </c>
      <c r="AD19" s="40">
        <f>AD11*(1-Inputs!$F$36)</f>
        <v>60949.653670565742</v>
      </c>
      <c r="AE19" s="40">
        <f>AE11*(1-Inputs!$F$36)</f>
        <v>67781.562829439645</v>
      </c>
      <c r="AF19" s="40">
        <f>AF11*(1-Inputs!$F$36)</f>
        <v>75379.267689260188</v>
      </c>
      <c r="AG19" s="40">
        <f>AG11*(1-Inputs!$F$36)</f>
        <v>83828.607075156717</v>
      </c>
      <c r="AH19" s="40">
        <f>AH11*(1-Inputs!$F$36)</f>
        <v>93225.041574159986</v>
      </c>
      <c r="AI19" s="40">
        <f>AI11*(1-Inputs!$F$36)</f>
        <v>103674.73204835679</v>
      </c>
      <c r="AJ19" s="40">
        <f>AJ11*(1-Inputs!$F$36)</f>
        <v>115295.73903968974</v>
      </c>
      <c r="AK19" s="40">
        <f>AK11*(1-Inputs!$F$36)</f>
        <v>128219.35661727066</v>
      </c>
      <c r="AL19" s="40">
        <f>AL11*(1-Inputs!$F$36)</f>
        <v>142591.59573700643</v>
      </c>
      <c r="AM19" s="40">
        <f>AM11*(1-Inputs!$F$36)</f>
        <v>158574.83387252604</v>
      </c>
      <c r="AN19" s="40">
        <f>AN11*(1-Inputs!$F$36)</f>
        <v>176349.64955492932</v>
      </c>
      <c r="AO19" s="40">
        <f>AO11*(1-Inputs!$G$36)</f>
        <v>182211.14387166873</v>
      </c>
      <c r="AP19" s="40">
        <f>AP11*(1-Inputs!$G$36)</f>
        <v>192282.58822764712</v>
      </c>
      <c r="AQ19" s="40">
        <f>AQ11*(1-Inputs!$G$36)</f>
        <v>202910.7163805672</v>
      </c>
      <c r="AR19" s="40">
        <f>AR11*(1-Inputs!$G$36)</f>
        <v>214126.29818218248</v>
      </c>
      <c r="AS19" s="40">
        <f>AS11*(1-Inputs!$G$36)</f>
        <v>225961.80424108935</v>
      </c>
      <c r="AT19" s="40">
        <f>AT11*(1-Inputs!$G$36)</f>
        <v>238451.49992947947</v>
      </c>
      <c r="AU19" s="40">
        <f>AU11*(1-Inputs!$G$36)</f>
        <v>251631.54458597285</v>
      </c>
      <c r="AV19" s="40">
        <f>AV11*(1-Inputs!$G$36)</f>
        <v>265540.09620173695</v>
      </c>
      <c r="AW19" s="40">
        <f>AW11*(1-Inputs!$G$36)</f>
        <v>280217.42189297185</v>
      </c>
      <c r="AX19" s="40">
        <f>AX11*(1-Inputs!$G$36)</f>
        <v>295706.0144795946</v>
      </c>
      <c r="AY19" s="40">
        <f>AY11*(1-Inputs!$G$36)</f>
        <v>312050.71550763334</v>
      </c>
      <c r="AZ19" s="40">
        <f>AZ11*(1-Inputs!$G$36)</f>
        <v>329298.84507149714</v>
      </c>
      <c r="BA19" s="40">
        <f>BA11*(1-Inputs!$H$36)</f>
        <v>341872.38574294024</v>
      </c>
      <c r="BB19" s="40">
        <f>BB11*(1-Inputs!$H$36)</f>
        <v>358442.28115125588</v>
      </c>
      <c r="BC19" s="40">
        <f>BC11*(1-Inputs!$H$36)</f>
        <v>375815.28744331794</v>
      </c>
      <c r="BD19" s="40">
        <f>BD11*(1-Inputs!$H$36)</f>
        <v>394030.32985526702</v>
      </c>
      <c r="BE19" s="40">
        <f>BE11*(1-Inputs!$H$36)</f>
        <v>413128.22025439155</v>
      </c>
      <c r="BF19" s="40">
        <f>BF11*(1-Inputs!$H$36)</f>
        <v>433151.7485805024</v>
      </c>
      <c r="BG19" s="40">
        <f>BG11*(1-Inputs!$H$36)</f>
        <v>454145.77871929423</v>
      </c>
      <c r="BH19" s="40">
        <f>BH11*(1-Inputs!$H$36)</f>
        <v>476157.349022504</v>
      </c>
      <c r="BI19" s="40">
        <f>BI11*(1-Inputs!$H$36)</f>
        <v>499235.77770008746</v>
      </c>
      <c r="BJ19" s="40">
        <f>BJ11*(1-Inputs!$H$36)</f>
        <v>523432.77332055161</v>
      </c>
      <c r="BK19" s="40">
        <f>BK11*(1-Inputs!$H$36)</f>
        <v>548802.55066702527</v>
      </c>
      <c r="BL19" s="40">
        <f>BL11*(1-Inputs!$H$36)</f>
        <v>575401.95220864925</v>
      </c>
    </row>
    <row r="20" spans="2:64" x14ac:dyDescent="0.35">
      <c r="B20" s="3" t="s">
        <v>421</v>
      </c>
      <c r="C20" s="18" t="s">
        <v>111</v>
      </c>
      <c r="D20" s="20">
        <f>SUM(E20:BL20)</f>
        <v>101248.2596024619</v>
      </c>
      <c r="E20" s="40">
        <f>E12*(1-Inputs!$D$39)</f>
        <v>0</v>
      </c>
      <c r="F20" s="40">
        <f>F12*(1-Inputs!$D$39)</f>
        <v>0</v>
      </c>
      <c r="G20" s="40">
        <f>G12*(1-Inputs!$D$39)</f>
        <v>0</v>
      </c>
      <c r="H20" s="40">
        <f>H12*(1-Inputs!$D$39)</f>
        <v>0</v>
      </c>
      <c r="I20" s="40">
        <f>I12*(1-Inputs!$D$39)</f>
        <v>0</v>
      </c>
      <c r="J20" s="40">
        <f>J12*(1-Inputs!$D$39)</f>
        <v>0</v>
      </c>
      <c r="K20" s="40">
        <f>K12*(1-Inputs!$D$39)</f>
        <v>0</v>
      </c>
      <c r="L20" s="40">
        <f>L12*(1-Inputs!$D$39)</f>
        <v>0</v>
      </c>
      <c r="M20" s="40">
        <f>M12*(1-Inputs!$D$39)</f>
        <v>0</v>
      </c>
      <c r="N20" s="40">
        <f>N12*(1-Inputs!$D$39)</f>
        <v>0</v>
      </c>
      <c r="O20" s="40">
        <f>O12*(1-Inputs!$D$39)</f>
        <v>0</v>
      </c>
      <c r="P20" s="40">
        <f>P12*(1-Inputs!$D$39)</f>
        <v>0</v>
      </c>
      <c r="Q20" s="40">
        <f>Q12*(1-Inputs!$E$39)</f>
        <v>0</v>
      </c>
      <c r="R20" s="40">
        <f>R12*(1-Inputs!$E$39)</f>
        <v>0</v>
      </c>
      <c r="S20" s="40">
        <f>S12*(1-Inputs!$E$39)</f>
        <v>0</v>
      </c>
      <c r="T20" s="40">
        <f>T12*(1-Inputs!$E$39)</f>
        <v>0</v>
      </c>
      <c r="U20" s="40">
        <f>U12*(1-Inputs!$E$39)</f>
        <v>0</v>
      </c>
      <c r="V20" s="40">
        <f>V12*(1-Inputs!$E$39)</f>
        <v>0</v>
      </c>
      <c r="W20" s="40">
        <f>W12*(1-Inputs!$E$39)</f>
        <v>0</v>
      </c>
      <c r="X20" s="40">
        <f>X12*(1-Inputs!$E$39)</f>
        <v>0</v>
      </c>
      <c r="Y20" s="40">
        <f>Y12*(1-Inputs!$E$39)</f>
        <v>0</v>
      </c>
      <c r="Z20" s="40">
        <f>Z12*(1-Inputs!$E$39)</f>
        <v>0</v>
      </c>
      <c r="AA20" s="40">
        <f>AA12*(1-Inputs!$E$39)</f>
        <v>0</v>
      </c>
      <c r="AB20" s="40">
        <f>AB12*(1-Inputs!$E$39)</f>
        <v>0</v>
      </c>
      <c r="AC20" s="40">
        <f>AC12*(1-Inputs!$F$39)</f>
        <v>152.83528668687487</v>
      </c>
      <c r="AD20" s="40">
        <f>AD12*(1-Inputs!$F$39)</f>
        <v>305.65865267437476</v>
      </c>
      <c r="AE20" s="40">
        <f>AE12*(1-Inputs!$F$39)</f>
        <v>458.4939393612496</v>
      </c>
      <c r="AF20" s="40">
        <f>AF12*(1-Inputs!$F$39)</f>
        <v>611.31730534874953</v>
      </c>
      <c r="AG20" s="40">
        <f>AG12*(1-Inputs!$F$39)</f>
        <v>764.15259203562425</v>
      </c>
      <c r="AH20" s="40">
        <f>AH12*(1-Inputs!$F$39)</f>
        <v>916.97595802312424</v>
      </c>
      <c r="AI20" s="40">
        <f>AI12*(1-Inputs!$F$39)</f>
        <v>1069.8112447099993</v>
      </c>
      <c r="AJ20" s="40">
        <f>AJ12*(1-Inputs!$F$39)</f>
        <v>1222.6346106974991</v>
      </c>
      <c r="AK20" s="40">
        <f>AK12*(1-Inputs!$F$39)</f>
        <v>1375.4698973843738</v>
      </c>
      <c r="AL20" s="40">
        <f>AL12*(1-Inputs!$F$39)</f>
        <v>1528.2932633718738</v>
      </c>
      <c r="AM20" s="40">
        <f>AM12*(1-Inputs!$F$39)</f>
        <v>1681.1285500587487</v>
      </c>
      <c r="AN20" s="40">
        <f>AN12*(1-Inputs!$F$39)</f>
        <v>1833.9280746474988</v>
      </c>
      <c r="AO20" s="40">
        <f>AO12*(1-Inputs!$G$39)</f>
        <v>1490.5316267361468</v>
      </c>
      <c r="AP20" s="40">
        <f>AP12*(1-Inputs!$G$39)</f>
        <v>1644.4660995070656</v>
      </c>
      <c r="AQ20" s="40">
        <f>AQ12*(1-Inputs!$G$39)</f>
        <v>1814.298136262687</v>
      </c>
      <c r="AR20" s="40">
        <f>AR12*(1-Inputs!$G$39)</f>
        <v>2001.6695559932498</v>
      </c>
      <c r="AS20" s="40">
        <f>AS12*(1-Inputs!$G$39)</f>
        <v>2208.3917363458604</v>
      </c>
      <c r="AT20" s="40">
        <f>AT12*(1-Inputs!$G$39)</f>
        <v>2436.4631247741927</v>
      </c>
      <c r="AU20" s="40">
        <f>AU12*(1-Inputs!$G$39)</f>
        <v>2688.0885581500474</v>
      </c>
      <c r="AV20" s="40">
        <f>AV12*(1-Inputs!$G$39)</f>
        <v>2965.7005776054489</v>
      </c>
      <c r="AW20" s="40">
        <f>AW12*(1-Inputs!$G$39)</f>
        <v>3271.9829446624731</v>
      </c>
      <c r="AX20" s="40">
        <f>AX12*(1-Inputs!$G$39)</f>
        <v>3609.8965859885257</v>
      </c>
      <c r="AY20" s="40">
        <f>AY12*(1-Inputs!$G$39)</f>
        <v>3982.7082175930732</v>
      </c>
      <c r="AZ20" s="40">
        <f>AZ12*(1-Inputs!$G$39)</f>
        <v>4394.0219251848157</v>
      </c>
      <c r="BA20" s="40">
        <f>BA12*(1-Inputs!$H$39)</f>
        <v>3813.3403706654458</v>
      </c>
      <c r="BB20" s="40">
        <f>BB12*(1-Inputs!$H$39)</f>
        <v>3960.2873762946201</v>
      </c>
      <c r="BC20" s="40">
        <f>BC12*(1-Inputs!$H$39)</f>
        <v>4112.8969822595755</v>
      </c>
      <c r="BD20" s="40">
        <f>BD12*(1-Inputs!$H$39)</f>
        <v>4271.3873967669088</v>
      </c>
      <c r="BE20" s="40">
        <f>BE12*(1-Inputs!$H$39)</f>
        <v>4435.9852366727018</v>
      </c>
      <c r="BF20" s="40">
        <f>BF12*(1-Inputs!$H$39)</f>
        <v>4606.9258515096953</v>
      </c>
      <c r="BG20" s="40">
        <f>BG12*(1-Inputs!$H$39)</f>
        <v>4784.4536600008232</v>
      </c>
      <c r="BH20" s="40">
        <f>BH12*(1-Inputs!$H$39)</f>
        <v>4968.8224995403098</v>
      </c>
      <c r="BI20" s="40">
        <f>BI12*(1-Inputs!$H$39)</f>
        <v>5160.2959891420005</v>
      </c>
      <c r="BJ20" s="40">
        <f>BJ12*(1-Inputs!$H$39)</f>
        <v>5359.147906373908</v>
      </c>
      <c r="BK20" s="40">
        <f>BK12*(1-Inputs!$H$39)</f>
        <v>5565.6625788179199</v>
      </c>
      <c r="BL20" s="40">
        <f>BL12*(1-Inputs!$H$39)</f>
        <v>5780.1352906144075</v>
      </c>
    </row>
    <row r="21" spans="2:64" x14ac:dyDescent="0.35">
      <c r="B21" s="4" t="s">
        <v>285</v>
      </c>
      <c r="C21" s="18" t="s">
        <v>111</v>
      </c>
      <c r="D21" s="56">
        <f>SUM(E21:BL21)</f>
        <v>11120273.905406216</v>
      </c>
      <c r="E21" s="56">
        <f t="shared" ref="E21:AJ21" si="12">E18+E19+E20</f>
        <v>0</v>
      </c>
      <c r="F21" s="56">
        <f t="shared" si="12"/>
        <v>0</v>
      </c>
      <c r="G21" s="56">
        <f t="shared" si="12"/>
        <v>0</v>
      </c>
      <c r="H21" s="56">
        <f t="shared" si="12"/>
        <v>0</v>
      </c>
      <c r="I21" s="56">
        <f t="shared" si="12"/>
        <v>0</v>
      </c>
      <c r="J21" s="56">
        <f t="shared" si="12"/>
        <v>0</v>
      </c>
      <c r="K21" s="56">
        <f t="shared" si="12"/>
        <v>0</v>
      </c>
      <c r="L21" s="56">
        <f t="shared" si="12"/>
        <v>0</v>
      </c>
      <c r="M21" s="56">
        <f t="shared" si="12"/>
        <v>0</v>
      </c>
      <c r="N21" s="56">
        <f t="shared" si="12"/>
        <v>3875.5413103168012</v>
      </c>
      <c r="O21" s="56">
        <f t="shared" si="12"/>
        <v>7195.5840427040457</v>
      </c>
      <c r="P21" s="56">
        <f t="shared" si="12"/>
        <v>10546.128720589153</v>
      </c>
      <c r="Q21" s="56">
        <f t="shared" si="12"/>
        <v>4689.6977695562346</v>
      </c>
      <c r="R21" s="56">
        <f t="shared" si="12"/>
        <v>8732.5164201193274</v>
      </c>
      <c r="S21" s="56">
        <f t="shared" si="12"/>
        <v>13043.727926232636</v>
      </c>
      <c r="T21" s="56">
        <f t="shared" si="12"/>
        <v>17673.717521212599</v>
      </c>
      <c r="U21" s="56">
        <f t="shared" si="12"/>
        <v>22565.676507866636</v>
      </c>
      <c r="V21" s="56">
        <f t="shared" si="12"/>
        <v>27707.653520329051</v>
      </c>
      <c r="W21" s="56">
        <f t="shared" si="12"/>
        <v>33078.482558977397</v>
      </c>
      <c r="X21" s="56">
        <f t="shared" si="12"/>
        <v>38697.164681517344</v>
      </c>
      <c r="Y21" s="56">
        <f t="shared" si="12"/>
        <v>44523.675554369147</v>
      </c>
      <c r="Z21" s="56">
        <f t="shared" si="12"/>
        <v>50459.88803985111</v>
      </c>
      <c r="AA21" s="56">
        <f t="shared" si="12"/>
        <v>56651.996100913537</v>
      </c>
      <c r="AB21" s="56">
        <f t="shared" si="12"/>
        <v>63070.86529371496</v>
      </c>
      <c r="AC21" s="56">
        <f t="shared" si="12"/>
        <v>63369.126612479151</v>
      </c>
      <c r="AD21" s="56">
        <f t="shared" si="12"/>
        <v>70451.215953586885</v>
      </c>
      <c r="AE21" s="56">
        <f t="shared" si="12"/>
        <v>78295.379858020053</v>
      </c>
      <c r="AF21" s="56">
        <f t="shared" si="12"/>
        <v>86985.646110182119</v>
      </c>
      <c r="AG21" s="56">
        <f t="shared" si="12"/>
        <v>96615.383690561939</v>
      </c>
      <c r="AH21" s="56">
        <f t="shared" si="12"/>
        <v>107288.23717461652</v>
      </c>
      <c r="AI21" s="56">
        <f t="shared" si="12"/>
        <v>119119.36617292796</v>
      </c>
      <c r="AJ21" s="56">
        <f t="shared" si="12"/>
        <v>132236.62105897316</v>
      </c>
      <c r="AK21" s="56">
        <f t="shared" ref="AK21:BP21" si="13">AK18+AK19+AK20</f>
        <v>146782.05057037878</v>
      </c>
      <c r="AL21" s="56">
        <f t="shared" si="13"/>
        <v>162913.37551722047</v>
      </c>
      <c r="AM21" s="56">
        <f t="shared" si="13"/>
        <v>180805.82750339209</v>
      </c>
      <c r="AN21" s="56">
        <f t="shared" si="13"/>
        <v>200653.96674342928</v>
      </c>
      <c r="AO21" s="56">
        <f t="shared" si="13"/>
        <v>204866.02513489086</v>
      </c>
      <c r="AP21" s="56">
        <f t="shared" si="13"/>
        <v>215932.12052274507</v>
      </c>
      <c r="AQ21" s="56">
        <f t="shared" si="13"/>
        <v>227604.19325793168</v>
      </c>
      <c r="AR21" s="56">
        <f t="shared" si="13"/>
        <v>239915.98160800763</v>
      </c>
      <c r="AS21" s="56">
        <f t="shared" si="13"/>
        <v>252903.14685275423</v>
      </c>
      <c r="AT21" s="56">
        <f t="shared" si="13"/>
        <v>266603.38689536427</v>
      </c>
      <c r="AU21" s="56">
        <f t="shared" si="13"/>
        <v>281056.55696132308</v>
      </c>
      <c r="AV21" s="56">
        <f t="shared" si="13"/>
        <v>296304.79786226182</v>
      </c>
      <c r="AW21" s="56">
        <f t="shared" si="13"/>
        <v>312392.6723373537</v>
      </c>
      <c r="AX21" s="56">
        <f t="shared" si="13"/>
        <v>329367.31002299499</v>
      </c>
      <c r="AY21" s="56">
        <f t="shared" si="13"/>
        <v>347278.56164280971</v>
      </c>
      <c r="AZ21" s="56">
        <f t="shared" si="13"/>
        <v>366179.16305472341</v>
      </c>
      <c r="BA21" s="56">
        <f t="shared" si="13"/>
        <v>377803.99591319636</v>
      </c>
      <c r="BB21" s="56">
        <f t="shared" si="13"/>
        <v>395791.65927644854</v>
      </c>
      <c r="BC21" s="56">
        <f t="shared" si="13"/>
        <v>414638.37859214982</v>
      </c>
      <c r="BD21" s="56">
        <f t="shared" si="13"/>
        <v>434385.28682695306</v>
      </c>
      <c r="BE21" s="56">
        <f t="shared" si="13"/>
        <v>455075.49070657429</v>
      </c>
      <c r="BF21" s="56">
        <f t="shared" si="13"/>
        <v>476754.16559587372</v>
      </c>
      <c r="BG21" s="56">
        <f t="shared" si="13"/>
        <v>499468.654946647</v>
      </c>
      <c r="BH21" s="56">
        <f t="shared" si="13"/>
        <v>523268.57453329681</v>
      </c>
      <c r="BI21" s="56">
        <f t="shared" si="13"/>
        <v>548205.92170717206</v>
      </c>
      <c r="BJ21" s="56">
        <f t="shared" si="13"/>
        <v>574335.18991150323</v>
      </c>
      <c r="BK21" s="56">
        <f t="shared" si="13"/>
        <v>601713.48871053173</v>
      </c>
      <c r="BL21" s="56">
        <f t="shared" si="13"/>
        <v>630400.66959867079</v>
      </c>
    </row>
    <row r="22" spans="2:64" x14ac:dyDescent="0.35">
      <c r="B22" s="4" t="s">
        <v>286</v>
      </c>
      <c r="C22" s="18" t="s">
        <v>111</v>
      </c>
      <c r="D22" s="56">
        <f>SUM(E22:BL22)</f>
        <v>16623365.173147136</v>
      </c>
      <c r="E22" s="56">
        <f t="shared" ref="E22:AJ22" si="14">E13-E21</f>
        <v>0</v>
      </c>
      <c r="F22" s="56">
        <f t="shared" si="14"/>
        <v>0</v>
      </c>
      <c r="G22" s="56">
        <f t="shared" si="14"/>
        <v>0</v>
      </c>
      <c r="H22" s="56">
        <f t="shared" si="14"/>
        <v>0</v>
      </c>
      <c r="I22" s="56">
        <f t="shared" si="14"/>
        <v>0</v>
      </c>
      <c r="J22" s="56">
        <f t="shared" si="14"/>
        <v>0</v>
      </c>
      <c r="K22" s="56">
        <f t="shared" si="14"/>
        <v>0</v>
      </c>
      <c r="L22" s="56">
        <f t="shared" si="14"/>
        <v>0</v>
      </c>
      <c r="M22" s="56">
        <f t="shared" si="14"/>
        <v>0</v>
      </c>
      <c r="N22" s="56">
        <f t="shared" si="14"/>
        <v>-1563.630691916801</v>
      </c>
      <c r="O22" s="56">
        <f t="shared" si="14"/>
        <v>-2903.1392403140453</v>
      </c>
      <c r="P22" s="56">
        <f t="shared" si="14"/>
        <v>-4254.954141379153</v>
      </c>
      <c r="Q22" s="56">
        <f t="shared" si="14"/>
        <v>9099.9160847537642</v>
      </c>
      <c r="R22" s="56">
        <f t="shared" si="14"/>
        <v>13683.959321440669</v>
      </c>
      <c r="S22" s="56">
        <f t="shared" si="14"/>
        <v>18489.003564347368</v>
      </c>
      <c r="T22" s="56">
        <f t="shared" si="14"/>
        <v>23533.765665437397</v>
      </c>
      <c r="U22" s="56">
        <f t="shared" si="14"/>
        <v>28777.386239013358</v>
      </c>
      <c r="V22" s="56">
        <f t="shared" si="14"/>
        <v>34208.329676780952</v>
      </c>
      <c r="W22" s="56">
        <f t="shared" si="14"/>
        <v>39810.117643472608</v>
      </c>
      <c r="X22" s="56">
        <f t="shared" si="14"/>
        <v>45591.754035912658</v>
      </c>
      <c r="Y22" s="56">
        <f t="shared" si="14"/>
        <v>51528.318185200849</v>
      </c>
      <c r="Z22" s="56">
        <f t="shared" si="14"/>
        <v>57332.876304108882</v>
      </c>
      <c r="AA22" s="56">
        <f t="shared" si="14"/>
        <v>63340.576748856452</v>
      </c>
      <c r="AB22" s="56">
        <f t="shared" si="14"/>
        <v>69502.544636015038</v>
      </c>
      <c r="AC22" s="56">
        <f t="shared" si="14"/>
        <v>86532.73713511377</v>
      </c>
      <c r="AD22" s="56">
        <f t="shared" si="14"/>
        <v>98253.834981881984</v>
      </c>
      <c r="AE22" s="56">
        <f t="shared" si="14"/>
        <v>110845.35190721008</v>
      </c>
      <c r="AF22" s="56">
        <f t="shared" si="14"/>
        <v>124396.82769793829</v>
      </c>
      <c r="AG22" s="56">
        <f t="shared" si="14"/>
        <v>139008.20708331466</v>
      </c>
      <c r="AH22" s="56">
        <f t="shared" si="14"/>
        <v>154788.80354821027</v>
      </c>
      <c r="AI22" s="56">
        <f t="shared" si="14"/>
        <v>171860.41498359188</v>
      </c>
      <c r="AJ22" s="56">
        <f t="shared" si="14"/>
        <v>190356.50778627387</v>
      </c>
      <c r="AK22" s="56">
        <f t="shared" ref="AK22:BP22" si="15">AK13-AK21</f>
        <v>210425.57629157352</v>
      </c>
      <c r="AL22" s="56">
        <f t="shared" si="15"/>
        <v>232230.59667272354</v>
      </c>
      <c r="AM22" s="56">
        <f t="shared" si="15"/>
        <v>255952.68498471819</v>
      </c>
      <c r="AN22" s="56">
        <f t="shared" si="15"/>
        <v>281790.37567366357</v>
      </c>
      <c r="AO22" s="56">
        <f t="shared" si="15"/>
        <v>303938.69757919415</v>
      </c>
      <c r="AP22" s="56">
        <f t="shared" si="15"/>
        <v>320802.16612592828</v>
      </c>
      <c r="AQ22" s="56">
        <f t="shared" si="15"/>
        <v>338732.86829662923</v>
      </c>
      <c r="AR22" s="56">
        <f t="shared" si="15"/>
        <v>357808.85588927037</v>
      </c>
      <c r="AS22" s="56">
        <f t="shared" si="15"/>
        <v>378114.66637484374</v>
      </c>
      <c r="AT22" s="56">
        <f t="shared" si="15"/>
        <v>399741.91369989375</v>
      </c>
      <c r="AU22" s="56">
        <f t="shared" si="15"/>
        <v>422789.936057329</v>
      </c>
      <c r="AV22" s="56">
        <f t="shared" si="15"/>
        <v>447366.5062979394</v>
      </c>
      <c r="AW22" s="56">
        <f t="shared" si="15"/>
        <v>473588.61122970877</v>
      </c>
      <c r="AX22" s="56">
        <f t="shared" si="15"/>
        <v>501583.30668542709</v>
      </c>
      <c r="AY22" s="56">
        <f t="shared" si="15"/>
        <v>531488.65593731264</v>
      </c>
      <c r="AZ22" s="56">
        <f t="shared" si="15"/>
        <v>563454.75980699703</v>
      </c>
      <c r="BA22" s="56">
        <f t="shared" si="15"/>
        <v>593504.5944752472</v>
      </c>
      <c r="BB22" s="56">
        <f t="shared" si="15"/>
        <v>619078.99715184374</v>
      </c>
      <c r="BC22" s="56">
        <f t="shared" si="15"/>
        <v>645768.03099541739</v>
      </c>
      <c r="BD22" s="56">
        <f t="shared" si="15"/>
        <v>673620.83055456146</v>
      </c>
      <c r="BE22" s="56">
        <f t="shared" si="15"/>
        <v>702688.72041025723</v>
      </c>
      <c r="BF22" s="56">
        <f t="shared" si="15"/>
        <v>733025.31382694002</v>
      </c>
      <c r="BG22" s="56">
        <f t="shared" si="15"/>
        <v>764686.61589144391</v>
      </c>
      <c r="BH22" s="56">
        <f t="shared" si="15"/>
        <v>797731.13134583808</v>
      </c>
      <c r="BI22" s="56">
        <f t="shared" si="15"/>
        <v>832219.97732971644</v>
      </c>
      <c r="BJ22" s="56">
        <f t="shared" si="15"/>
        <v>868217.00125747046</v>
      </c>
      <c r="BK22" s="56">
        <f t="shared" si="15"/>
        <v>905788.90406652587</v>
      </c>
      <c r="BL22" s="56">
        <f t="shared" si="15"/>
        <v>945005.36908345821</v>
      </c>
    </row>
    <row r="23" spans="2:64" x14ac:dyDescent="0.35">
      <c r="B23" s="16" t="s">
        <v>422</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row>
    <row r="24" spans="2:64" x14ac:dyDescent="0.35">
      <c r="B24" s="3" t="s">
        <v>243</v>
      </c>
      <c r="C24" s="18" t="s">
        <v>111</v>
      </c>
      <c r="D24" s="20">
        <f>SUM(E24:BL24)</f>
        <v>7832843.2900000047</v>
      </c>
      <c r="E24" s="40">
        <f>Inputs!$E$42*Ramp!$E$43</f>
        <v>0</v>
      </c>
      <c r="F24" s="40">
        <f>Inputs!$E$42*Ramp!$F$43</f>
        <v>0</v>
      </c>
      <c r="G24" s="40">
        <f>Inputs!$E$42*Ramp!$G$43</f>
        <v>0</v>
      </c>
      <c r="H24" s="40">
        <f>Inputs!$E$42*Ramp!$H$43</f>
        <v>0</v>
      </c>
      <c r="I24" s="40">
        <f>Inputs!$E$42*Ramp!$I$43</f>
        <v>0</v>
      </c>
      <c r="J24" s="40">
        <f>Inputs!$E$42*Ramp!$J$43</f>
        <v>0</v>
      </c>
      <c r="K24" s="40">
        <f>Inputs!$E$42*Ramp!$K$43</f>
        <v>0</v>
      </c>
      <c r="L24" s="40">
        <f>Inputs!$E$42*Ramp!$L$43</f>
        <v>5000.0169910599998</v>
      </c>
      <c r="M24" s="40">
        <f>Inputs!$E$42*Ramp!$M$43</f>
        <v>5000.0169910599998</v>
      </c>
      <c r="N24" s="40">
        <f>Inputs!$E$42*Ramp!$N$43</f>
        <v>60000.013212490005</v>
      </c>
      <c r="O24" s="40">
        <f>Inputs!$E$42*Ramp!$O$43</f>
        <v>60260.673086900002</v>
      </c>
      <c r="P24" s="40">
        <f>Inputs!$E$42*Ramp!$P$43</f>
        <v>60419.509718490008</v>
      </c>
      <c r="Q24" s="40">
        <f>Inputs!$E$43*Ramp!$E$46</f>
        <v>95560.312740479989</v>
      </c>
      <c r="R24" s="40">
        <f>Inputs!$E$43*Ramp!$F$46</f>
        <v>95822.863413119994</v>
      </c>
      <c r="S24" s="40">
        <f>Inputs!$E$43*Ramp!$G$46</f>
        <v>96065.664698879991</v>
      </c>
      <c r="T24" s="40">
        <f>Inputs!$E$43*Ramp!$H$46</f>
        <v>96294.525240959993</v>
      </c>
      <c r="U24" s="40">
        <f>Inputs!$E$43*Ramp!$I$46</f>
        <v>96516.415411199996</v>
      </c>
      <c r="V24" s="40">
        <f>Inputs!$E$43*Ramp!$J$46</f>
        <v>96731.335209600002</v>
      </c>
      <c r="W24" s="40">
        <f>Inputs!$E$43*Ramp!$K$46</f>
        <v>96941.608093439994</v>
      </c>
      <c r="X24" s="40">
        <f>Inputs!$E$43*Ramp!$L$46</f>
        <v>97149.557520000002</v>
      </c>
      <c r="Y24" s="40">
        <f>Inputs!$E$43*Ramp!$M$46</f>
        <v>97355.183489279996</v>
      </c>
      <c r="Z24" s="40">
        <f>Inputs!$E$43*Ramp!$N$46</f>
        <v>97559.647729919991</v>
      </c>
      <c r="AA24" s="40">
        <f>Inputs!$E$43*Ramp!$O$46</f>
        <v>97762.95024192</v>
      </c>
      <c r="AB24" s="40">
        <f>Inputs!$E$43*Ramp!$P$46</f>
        <v>97968.576211199994</v>
      </c>
      <c r="AC24" s="40">
        <f>Inputs!$E$44/12</f>
        <v>150574.82499999998</v>
      </c>
      <c r="AD24" s="40">
        <f>Inputs!$E$44/12</f>
        <v>150574.82499999998</v>
      </c>
      <c r="AE24" s="40">
        <f>Inputs!$E$44/12</f>
        <v>150574.82499999998</v>
      </c>
      <c r="AF24" s="40">
        <f>Inputs!$E$44/12</f>
        <v>150574.82499999998</v>
      </c>
      <c r="AG24" s="40">
        <f>Inputs!$E$44/12</f>
        <v>150574.82499999998</v>
      </c>
      <c r="AH24" s="40">
        <f>Inputs!$E$44/12</f>
        <v>150574.82499999998</v>
      </c>
      <c r="AI24" s="40">
        <f>Inputs!$E$44/12</f>
        <v>150574.82499999998</v>
      </c>
      <c r="AJ24" s="40">
        <f>Inputs!$E$44/12</f>
        <v>150574.82499999998</v>
      </c>
      <c r="AK24" s="40">
        <f>Inputs!$E$44/12</f>
        <v>150574.82499999998</v>
      </c>
      <c r="AL24" s="40">
        <f>Inputs!$E$44/12</f>
        <v>150574.82499999998</v>
      </c>
      <c r="AM24" s="40">
        <f>Inputs!$E$44/12</f>
        <v>150574.82499999998</v>
      </c>
      <c r="AN24" s="40">
        <f>Inputs!$E$44/12</f>
        <v>150574.82499999998</v>
      </c>
      <c r="AO24" s="40">
        <f>Inputs!$E$45/12</f>
        <v>191299.54666666666</v>
      </c>
      <c r="AP24" s="40">
        <f>Inputs!$E$45/12</f>
        <v>191299.54666666666</v>
      </c>
      <c r="AQ24" s="40">
        <f>Inputs!$E$45/12</f>
        <v>191299.54666666666</v>
      </c>
      <c r="AR24" s="40">
        <f>Inputs!$E$45/12</f>
        <v>191299.54666666666</v>
      </c>
      <c r="AS24" s="40">
        <f>Inputs!$E$45/12</f>
        <v>191299.54666666666</v>
      </c>
      <c r="AT24" s="40">
        <f>Inputs!$E$45/12</f>
        <v>191299.54666666666</v>
      </c>
      <c r="AU24" s="40">
        <f>Inputs!$E$45/12</f>
        <v>191299.54666666666</v>
      </c>
      <c r="AV24" s="40">
        <f>Inputs!$E$45/12</f>
        <v>191299.54666666666</v>
      </c>
      <c r="AW24" s="40">
        <f>Inputs!$E$45/12</f>
        <v>191299.54666666666</v>
      </c>
      <c r="AX24" s="40">
        <f>Inputs!$E$45/12</f>
        <v>191299.54666666666</v>
      </c>
      <c r="AY24" s="40">
        <f>Inputs!$E$45/12</f>
        <v>191299.54666666666</v>
      </c>
      <c r="AZ24" s="40">
        <f>Inputs!$E$45/12</f>
        <v>191299.54666666666</v>
      </c>
      <c r="BA24" s="40">
        <f>Inputs!$E$46/12</f>
        <v>198161.83</v>
      </c>
      <c r="BB24" s="40">
        <f>Inputs!$E$46/12</f>
        <v>198161.83</v>
      </c>
      <c r="BC24" s="40">
        <f>Inputs!$E$46/12</f>
        <v>198161.83</v>
      </c>
      <c r="BD24" s="40">
        <f>Inputs!$E$46/12</f>
        <v>198161.83</v>
      </c>
      <c r="BE24" s="40">
        <f>Inputs!$E$46/12</f>
        <v>198161.83</v>
      </c>
      <c r="BF24" s="40">
        <f>Inputs!$E$46/12</f>
        <v>198161.83</v>
      </c>
      <c r="BG24" s="40">
        <f>Inputs!$E$46/12</f>
        <v>198161.83</v>
      </c>
      <c r="BH24" s="40">
        <f>Inputs!$E$46/12</f>
        <v>198161.83</v>
      </c>
      <c r="BI24" s="40">
        <f>Inputs!$E$46/12</f>
        <v>198161.83</v>
      </c>
      <c r="BJ24" s="40">
        <f>Inputs!$E$46/12</f>
        <v>198161.83</v>
      </c>
      <c r="BK24" s="40">
        <f>Inputs!$E$46/12</f>
        <v>198161.83</v>
      </c>
      <c r="BL24" s="40">
        <f>Inputs!$E$46/12</f>
        <v>198161.83</v>
      </c>
    </row>
    <row r="25" spans="2:64" x14ac:dyDescent="0.35">
      <c r="B25" s="3" t="s">
        <v>160</v>
      </c>
      <c r="C25" s="18" t="s">
        <v>160</v>
      </c>
      <c r="D25" s="25">
        <f>AVERAGE(E25:BL25)</f>
        <v>14.25</v>
      </c>
      <c r="E25" s="42">
        <f>Inputs!$E$47*12*Ramp!$E$37</f>
        <v>2.9999841153840001</v>
      </c>
      <c r="F25" s="42">
        <f>Inputs!$E$47*12*Ramp!$F$37</f>
        <v>4.0000481538480006</v>
      </c>
      <c r="G25" s="42">
        <f>Inputs!$E$47*12*Ramp!$G$37</f>
        <v>5.000008192308</v>
      </c>
      <c r="H25" s="42">
        <f>Inputs!$E$47*12*Ramp!$H$37</f>
        <v>7.0000322692320012</v>
      </c>
      <c r="I25" s="42">
        <f>Inputs!$E$47*12*Ramp!$I$37</f>
        <v>7.9999923076920005</v>
      </c>
      <c r="J25" s="42">
        <f>Inputs!$E$47*12*Ramp!$J$37</f>
        <v>7.9999923076920005</v>
      </c>
      <c r="K25" s="42">
        <f>Inputs!$E$47*12*Ramp!$K$37</f>
        <v>7.9999923076920005</v>
      </c>
      <c r="L25" s="42">
        <f>Inputs!$E$47*12*Ramp!$L$37</f>
        <v>10.000016384616</v>
      </c>
      <c r="M25" s="42">
        <f>Inputs!$E$47*12*Ramp!$M$37</f>
        <v>12.000040461540001</v>
      </c>
      <c r="N25" s="42">
        <f>Inputs!$E$47*12*Ramp!$N$37</f>
        <v>13.000000500000001</v>
      </c>
      <c r="O25" s="42">
        <f>Inputs!$E$47*12*Ramp!$O$37</f>
        <v>13.000000500000001</v>
      </c>
      <c r="P25" s="42">
        <f>Inputs!$E$47*12*Ramp!$P$37</f>
        <v>12.999896499996</v>
      </c>
      <c r="Q25" s="42">
        <f>Inputs!$E$48*12*Ramp!$E$40</f>
        <v>13.999999680000002</v>
      </c>
      <c r="R25" s="42">
        <f>Inputs!$E$48*12*Ramp!$F$40</f>
        <v>13.999999680000002</v>
      </c>
      <c r="S25" s="42">
        <f>Inputs!$E$48*12*Ramp!$G$40</f>
        <v>13.999999680000002</v>
      </c>
      <c r="T25" s="42">
        <f>Inputs!$E$48*12*Ramp!$H$40</f>
        <v>13.999999680000002</v>
      </c>
      <c r="U25" s="42">
        <f>Inputs!$E$48*12*Ramp!$I$40</f>
        <v>13.999999680000002</v>
      </c>
      <c r="V25" s="42">
        <f>Inputs!$E$48*12*Ramp!$J$40</f>
        <v>13.999999680000002</v>
      </c>
      <c r="W25" s="42">
        <f>Inputs!$E$48*12*Ramp!$K$40</f>
        <v>14.999949657144001</v>
      </c>
      <c r="X25" s="42">
        <f>Inputs!$E$48*12*Ramp!$L$40</f>
        <v>14.999949657144001</v>
      </c>
      <c r="Y25" s="42">
        <f>Inputs!$E$48*12*Ramp!$M$40</f>
        <v>14.999949657144001</v>
      </c>
      <c r="Z25" s="42">
        <f>Inputs!$E$48*12*Ramp!$N$40</f>
        <v>14.999949657144001</v>
      </c>
      <c r="AA25" s="42">
        <f>Inputs!$E$48*12*Ramp!$O$40</f>
        <v>14.999949657144001</v>
      </c>
      <c r="AB25" s="42">
        <f>Inputs!$E$48*12*Ramp!$P$40</f>
        <v>16.000249634279999</v>
      </c>
      <c r="AC25" s="42">
        <f>Inputs!$E$49</f>
        <v>16</v>
      </c>
      <c r="AD25" s="42">
        <f>Inputs!$E$49</f>
        <v>16</v>
      </c>
      <c r="AE25" s="42">
        <f>Inputs!$E$49</f>
        <v>16</v>
      </c>
      <c r="AF25" s="42">
        <f>Inputs!$E$49</f>
        <v>16</v>
      </c>
      <c r="AG25" s="42">
        <f>Inputs!$E$49</f>
        <v>16</v>
      </c>
      <c r="AH25" s="42">
        <f>Inputs!$E$49</f>
        <v>16</v>
      </c>
      <c r="AI25" s="42">
        <f>Inputs!$E$49</f>
        <v>16</v>
      </c>
      <c r="AJ25" s="42">
        <f>Inputs!$E$49</f>
        <v>16</v>
      </c>
      <c r="AK25" s="42">
        <f>Inputs!$E$49</f>
        <v>16</v>
      </c>
      <c r="AL25" s="42">
        <f>Inputs!$E$49</f>
        <v>16</v>
      </c>
      <c r="AM25" s="42">
        <f>Inputs!$E$49</f>
        <v>16</v>
      </c>
      <c r="AN25" s="42">
        <f>Inputs!$E$49</f>
        <v>16</v>
      </c>
      <c r="AO25" s="42">
        <f>Inputs!$E$50</f>
        <v>16</v>
      </c>
      <c r="AP25" s="42">
        <f>Inputs!$E$50</f>
        <v>16</v>
      </c>
      <c r="AQ25" s="42">
        <f>Inputs!$E$50</f>
        <v>16</v>
      </c>
      <c r="AR25" s="42">
        <f>Inputs!$E$50</f>
        <v>16</v>
      </c>
      <c r="AS25" s="42">
        <f>Inputs!$E$50</f>
        <v>16</v>
      </c>
      <c r="AT25" s="42">
        <f>Inputs!$E$50</f>
        <v>16</v>
      </c>
      <c r="AU25" s="42">
        <f>Inputs!$E$50</f>
        <v>16</v>
      </c>
      <c r="AV25" s="42">
        <f>Inputs!$E$50</f>
        <v>16</v>
      </c>
      <c r="AW25" s="42">
        <f>Inputs!$E$50</f>
        <v>16</v>
      </c>
      <c r="AX25" s="42">
        <f>Inputs!$E$50</f>
        <v>16</v>
      </c>
      <c r="AY25" s="42">
        <f>Inputs!$E$50</f>
        <v>16</v>
      </c>
      <c r="AZ25" s="42">
        <f>Inputs!$E$50</f>
        <v>16</v>
      </c>
      <c r="BA25" s="42">
        <f>Inputs!$E$51</f>
        <v>16</v>
      </c>
      <c r="BB25" s="42">
        <f>Inputs!$E$51</f>
        <v>16</v>
      </c>
      <c r="BC25" s="42">
        <f>Inputs!$E$51</f>
        <v>16</v>
      </c>
      <c r="BD25" s="42">
        <f>Inputs!$E$51</f>
        <v>16</v>
      </c>
      <c r="BE25" s="42">
        <f>Inputs!$E$51</f>
        <v>16</v>
      </c>
      <c r="BF25" s="42">
        <f>Inputs!$E$51</f>
        <v>16</v>
      </c>
      <c r="BG25" s="42">
        <f>Inputs!$E$51</f>
        <v>16</v>
      </c>
      <c r="BH25" s="42">
        <f>Inputs!$E$51</f>
        <v>16</v>
      </c>
      <c r="BI25" s="42">
        <f>Inputs!$E$51</f>
        <v>16</v>
      </c>
      <c r="BJ25" s="42">
        <f>Inputs!$E$51</f>
        <v>16</v>
      </c>
      <c r="BK25" s="42">
        <f>Inputs!$E$51</f>
        <v>16</v>
      </c>
      <c r="BL25" s="42">
        <f>Inputs!$E$51</f>
        <v>16</v>
      </c>
    </row>
    <row r="26" spans="2:64" x14ac:dyDescent="0.35">
      <c r="B26" s="3" t="s">
        <v>287</v>
      </c>
      <c r="C26" s="18" t="s">
        <v>111</v>
      </c>
      <c r="D26" s="20">
        <f>SUM(E26:BL26)</f>
        <v>7618299.7443952924</v>
      </c>
      <c r="E26" s="40">
        <f>E25*Inputs!$E$52*(1+Inputs!$E$53)^(E$6-2027)/12</f>
        <v>23662.822207721842</v>
      </c>
      <c r="F26" s="40">
        <f>F25*Inputs!$E$52*(1+Inputs!$E$53)^(F$6-2027)/12</f>
        <v>31550.976487325719</v>
      </c>
      <c r="G26" s="40">
        <f>G25*Inputs!$E$52*(1+Inputs!$E$53)^(G$6-2027)/12</f>
        <v>39438.310451384699</v>
      </c>
      <c r="H26" s="40">
        <f>H25*Inputs!$E$52*(1+Inputs!$E$53)^(H$6-2027)/12</f>
        <v>55213.798695047568</v>
      </c>
      <c r="I26" s="40">
        <f>I25*Inputs!$E$52*(1+Inputs!$E$53)^(I$6-2027)/12</f>
        <v>63101.132659106544</v>
      </c>
      <c r="J26" s="40">
        <f>J25*Inputs!$E$52*(1+Inputs!$E$53)^(J$6-2027)/12</f>
        <v>63101.132659106544</v>
      </c>
      <c r="K26" s="40">
        <f>K25*Inputs!$E$52*(1+Inputs!$E$53)^(K$6-2027)/12</f>
        <v>63101.132659106544</v>
      </c>
      <c r="L26" s="40">
        <f>L25*Inputs!$E$52*(1+Inputs!$E$53)^(L$6-2027)/12</f>
        <v>78876.620902769399</v>
      </c>
      <c r="M26" s="40">
        <f>M25*Inputs!$E$52*(1+Inputs!$E$53)^(M$6-2027)/12</f>
        <v>94652.109146432267</v>
      </c>
      <c r="N26" s="40">
        <f>N25*Inputs!$E$52*(1+Inputs!$E$53)^(N$6-2027)/12</f>
        <v>102539.44311049125</v>
      </c>
      <c r="O26" s="40">
        <f>O25*Inputs!$E$52*(1+Inputs!$E$53)^(O$6-2027)/12</f>
        <v>102539.44311049125</v>
      </c>
      <c r="P26" s="40">
        <f>P25*Inputs!$E$52*(1+Inputs!$E$53)^(P$6-2027)/12</f>
        <v>102538.62279494636</v>
      </c>
      <c r="Q26" s="40">
        <f>Q25*Inputs!$E$52*(1+Inputs!$E$53)^(Q$6-2027)/12</f>
        <v>116511.87553248719</v>
      </c>
      <c r="R26" s="40">
        <f>R25*Inputs!$E$52*(1+Inputs!$E$53)^(R$6-2027)/12</f>
        <v>116511.87553248719</v>
      </c>
      <c r="S26" s="40">
        <f>S25*Inputs!$E$52*(1+Inputs!$E$53)^(S$6-2027)/12</f>
        <v>116511.87553248719</v>
      </c>
      <c r="T26" s="40">
        <f>T25*Inputs!$E$52*(1+Inputs!$E$53)^(T$6-2027)/12</f>
        <v>116511.87553248719</v>
      </c>
      <c r="U26" s="40">
        <f>U25*Inputs!$E$52*(1+Inputs!$E$53)^(U$6-2027)/12</f>
        <v>116511.87553248719</v>
      </c>
      <c r="V26" s="40">
        <f>V25*Inputs!$E$52*(1+Inputs!$E$53)^(V$6-2027)/12</f>
        <v>116511.87553248719</v>
      </c>
      <c r="W26" s="40">
        <f>W25*Inputs!$E$52*(1+Inputs!$E$53)^(W$6-2027)/12</f>
        <v>124833.73624239507</v>
      </c>
      <c r="X26" s="40">
        <f>X25*Inputs!$E$52*(1+Inputs!$E$53)^(X$6-2027)/12</f>
        <v>124833.73624239507</v>
      </c>
      <c r="Y26" s="40">
        <f>Y25*Inputs!$E$52*(1+Inputs!$E$53)^(Y$6-2027)/12</f>
        <v>124833.73624239507</v>
      </c>
      <c r="Z26" s="40">
        <f>Z25*Inputs!$E$52*(1+Inputs!$E$53)^(Z$6-2027)/12</f>
        <v>124833.73624239507</v>
      </c>
      <c r="AA26" s="40">
        <f>AA25*Inputs!$E$52*(1+Inputs!$E$53)^(AA$6-2027)/12</f>
        <v>124833.73624239507</v>
      </c>
      <c r="AB26" s="40">
        <f>AB25*Inputs!$E$52*(1+Inputs!$E$53)^(AB$6-2027)/12</f>
        <v>133158.50974919126</v>
      </c>
      <c r="AC26" s="40">
        <f>AC25*Inputs!$E$52*(1+Inputs!$E$53)^(AC$6-2027)/12</f>
        <v>140493.66189356623</v>
      </c>
      <c r="AD26" s="40">
        <f>AD25*Inputs!$E$52*(1+Inputs!$E$53)^(AD$6-2027)/12</f>
        <v>140493.66189356623</v>
      </c>
      <c r="AE26" s="40">
        <f>AE25*Inputs!$E$52*(1+Inputs!$E$53)^(AE$6-2027)/12</f>
        <v>140493.66189356623</v>
      </c>
      <c r="AF26" s="40">
        <f>AF25*Inputs!$E$52*(1+Inputs!$E$53)^(AF$6-2027)/12</f>
        <v>140493.66189356623</v>
      </c>
      <c r="AG26" s="40">
        <f>AG25*Inputs!$E$52*(1+Inputs!$E$53)^(AG$6-2027)/12</f>
        <v>140493.66189356623</v>
      </c>
      <c r="AH26" s="40">
        <f>AH25*Inputs!$E$52*(1+Inputs!$E$53)^(AH$6-2027)/12</f>
        <v>140493.66189356623</v>
      </c>
      <c r="AI26" s="40">
        <f>AI25*Inputs!$E$52*(1+Inputs!$E$53)^(AI$6-2027)/12</f>
        <v>140493.66189356623</v>
      </c>
      <c r="AJ26" s="40">
        <f>AJ25*Inputs!$E$52*(1+Inputs!$E$53)^(AJ$6-2027)/12</f>
        <v>140493.66189356623</v>
      </c>
      <c r="AK26" s="40">
        <f>AK25*Inputs!$E$52*(1+Inputs!$E$53)^(AK$6-2027)/12</f>
        <v>140493.66189356623</v>
      </c>
      <c r="AL26" s="40">
        <f>AL25*Inputs!$E$52*(1+Inputs!$E$53)^(AL$6-2027)/12</f>
        <v>140493.66189356623</v>
      </c>
      <c r="AM26" s="40">
        <f>AM25*Inputs!$E$52*(1+Inputs!$E$53)^(AM$6-2027)/12</f>
        <v>140493.66189356623</v>
      </c>
      <c r="AN26" s="40">
        <f>AN25*Inputs!$E$52*(1+Inputs!$E$53)^(AN$6-2027)/12</f>
        <v>140493.66189356623</v>
      </c>
      <c r="AO26" s="40">
        <f>AO25*Inputs!$E$52*(1+Inputs!$E$53)^(AO$6-2027)/12</f>
        <v>148235.19001413393</v>
      </c>
      <c r="AP26" s="40">
        <f>AP25*Inputs!$E$52*(1+Inputs!$E$53)^(AP$6-2027)/12</f>
        <v>148235.19001413393</v>
      </c>
      <c r="AQ26" s="40">
        <f>AQ25*Inputs!$E$52*(1+Inputs!$E$53)^(AQ$6-2027)/12</f>
        <v>148235.19001413393</v>
      </c>
      <c r="AR26" s="40">
        <f>AR25*Inputs!$E$52*(1+Inputs!$E$53)^(AR$6-2027)/12</f>
        <v>148235.19001413393</v>
      </c>
      <c r="AS26" s="40">
        <f>AS25*Inputs!$E$52*(1+Inputs!$E$53)^(AS$6-2027)/12</f>
        <v>148235.19001413393</v>
      </c>
      <c r="AT26" s="40">
        <f>AT25*Inputs!$E$52*(1+Inputs!$E$53)^(AT$6-2027)/12</f>
        <v>148235.19001413393</v>
      </c>
      <c r="AU26" s="40">
        <f>AU25*Inputs!$E$52*(1+Inputs!$E$53)^(AU$6-2027)/12</f>
        <v>148235.19001413393</v>
      </c>
      <c r="AV26" s="40">
        <f>AV25*Inputs!$E$52*(1+Inputs!$E$53)^(AV$6-2027)/12</f>
        <v>148235.19001413393</v>
      </c>
      <c r="AW26" s="40">
        <f>AW25*Inputs!$E$52*(1+Inputs!$E$53)^(AW$6-2027)/12</f>
        <v>148235.19001413393</v>
      </c>
      <c r="AX26" s="40">
        <f>AX25*Inputs!$E$52*(1+Inputs!$E$53)^(AX$6-2027)/12</f>
        <v>148235.19001413393</v>
      </c>
      <c r="AY26" s="40">
        <f>AY25*Inputs!$E$52*(1+Inputs!$E$53)^(AY$6-2027)/12</f>
        <v>148235.19001413393</v>
      </c>
      <c r="AZ26" s="40">
        <f>AZ25*Inputs!$E$52*(1+Inputs!$E$53)^(AZ$6-2027)/12</f>
        <v>148235.19001413393</v>
      </c>
      <c r="BA26" s="40">
        <f>BA25*Inputs!$E$52*(1+Inputs!$E$53)^(BA$6-2027)/12</f>
        <v>156403.29437190545</v>
      </c>
      <c r="BB26" s="40">
        <f>BB25*Inputs!$E$52*(1+Inputs!$E$53)^(BB$6-2027)/12</f>
        <v>156403.29437190545</v>
      </c>
      <c r="BC26" s="40">
        <f>BC25*Inputs!$E$52*(1+Inputs!$E$53)^(BC$6-2027)/12</f>
        <v>156403.29437190545</v>
      </c>
      <c r="BD26" s="40">
        <f>BD25*Inputs!$E$52*(1+Inputs!$E$53)^(BD$6-2027)/12</f>
        <v>156403.29437190545</v>
      </c>
      <c r="BE26" s="40">
        <f>BE25*Inputs!$E$52*(1+Inputs!$E$53)^(BE$6-2027)/12</f>
        <v>156403.29437190545</v>
      </c>
      <c r="BF26" s="40">
        <f>BF25*Inputs!$E$52*(1+Inputs!$E$53)^(BF$6-2027)/12</f>
        <v>156403.29437190545</v>
      </c>
      <c r="BG26" s="40">
        <f>BG25*Inputs!$E$52*(1+Inputs!$E$53)^(BG$6-2027)/12</f>
        <v>156403.29437190545</v>
      </c>
      <c r="BH26" s="40">
        <f>BH25*Inputs!$E$52*(1+Inputs!$E$53)^(BH$6-2027)/12</f>
        <v>156403.29437190545</v>
      </c>
      <c r="BI26" s="40">
        <f>BI25*Inputs!$E$52*(1+Inputs!$E$53)^(BI$6-2027)/12</f>
        <v>156403.29437190545</v>
      </c>
      <c r="BJ26" s="40">
        <f>BJ25*Inputs!$E$52*(1+Inputs!$E$53)^(BJ$6-2027)/12</f>
        <v>156403.29437190545</v>
      </c>
      <c r="BK26" s="40">
        <f>BK25*Inputs!$E$52*(1+Inputs!$E$53)^(BK$6-2027)/12</f>
        <v>156403.29437190545</v>
      </c>
      <c r="BL26" s="40">
        <f>BL25*Inputs!$E$52*(1+Inputs!$E$53)^(BL$6-2027)/12</f>
        <v>156403.29437190545</v>
      </c>
    </row>
    <row r="27" spans="2:64" x14ac:dyDescent="0.35">
      <c r="B27" s="3" t="s">
        <v>288</v>
      </c>
      <c r="C27" s="18" t="s">
        <v>111</v>
      </c>
      <c r="D27" s="20">
        <f>SUM(E27:BL27)</f>
        <v>2858424.4600000014</v>
      </c>
      <c r="E27" s="40">
        <f>Inputs!$E$54*Ramp!$E$49+Inputs!$E$59*E13</f>
        <v>29677.643700799999</v>
      </c>
      <c r="F27" s="40">
        <f>Inputs!$E$54*Ramp!$F$49+Inputs!$E$59*F13</f>
        <v>29393.474062300003</v>
      </c>
      <c r="G27" s="40">
        <f>Inputs!$E$54*Ramp!$G$49+Inputs!$E$59*G13</f>
        <v>29119.637865200002</v>
      </c>
      <c r="H27" s="40">
        <f>Inputs!$E$54*Ramp!$H$49+Inputs!$E$59*H13</f>
        <v>50865.331947359999</v>
      </c>
      <c r="I27" s="40">
        <f>Inputs!$E$54*Ramp!$I$49+Inputs!$E$59*I13</f>
        <v>42668.84622888</v>
      </c>
      <c r="J27" s="40">
        <f>Inputs!$E$54*Ramp!$J$49+Inputs!$E$59*J13</f>
        <v>33659.63534429</v>
      </c>
      <c r="K27" s="40">
        <f>Inputs!$E$54*Ramp!$K$49+Inputs!$E$59*K13</f>
        <v>33659.63534429</v>
      </c>
      <c r="L27" s="40">
        <f>Inputs!$E$54*Ramp!$L$49+Inputs!$E$59*L13</f>
        <v>88294.606714369991</v>
      </c>
      <c r="M27" s="40">
        <f>Inputs!$E$54*Ramp!$M$49+Inputs!$E$59*M13</f>
        <v>56232.521410519999</v>
      </c>
      <c r="N27" s="40">
        <f>Inputs!$E$54*Ramp!$N$49+Inputs!$E$59*N13</f>
        <v>42928.73228009</v>
      </c>
      <c r="O27" s="40">
        <f>Inputs!$E$54*Ramp!$O$49+Inputs!$E$59*O13</f>
        <v>37723.261174839994</v>
      </c>
      <c r="P27" s="40">
        <f>Inputs!$E$54*Ramp!$P$49+Inputs!$E$59*P13</f>
        <v>42448.743927060001</v>
      </c>
      <c r="Q27" s="40">
        <f>Inputs!$E$55*Ramp!$E$52+Inputs!$E$59*Q13</f>
        <v>61294.404167099994</v>
      </c>
      <c r="R27" s="40">
        <f>Inputs!$E$55*Ramp!$F$52+Inputs!$E$59*R13</f>
        <v>43105.859298449999</v>
      </c>
      <c r="S27" s="40">
        <f>Inputs!$E$55*Ramp!$G$52+Inputs!$E$59*S13</f>
        <v>43105.859298449999</v>
      </c>
      <c r="T27" s="40">
        <f>Inputs!$E$55*Ramp!$H$52+Inputs!$E$59*T13</f>
        <v>43105.859298449999</v>
      </c>
      <c r="U27" s="40">
        <f>Inputs!$E$55*Ramp!$I$52+Inputs!$E$59*U13</f>
        <v>43105.859298449999</v>
      </c>
      <c r="V27" s="40">
        <f>Inputs!$E$55*Ramp!$J$52+Inputs!$E$59*V13</f>
        <v>43105.859298449999</v>
      </c>
      <c r="W27" s="40">
        <f>Inputs!$E$55*Ramp!$K$52+Inputs!$E$59*W13</f>
        <v>169857.13169060997</v>
      </c>
      <c r="X27" s="40">
        <f>Inputs!$E$55*Ramp!$L$52+Inputs!$E$59*X13</f>
        <v>43918.64813817</v>
      </c>
      <c r="Y27" s="40">
        <f>Inputs!$E$55*Ramp!$M$52+Inputs!$E$59*Y13</f>
        <v>43918.64813817</v>
      </c>
      <c r="Z27" s="40">
        <f>Inputs!$E$55*Ramp!$N$52+Inputs!$E$59*Z13</f>
        <v>43918.64813817</v>
      </c>
      <c r="AA27" s="40">
        <f>Inputs!$E$55*Ramp!$O$52+Inputs!$E$59*AA13</f>
        <v>43918.64813817</v>
      </c>
      <c r="AB27" s="40">
        <f>Inputs!$E$55*Ramp!$P$52+Inputs!$E$59*AB13</f>
        <v>61810.265097359988</v>
      </c>
      <c r="AC27" s="40">
        <f>Inputs!$E$56/12+Inputs!$E$59*AC13</f>
        <v>46044.075000000004</v>
      </c>
      <c r="AD27" s="40">
        <f>Inputs!$E$56/12+Inputs!$E$59*AD13</f>
        <v>46044.075000000004</v>
      </c>
      <c r="AE27" s="40">
        <f>Inputs!$E$56/12+Inputs!$E$59*AE13</f>
        <v>46044.075000000004</v>
      </c>
      <c r="AF27" s="40">
        <f>Inputs!$E$56/12+Inputs!$E$59*AF13</f>
        <v>46044.075000000004</v>
      </c>
      <c r="AG27" s="40">
        <f>Inputs!$E$56/12+Inputs!$E$59*AG13</f>
        <v>46044.075000000004</v>
      </c>
      <c r="AH27" s="40">
        <f>Inputs!$E$56/12+Inputs!$E$59*AH13</f>
        <v>46044.075000000004</v>
      </c>
      <c r="AI27" s="40">
        <f>Inputs!$E$56/12+Inputs!$E$59*AI13</f>
        <v>46044.075000000004</v>
      </c>
      <c r="AJ27" s="40">
        <f>Inputs!$E$56/12+Inputs!$E$59*AJ13</f>
        <v>46044.075000000004</v>
      </c>
      <c r="AK27" s="40">
        <f>Inputs!$E$56/12+Inputs!$E$59*AK13</f>
        <v>46044.075000000004</v>
      </c>
      <c r="AL27" s="40">
        <f>Inputs!$E$56/12+Inputs!$E$59*AL13</f>
        <v>46044.075000000004</v>
      </c>
      <c r="AM27" s="40">
        <f>Inputs!$E$56/12+Inputs!$E$59*AM13</f>
        <v>46044.075000000004</v>
      </c>
      <c r="AN27" s="40">
        <f>Inputs!$E$56/12+Inputs!$E$59*AN13</f>
        <v>46044.075000000004</v>
      </c>
      <c r="AO27" s="40">
        <f>Inputs!$E$57/12+Inputs!$E$59*AO13</f>
        <v>46044.075000000004</v>
      </c>
      <c r="AP27" s="40">
        <f>Inputs!$E$57/12+Inputs!$E$59*AP13</f>
        <v>46044.075000000004</v>
      </c>
      <c r="AQ27" s="40">
        <f>Inputs!$E$57/12+Inputs!$E$59*AQ13</f>
        <v>46044.075000000004</v>
      </c>
      <c r="AR27" s="40">
        <f>Inputs!$E$57/12+Inputs!$E$59*AR13</f>
        <v>46044.075000000004</v>
      </c>
      <c r="AS27" s="40">
        <f>Inputs!$E$57/12+Inputs!$E$59*AS13</f>
        <v>46044.075000000004</v>
      </c>
      <c r="AT27" s="40">
        <f>Inputs!$E$57/12+Inputs!$E$59*AT13</f>
        <v>46044.075000000004</v>
      </c>
      <c r="AU27" s="40">
        <f>Inputs!$E$57/12+Inputs!$E$59*AU13</f>
        <v>46044.075000000004</v>
      </c>
      <c r="AV27" s="40">
        <f>Inputs!$E$57/12+Inputs!$E$59*AV13</f>
        <v>46044.075000000004</v>
      </c>
      <c r="AW27" s="40">
        <f>Inputs!$E$57/12+Inputs!$E$59*AW13</f>
        <v>46044.075000000004</v>
      </c>
      <c r="AX27" s="40">
        <f>Inputs!$E$57/12+Inputs!$E$59*AX13</f>
        <v>46044.075000000004</v>
      </c>
      <c r="AY27" s="40">
        <f>Inputs!$E$57/12+Inputs!$E$59*AY13</f>
        <v>46044.075000000004</v>
      </c>
      <c r="AZ27" s="40">
        <f>Inputs!$E$57/12+Inputs!$E$59*AZ13</f>
        <v>46044.075000000004</v>
      </c>
      <c r="BA27" s="40">
        <f>Inputs!$E$58/12+Inputs!$E$59*BA13</f>
        <v>46044.075000000004</v>
      </c>
      <c r="BB27" s="40">
        <f>Inputs!$E$58/12+Inputs!$E$59*BB13</f>
        <v>46044.075000000004</v>
      </c>
      <c r="BC27" s="40">
        <f>Inputs!$E$58/12+Inputs!$E$59*BC13</f>
        <v>46044.075000000004</v>
      </c>
      <c r="BD27" s="40">
        <f>Inputs!$E$58/12+Inputs!$E$59*BD13</f>
        <v>46044.075000000004</v>
      </c>
      <c r="BE27" s="40">
        <f>Inputs!$E$58/12+Inputs!$E$59*BE13</f>
        <v>46044.075000000004</v>
      </c>
      <c r="BF27" s="40">
        <f>Inputs!$E$58/12+Inputs!$E$59*BF13</f>
        <v>46044.075000000004</v>
      </c>
      <c r="BG27" s="40">
        <f>Inputs!$E$58/12+Inputs!$E$59*BG13</f>
        <v>46044.075000000004</v>
      </c>
      <c r="BH27" s="40">
        <f>Inputs!$E$58/12+Inputs!$E$59*BH13</f>
        <v>46044.075000000004</v>
      </c>
      <c r="BI27" s="40">
        <f>Inputs!$E$58/12+Inputs!$E$59*BI13</f>
        <v>46044.075000000004</v>
      </c>
      <c r="BJ27" s="40">
        <f>Inputs!$E$58/12+Inputs!$E$59*BJ13</f>
        <v>46044.075000000004</v>
      </c>
      <c r="BK27" s="40">
        <f>Inputs!$E$58/12+Inputs!$E$59*BK13</f>
        <v>46044.075000000004</v>
      </c>
      <c r="BL27" s="40">
        <f>Inputs!$E$58/12+Inputs!$E$59*BL13</f>
        <v>46044.075000000004</v>
      </c>
    </row>
    <row r="28" spans="2:64" x14ac:dyDescent="0.35">
      <c r="B28" s="4" t="s">
        <v>289</v>
      </c>
      <c r="C28" s="18" t="s">
        <v>111</v>
      </c>
      <c r="D28" s="56">
        <f>SUM(E28:BL28)</f>
        <v>-1686202.3212481493</v>
      </c>
      <c r="E28" s="56">
        <f t="shared" ref="E28:AJ28" si="16">E22-E24-E26-E27</f>
        <v>-53340.465908521845</v>
      </c>
      <c r="F28" s="56">
        <f t="shared" si="16"/>
        <v>-60944.450549625719</v>
      </c>
      <c r="G28" s="56">
        <f t="shared" si="16"/>
        <v>-68557.948316584705</v>
      </c>
      <c r="H28" s="56">
        <f t="shared" si="16"/>
        <v>-106079.13064240757</v>
      </c>
      <c r="I28" s="56">
        <f t="shared" si="16"/>
        <v>-105769.97888798654</v>
      </c>
      <c r="J28" s="56">
        <f t="shared" si="16"/>
        <v>-96760.768003396544</v>
      </c>
      <c r="K28" s="56">
        <f t="shared" si="16"/>
        <v>-96760.768003396544</v>
      </c>
      <c r="L28" s="56">
        <f t="shared" si="16"/>
        <v>-172171.2446081994</v>
      </c>
      <c r="M28" s="56">
        <f t="shared" si="16"/>
        <v>-155884.64754801226</v>
      </c>
      <c r="N28" s="56">
        <f t="shared" si="16"/>
        <v>-207031.81929498806</v>
      </c>
      <c r="O28" s="56">
        <f t="shared" si="16"/>
        <v>-203426.5166125453</v>
      </c>
      <c r="P28" s="56">
        <f t="shared" si="16"/>
        <v>-209661.83058187552</v>
      </c>
      <c r="Q28" s="56">
        <f t="shared" si="16"/>
        <v>-264266.67635531339</v>
      </c>
      <c r="R28" s="56">
        <f t="shared" si="16"/>
        <v>-241756.63892261652</v>
      </c>
      <c r="S28" s="56">
        <f t="shared" si="16"/>
        <v>-237194.39596546983</v>
      </c>
      <c r="T28" s="56">
        <f t="shared" si="16"/>
        <v>-232378.49440645979</v>
      </c>
      <c r="U28" s="56">
        <f t="shared" si="16"/>
        <v>-227356.76400312383</v>
      </c>
      <c r="V28" s="56">
        <f t="shared" si="16"/>
        <v>-222140.74036375625</v>
      </c>
      <c r="W28" s="56">
        <f t="shared" si="16"/>
        <v>-351822.35838297242</v>
      </c>
      <c r="X28" s="56">
        <f t="shared" si="16"/>
        <v>-220310.18786465243</v>
      </c>
      <c r="Y28" s="56">
        <f t="shared" si="16"/>
        <v>-214579.24968464422</v>
      </c>
      <c r="Z28" s="56">
        <f t="shared" si="16"/>
        <v>-208979.15580637619</v>
      </c>
      <c r="AA28" s="56">
        <f t="shared" si="16"/>
        <v>-203174.75787362864</v>
      </c>
      <c r="AB28" s="56">
        <f t="shared" si="16"/>
        <v>-223434.8064217362</v>
      </c>
      <c r="AC28" s="56">
        <f t="shared" si="16"/>
        <v>-250579.82475845245</v>
      </c>
      <c r="AD28" s="56">
        <f t="shared" si="16"/>
        <v>-238858.72691168424</v>
      </c>
      <c r="AE28" s="56">
        <f t="shared" si="16"/>
        <v>-226267.20998635615</v>
      </c>
      <c r="AF28" s="56">
        <f t="shared" si="16"/>
        <v>-212715.73419562791</v>
      </c>
      <c r="AG28" s="56">
        <f t="shared" si="16"/>
        <v>-198104.35481025156</v>
      </c>
      <c r="AH28" s="56">
        <f t="shared" si="16"/>
        <v>-182323.75834535595</v>
      </c>
      <c r="AI28" s="56">
        <f t="shared" si="16"/>
        <v>-165252.14690997434</v>
      </c>
      <c r="AJ28" s="56">
        <f t="shared" si="16"/>
        <v>-146756.05410729235</v>
      </c>
      <c r="AK28" s="56">
        <f t="shared" ref="AK28:BP28" si="17">AK22-AK24-AK26-AK27</f>
        <v>-126686.9856019927</v>
      </c>
      <c r="AL28" s="56">
        <f t="shared" si="17"/>
        <v>-104881.96522084269</v>
      </c>
      <c r="AM28" s="56">
        <f t="shared" si="17"/>
        <v>-81159.876908848033</v>
      </c>
      <c r="AN28" s="56">
        <f t="shared" si="17"/>
        <v>-55322.186219902644</v>
      </c>
      <c r="AO28" s="56">
        <f t="shared" si="17"/>
        <v>-81640.11410160645</v>
      </c>
      <c r="AP28" s="56">
        <f t="shared" si="17"/>
        <v>-64776.64555487231</v>
      </c>
      <c r="AQ28" s="56">
        <f t="shared" si="17"/>
        <v>-46845.943384171369</v>
      </c>
      <c r="AR28" s="56">
        <f t="shared" si="17"/>
        <v>-27769.955791530221</v>
      </c>
      <c r="AS28" s="56">
        <f t="shared" si="17"/>
        <v>-7464.1453059568521</v>
      </c>
      <c r="AT28" s="56">
        <f t="shared" si="17"/>
        <v>14163.102019093152</v>
      </c>
      <c r="AU28" s="56">
        <f t="shared" si="17"/>
        <v>37211.124376528409</v>
      </c>
      <c r="AV28" s="56">
        <f t="shared" si="17"/>
        <v>61787.694617138804</v>
      </c>
      <c r="AW28" s="56">
        <f t="shared" si="17"/>
        <v>88009.799548908195</v>
      </c>
      <c r="AX28" s="56">
        <f t="shared" si="17"/>
        <v>116004.49500462651</v>
      </c>
      <c r="AY28" s="56">
        <f t="shared" si="17"/>
        <v>145909.84425651206</v>
      </c>
      <c r="AZ28" s="56">
        <f t="shared" si="17"/>
        <v>177875.94812619645</v>
      </c>
      <c r="BA28" s="56">
        <f t="shared" si="17"/>
        <v>192895.39510334178</v>
      </c>
      <c r="BB28" s="56">
        <f t="shared" si="17"/>
        <v>218469.79777993832</v>
      </c>
      <c r="BC28" s="56">
        <f t="shared" si="17"/>
        <v>245158.83162351197</v>
      </c>
      <c r="BD28" s="56">
        <f t="shared" si="17"/>
        <v>273011.63118265604</v>
      </c>
      <c r="BE28" s="56">
        <f t="shared" si="17"/>
        <v>302079.52103835181</v>
      </c>
      <c r="BF28" s="56">
        <f t="shared" si="17"/>
        <v>332416.11445503461</v>
      </c>
      <c r="BG28" s="56">
        <f t="shared" si="17"/>
        <v>364077.4165195385</v>
      </c>
      <c r="BH28" s="56">
        <f t="shared" si="17"/>
        <v>397121.93197393266</v>
      </c>
      <c r="BI28" s="56">
        <f t="shared" si="17"/>
        <v>431610.77795781102</v>
      </c>
      <c r="BJ28" s="56">
        <f t="shared" si="17"/>
        <v>467607.80188556504</v>
      </c>
      <c r="BK28" s="56">
        <f t="shared" si="17"/>
        <v>505179.70469462051</v>
      </c>
      <c r="BL28" s="56">
        <f t="shared" si="17"/>
        <v>544396.16971155279</v>
      </c>
    </row>
    <row r="29" spans="2:64" x14ac:dyDescent="0.35">
      <c r="B29" s="16" t="s">
        <v>423</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row>
    <row r="30" spans="2:64" x14ac:dyDescent="0.35">
      <c r="B30" s="3" t="s">
        <v>317</v>
      </c>
      <c r="C30" s="18" t="s">
        <v>111</v>
      </c>
      <c r="D30" s="20">
        <f>SUM(E30:BL30)</f>
        <v>72500.000000000015</v>
      </c>
      <c r="E30" s="40">
        <f>Inputs!$E$61/12</f>
        <v>2708.3333333333335</v>
      </c>
      <c r="F30" s="40">
        <f>Inputs!$E$61/12</f>
        <v>2708.3333333333335</v>
      </c>
      <c r="G30" s="40">
        <f>Inputs!$E$61/12</f>
        <v>2708.3333333333335</v>
      </c>
      <c r="H30" s="40">
        <f>Inputs!$E$61/12</f>
        <v>2708.3333333333335</v>
      </c>
      <c r="I30" s="40">
        <f>Inputs!$E$61/12</f>
        <v>2708.3333333333335</v>
      </c>
      <c r="J30" s="40">
        <f>Inputs!$E$61/12</f>
        <v>2708.3333333333335</v>
      </c>
      <c r="K30" s="40">
        <f>Inputs!$E$61/12</f>
        <v>2708.3333333333335</v>
      </c>
      <c r="L30" s="40">
        <f>Inputs!$E$61/12</f>
        <v>2708.3333333333335</v>
      </c>
      <c r="M30" s="40">
        <f>Inputs!$E$61/12</f>
        <v>2708.3333333333335</v>
      </c>
      <c r="N30" s="40">
        <f>Inputs!$E$61/12</f>
        <v>2708.3333333333335</v>
      </c>
      <c r="O30" s="40">
        <f>Inputs!$E$61/12</f>
        <v>2708.3333333333335</v>
      </c>
      <c r="P30" s="40">
        <f>Inputs!$E$61/12</f>
        <v>2708.3333333333335</v>
      </c>
      <c r="Q30" s="40">
        <f>Inputs!$E$62/12</f>
        <v>625</v>
      </c>
      <c r="R30" s="40">
        <f>Inputs!$E$62/12</f>
        <v>625</v>
      </c>
      <c r="S30" s="40">
        <f>Inputs!$E$62/12</f>
        <v>625</v>
      </c>
      <c r="T30" s="40">
        <f>Inputs!$E$62/12</f>
        <v>625</v>
      </c>
      <c r="U30" s="40">
        <f>Inputs!$E$62/12</f>
        <v>625</v>
      </c>
      <c r="V30" s="40">
        <f>Inputs!$E$62/12</f>
        <v>625</v>
      </c>
      <c r="W30" s="40">
        <f>Inputs!$E$62/12</f>
        <v>625</v>
      </c>
      <c r="X30" s="40">
        <f>Inputs!$E$62/12</f>
        <v>625</v>
      </c>
      <c r="Y30" s="40">
        <f>Inputs!$E$62/12</f>
        <v>625</v>
      </c>
      <c r="Z30" s="40">
        <f>Inputs!$E$62/12</f>
        <v>625</v>
      </c>
      <c r="AA30" s="40">
        <f>Inputs!$E$62/12</f>
        <v>625</v>
      </c>
      <c r="AB30" s="40">
        <f>Inputs!$E$62/12</f>
        <v>625</v>
      </c>
      <c r="AC30" s="40">
        <f>Inputs!$E$63/12</f>
        <v>0</v>
      </c>
      <c r="AD30" s="40">
        <f>Inputs!$E$63/12</f>
        <v>0</v>
      </c>
      <c r="AE30" s="40">
        <f>Inputs!$E$63/12</f>
        <v>0</v>
      </c>
      <c r="AF30" s="40">
        <f>Inputs!$E$63/12</f>
        <v>0</v>
      </c>
      <c r="AG30" s="40">
        <f>Inputs!$E$63/12</f>
        <v>0</v>
      </c>
      <c r="AH30" s="40">
        <f>Inputs!$E$63/12</f>
        <v>0</v>
      </c>
      <c r="AI30" s="40">
        <f>Inputs!$E$63/12</f>
        <v>0</v>
      </c>
      <c r="AJ30" s="40">
        <f>Inputs!$E$63/12</f>
        <v>0</v>
      </c>
      <c r="AK30" s="40">
        <f>Inputs!$E$63/12</f>
        <v>0</v>
      </c>
      <c r="AL30" s="40">
        <f>Inputs!$E$63/12</f>
        <v>0</v>
      </c>
      <c r="AM30" s="40">
        <f>Inputs!$E$63/12</f>
        <v>0</v>
      </c>
      <c r="AN30" s="40">
        <f>Inputs!$E$63/12</f>
        <v>0</v>
      </c>
      <c r="AO30" s="40">
        <f>Inputs!$E$64/12</f>
        <v>0</v>
      </c>
      <c r="AP30" s="40">
        <f>Inputs!$E$64/12</f>
        <v>0</v>
      </c>
      <c r="AQ30" s="40">
        <f>Inputs!$E$64/12</f>
        <v>0</v>
      </c>
      <c r="AR30" s="40">
        <f>Inputs!$E$64/12</f>
        <v>0</v>
      </c>
      <c r="AS30" s="40">
        <f>Inputs!$E$64/12</f>
        <v>0</v>
      </c>
      <c r="AT30" s="40">
        <f>Inputs!$E$64/12</f>
        <v>0</v>
      </c>
      <c r="AU30" s="40">
        <f>Inputs!$E$64/12</f>
        <v>0</v>
      </c>
      <c r="AV30" s="40">
        <f>Inputs!$E$64/12</f>
        <v>0</v>
      </c>
      <c r="AW30" s="40">
        <f>Inputs!$E$64/12</f>
        <v>0</v>
      </c>
      <c r="AX30" s="40">
        <f>Inputs!$E$64/12</f>
        <v>0</v>
      </c>
      <c r="AY30" s="40">
        <f>Inputs!$E$64/12</f>
        <v>0</v>
      </c>
      <c r="AZ30" s="40">
        <f>Inputs!$E$64/12</f>
        <v>0</v>
      </c>
      <c r="BA30" s="40">
        <f>Inputs!$E$65/12</f>
        <v>2708.3333333333335</v>
      </c>
      <c r="BB30" s="40">
        <f>Inputs!$E$65/12</f>
        <v>2708.3333333333335</v>
      </c>
      <c r="BC30" s="40">
        <f>Inputs!$E$65/12</f>
        <v>2708.3333333333335</v>
      </c>
      <c r="BD30" s="40">
        <f>Inputs!$E$65/12</f>
        <v>2708.3333333333335</v>
      </c>
      <c r="BE30" s="40">
        <f>Inputs!$E$65/12</f>
        <v>2708.3333333333335</v>
      </c>
      <c r="BF30" s="40">
        <f>Inputs!$E$65/12</f>
        <v>2708.3333333333335</v>
      </c>
      <c r="BG30" s="40">
        <f>Inputs!$E$65/12</f>
        <v>2708.3333333333335</v>
      </c>
      <c r="BH30" s="40">
        <f>Inputs!$E$65/12</f>
        <v>2708.3333333333335</v>
      </c>
      <c r="BI30" s="40">
        <f>Inputs!$E$65/12</f>
        <v>2708.3333333333335</v>
      </c>
      <c r="BJ30" s="40">
        <f>Inputs!$E$65/12</f>
        <v>2708.3333333333335</v>
      </c>
      <c r="BK30" s="40">
        <f>Inputs!$E$65/12</f>
        <v>2708.3333333333335</v>
      </c>
      <c r="BL30" s="40">
        <f>Inputs!$E$65/12</f>
        <v>2708.3333333333335</v>
      </c>
    </row>
    <row r="31" spans="2:64" x14ac:dyDescent="0.35">
      <c r="B31" s="3" t="s">
        <v>424</v>
      </c>
      <c r="C31" s="18" t="s">
        <v>111</v>
      </c>
      <c r="D31" s="20">
        <f>BL31</f>
        <v>72500.000000000015</v>
      </c>
      <c r="E31" s="20">
        <f>E30</f>
        <v>2708.3333333333335</v>
      </c>
      <c r="F31" s="20">
        <f t="shared" ref="F31:AK31" si="18">E31+F30</f>
        <v>5416.666666666667</v>
      </c>
      <c r="G31" s="20">
        <f t="shared" si="18"/>
        <v>8125</v>
      </c>
      <c r="H31" s="20">
        <f t="shared" si="18"/>
        <v>10833.333333333334</v>
      </c>
      <c r="I31" s="20">
        <f t="shared" si="18"/>
        <v>13541.666666666668</v>
      </c>
      <c r="J31" s="20">
        <f t="shared" si="18"/>
        <v>16250.000000000002</v>
      </c>
      <c r="K31" s="20">
        <f t="shared" si="18"/>
        <v>18958.333333333336</v>
      </c>
      <c r="L31" s="20">
        <f t="shared" si="18"/>
        <v>21666.666666666668</v>
      </c>
      <c r="M31" s="20">
        <f t="shared" si="18"/>
        <v>24375</v>
      </c>
      <c r="N31" s="20">
        <f t="shared" si="18"/>
        <v>27083.333333333332</v>
      </c>
      <c r="O31" s="20">
        <f t="shared" si="18"/>
        <v>29791.666666666664</v>
      </c>
      <c r="P31" s="20">
        <f t="shared" si="18"/>
        <v>32499.999999999996</v>
      </c>
      <c r="Q31" s="20">
        <f t="shared" si="18"/>
        <v>33125</v>
      </c>
      <c r="R31" s="20">
        <f t="shared" si="18"/>
        <v>33750</v>
      </c>
      <c r="S31" s="20">
        <f t="shared" si="18"/>
        <v>34375</v>
      </c>
      <c r="T31" s="20">
        <f t="shared" si="18"/>
        <v>35000</v>
      </c>
      <c r="U31" s="20">
        <f t="shared" si="18"/>
        <v>35625</v>
      </c>
      <c r="V31" s="20">
        <f t="shared" si="18"/>
        <v>36250</v>
      </c>
      <c r="W31" s="20">
        <f t="shared" si="18"/>
        <v>36875</v>
      </c>
      <c r="X31" s="20">
        <f t="shared" si="18"/>
        <v>37500</v>
      </c>
      <c r="Y31" s="20">
        <f t="shared" si="18"/>
        <v>38125</v>
      </c>
      <c r="Z31" s="20">
        <f t="shared" si="18"/>
        <v>38750</v>
      </c>
      <c r="AA31" s="20">
        <f t="shared" si="18"/>
        <v>39375</v>
      </c>
      <c r="AB31" s="20">
        <f t="shared" si="18"/>
        <v>40000</v>
      </c>
      <c r="AC31" s="20">
        <f t="shared" si="18"/>
        <v>40000</v>
      </c>
      <c r="AD31" s="20">
        <f t="shared" si="18"/>
        <v>40000</v>
      </c>
      <c r="AE31" s="20">
        <f t="shared" si="18"/>
        <v>40000</v>
      </c>
      <c r="AF31" s="20">
        <f t="shared" si="18"/>
        <v>40000</v>
      </c>
      <c r="AG31" s="20">
        <f t="shared" si="18"/>
        <v>40000</v>
      </c>
      <c r="AH31" s="20">
        <f t="shared" si="18"/>
        <v>40000</v>
      </c>
      <c r="AI31" s="20">
        <f t="shared" si="18"/>
        <v>40000</v>
      </c>
      <c r="AJ31" s="20">
        <f t="shared" si="18"/>
        <v>40000</v>
      </c>
      <c r="AK31" s="20">
        <f t="shared" si="18"/>
        <v>40000</v>
      </c>
      <c r="AL31" s="20">
        <f t="shared" ref="AL31:BQ31" si="19">AK31+AL30</f>
        <v>40000</v>
      </c>
      <c r="AM31" s="20">
        <f t="shared" si="19"/>
        <v>40000</v>
      </c>
      <c r="AN31" s="20">
        <f t="shared" si="19"/>
        <v>40000</v>
      </c>
      <c r="AO31" s="20">
        <f t="shared" si="19"/>
        <v>40000</v>
      </c>
      <c r="AP31" s="20">
        <f t="shared" si="19"/>
        <v>40000</v>
      </c>
      <c r="AQ31" s="20">
        <f t="shared" si="19"/>
        <v>40000</v>
      </c>
      <c r="AR31" s="20">
        <f t="shared" si="19"/>
        <v>40000</v>
      </c>
      <c r="AS31" s="20">
        <f t="shared" si="19"/>
        <v>40000</v>
      </c>
      <c r="AT31" s="20">
        <f t="shared" si="19"/>
        <v>40000</v>
      </c>
      <c r="AU31" s="20">
        <f t="shared" si="19"/>
        <v>40000</v>
      </c>
      <c r="AV31" s="20">
        <f t="shared" si="19"/>
        <v>40000</v>
      </c>
      <c r="AW31" s="20">
        <f t="shared" si="19"/>
        <v>40000</v>
      </c>
      <c r="AX31" s="20">
        <f t="shared" si="19"/>
        <v>40000</v>
      </c>
      <c r="AY31" s="20">
        <f t="shared" si="19"/>
        <v>40000</v>
      </c>
      <c r="AZ31" s="20">
        <f t="shared" si="19"/>
        <v>40000</v>
      </c>
      <c r="BA31" s="20">
        <f t="shared" si="19"/>
        <v>42708.333333333336</v>
      </c>
      <c r="BB31" s="20">
        <f t="shared" si="19"/>
        <v>45416.666666666672</v>
      </c>
      <c r="BC31" s="20">
        <f t="shared" si="19"/>
        <v>48125.000000000007</v>
      </c>
      <c r="BD31" s="20">
        <f t="shared" si="19"/>
        <v>50833.333333333343</v>
      </c>
      <c r="BE31" s="20">
        <f t="shared" si="19"/>
        <v>53541.666666666679</v>
      </c>
      <c r="BF31" s="20">
        <f t="shared" si="19"/>
        <v>56250.000000000015</v>
      </c>
      <c r="BG31" s="20">
        <f t="shared" si="19"/>
        <v>58958.33333333335</v>
      </c>
      <c r="BH31" s="20">
        <f t="shared" si="19"/>
        <v>61666.666666666686</v>
      </c>
      <c r="BI31" s="20">
        <f t="shared" si="19"/>
        <v>64375.000000000022</v>
      </c>
      <c r="BJ31" s="20">
        <f t="shared" si="19"/>
        <v>67083.333333333358</v>
      </c>
      <c r="BK31" s="20">
        <f t="shared" si="19"/>
        <v>69791.666666666686</v>
      </c>
      <c r="BL31" s="20">
        <f t="shared" si="19"/>
        <v>72500.000000000015</v>
      </c>
    </row>
    <row r="32" spans="2:64" x14ac:dyDescent="0.35">
      <c r="B32" s="3" t="s">
        <v>425</v>
      </c>
      <c r="C32" s="18" t="s">
        <v>306</v>
      </c>
      <c r="D32" s="58">
        <f>ROUND(12*Inputs!$E$66,0)</f>
        <v>36</v>
      </c>
    </row>
    <row r="33" spans="2:64" x14ac:dyDescent="0.35">
      <c r="B33" s="3" t="s">
        <v>290</v>
      </c>
      <c r="C33" s="18" t="s">
        <v>111</v>
      </c>
      <c r="D33" s="20">
        <f>SUM(E33:BL33)</f>
        <v>45868.055555555533</v>
      </c>
      <c r="E33" s="20">
        <f t="shared" ref="E33:AJ33" si="20">IF($D$32&gt;0,(E31-IF(E$4&gt;$D$32,INDEX($E$31:$BL$31,1,E$4-$D$32),0))/$D$32,0)</f>
        <v>75.231481481481481</v>
      </c>
      <c r="F33" s="20">
        <f t="shared" si="20"/>
        <v>150.46296296296296</v>
      </c>
      <c r="G33" s="20">
        <f t="shared" si="20"/>
        <v>225.69444444444446</v>
      </c>
      <c r="H33" s="20">
        <f t="shared" si="20"/>
        <v>300.92592592592592</v>
      </c>
      <c r="I33" s="20">
        <f t="shared" si="20"/>
        <v>376.15740740740745</v>
      </c>
      <c r="J33" s="20">
        <f t="shared" si="20"/>
        <v>451.38888888888891</v>
      </c>
      <c r="K33" s="20">
        <f t="shared" si="20"/>
        <v>526.62037037037044</v>
      </c>
      <c r="L33" s="20">
        <f t="shared" si="20"/>
        <v>601.85185185185185</v>
      </c>
      <c r="M33" s="20">
        <f t="shared" si="20"/>
        <v>677.08333333333337</v>
      </c>
      <c r="N33" s="20">
        <f t="shared" si="20"/>
        <v>752.31481481481478</v>
      </c>
      <c r="O33" s="20">
        <f t="shared" si="20"/>
        <v>827.54629629629619</v>
      </c>
      <c r="P33" s="20">
        <f t="shared" si="20"/>
        <v>902.77777777777771</v>
      </c>
      <c r="Q33" s="20">
        <f t="shared" si="20"/>
        <v>920.13888888888891</v>
      </c>
      <c r="R33" s="20">
        <f t="shared" si="20"/>
        <v>937.5</v>
      </c>
      <c r="S33" s="20">
        <f t="shared" si="20"/>
        <v>954.86111111111109</v>
      </c>
      <c r="T33" s="20">
        <f t="shared" si="20"/>
        <v>972.22222222222217</v>
      </c>
      <c r="U33" s="20">
        <f t="shared" si="20"/>
        <v>989.58333333333337</v>
      </c>
      <c r="V33" s="20">
        <f t="shared" si="20"/>
        <v>1006.9444444444445</v>
      </c>
      <c r="W33" s="20">
        <f t="shared" si="20"/>
        <v>1024.3055555555557</v>
      </c>
      <c r="X33" s="20">
        <f t="shared" si="20"/>
        <v>1041.6666666666667</v>
      </c>
      <c r="Y33" s="20">
        <f t="shared" si="20"/>
        <v>1059.0277777777778</v>
      </c>
      <c r="Z33" s="20">
        <f t="shared" si="20"/>
        <v>1076.3888888888889</v>
      </c>
      <c r="AA33" s="20">
        <f t="shared" si="20"/>
        <v>1093.75</v>
      </c>
      <c r="AB33" s="20">
        <f t="shared" si="20"/>
        <v>1111.1111111111111</v>
      </c>
      <c r="AC33" s="20">
        <f t="shared" si="20"/>
        <v>1111.1111111111111</v>
      </c>
      <c r="AD33" s="20">
        <f t="shared" si="20"/>
        <v>1111.1111111111111</v>
      </c>
      <c r="AE33" s="20">
        <f t="shared" si="20"/>
        <v>1111.1111111111111</v>
      </c>
      <c r="AF33" s="20">
        <f t="shared" si="20"/>
        <v>1111.1111111111111</v>
      </c>
      <c r="AG33" s="20">
        <f t="shared" si="20"/>
        <v>1111.1111111111111</v>
      </c>
      <c r="AH33" s="20">
        <f t="shared" si="20"/>
        <v>1111.1111111111111</v>
      </c>
      <c r="AI33" s="20">
        <f t="shared" si="20"/>
        <v>1111.1111111111111</v>
      </c>
      <c r="AJ33" s="20">
        <f t="shared" si="20"/>
        <v>1111.1111111111111</v>
      </c>
      <c r="AK33" s="20">
        <f t="shared" ref="AK33:BL33" si="21">IF($D$32&gt;0,(AK31-IF(AK$4&gt;$D$32,INDEX($E$31:$BL$31,1,AK$4-$D$32),0))/$D$32,0)</f>
        <v>1111.1111111111111</v>
      </c>
      <c r="AL33" s="20">
        <f t="shared" si="21"/>
        <v>1111.1111111111111</v>
      </c>
      <c r="AM33" s="20">
        <f t="shared" si="21"/>
        <v>1111.1111111111111</v>
      </c>
      <c r="AN33" s="20">
        <f t="shared" si="21"/>
        <v>1111.1111111111111</v>
      </c>
      <c r="AO33" s="20">
        <f t="shared" si="21"/>
        <v>1035.8796296296296</v>
      </c>
      <c r="AP33" s="20">
        <f t="shared" si="21"/>
        <v>960.64814814814827</v>
      </c>
      <c r="AQ33" s="20">
        <f t="shared" si="21"/>
        <v>885.41666666666663</v>
      </c>
      <c r="AR33" s="20">
        <f t="shared" si="21"/>
        <v>810.18518518518511</v>
      </c>
      <c r="AS33" s="20">
        <f t="shared" si="21"/>
        <v>734.9537037037037</v>
      </c>
      <c r="AT33" s="20">
        <f t="shared" si="21"/>
        <v>659.72222222222217</v>
      </c>
      <c r="AU33" s="20">
        <f t="shared" si="21"/>
        <v>584.49074074074065</v>
      </c>
      <c r="AV33" s="20">
        <f t="shared" si="21"/>
        <v>509.25925925925924</v>
      </c>
      <c r="AW33" s="20">
        <f t="shared" si="21"/>
        <v>434.02777777777777</v>
      </c>
      <c r="AX33" s="20">
        <f t="shared" si="21"/>
        <v>358.7962962962963</v>
      </c>
      <c r="AY33" s="20">
        <f t="shared" si="21"/>
        <v>283.56481481481489</v>
      </c>
      <c r="AZ33" s="20">
        <f t="shared" si="21"/>
        <v>208.33333333333343</v>
      </c>
      <c r="BA33" s="20">
        <f t="shared" si="21"/>
        <v>266.20370370370375</v>
      </c>
      <c r="BB33" s="20">
        <f t="shared" si="21"/>
        <v>324.07407407407419</v>
      </c>
      <c r="BC33" s="20">
        <f t="shared" si="21"/>
        <v>381.94444444444463</v>
      </c>
      <c r="BD33" s="20">
        <f t="shared" si="21"/>
        <v>439.81481481481507</v>
      </c>
      <c r="BE33" s="20">
        <f t="shared" si="21"/>
        <v>497.6851851851855</v>
      </c>
      <c r="BF33" s="20">
        <f t="shared" si="21"/>
        <v>555.555555555556</v>
      </c>
      <c r="BG33" s="20">
        <f t="shared" si="21"/>
        <v>613.42592592592644</v>
      </c>
      <c r="BH33" s="20">
        <f t="shared" si="21"/>
        <v>671.29629629629687</v>
      </c>
      <c r="BI33" s="20">
        <f t="shared" si="21"/>
        <v>729.16666666666731</v>
      </c>
      <c r="BJ33" s="20">
        <f t="shared" si="21"/>
        <v>787.03703703703775</v>
      </c>
      <c r="BK33" s="20">
        <f t="shared" si="21"/>
        <v>844.90740740740796</v>
      </c>
      <c r="BL33" s="20">
        <f t="shared" si="21"/>
        <v>902.77777777777817</v>
      </c>
    </row>
    <row r="34" spans="2:64" x14ac:dyDescent="0.35">
      <c r="B34" s="3" t="s">
        <v>291</v>
      </c>
      <c r="C34" s="18" t="s">
        <v>111</v>
      </c>
      <c r="D34" s="20">
        <f>SUM(E34:BL34)</f>
        <v>-1732070.3768037055</v>
      </c>
      <c r="E34" s="20">
        <f t="shared" ref="E34:AJ34" si="22">E28-E33</f>
        <v>-53415.697390003326</v>
      </c>
      <c r="F34" s="20">
        <f t="shared" si="22"/>
        <v>-61094.913512588682</v>
      </c>
      <c r="G34" s="20">
        <f t="shared" si="22"/>
        <v>-68783.642761029143</v>
      </c>
      <c r="H34" s="20">
        <f t="shared" si="22"/>
        <v>-106380.0565683335</v>
      </c>
      <c r="I34" s="20">
        <f t="shared" si="22"/>
        <v>-106146.13629539394</v>
      </c>
      <c r="J34" s="20">
        <f t="shared" si="22"/>
        <v>-97212.156892285435</v>
      </c>
      <c r="K34" s="20">
        <f t="shared" si="22"/>
        <v>-97287.388373766909</v>
      </c>
      <c r="L34" s="20">
        <f t="shared" si="22"/>
        <v>-172773.09646005125</v>
      </c>
      <c r="M34" s="20">
        <f t="shared" si="22"/>
        <v>-156561.7308813456</v>
      </c>
      <c r="N34" s="20">
        <f t="shared" si="22"/>
        <v>-207784.13410980286</v>
      </c>
      <c r="O34" s="20">
        <f t="shared" si="22"/>
        <v>-204254.06290884159</v>
      </c>
      <c r="P34" s="20">
        <f t="shared" si="22"/>
        <v>-210564.6083596533</v>
      </c>
      <c r="Q34" s="20">
        <f t="shared" si="22"/>
        <v>-265186.81524420227</v>
      </c>
      <c r="R34" s="20">
        <f t="shared" si="22"/>
        <v>-242694.13892261652</v>
      </c>
      <c r="S34" s="20">
        <f t="shared" si="22"/>
        <v>-238149.25707658095</v>
      </c>
      <c r="T34" s="20">
        <f t="shared" si="22"/>
        <v>-233350.71662868201</v>
      </c>
      <c r="U34" s="20">
        <f t="shared" si="22"/>
        <v>-228346.34733645717</v>
      </c>
      <c r="V34" s="20">
        <f t="shared" si="22"/>
        <v>-223147.68480820069</v>
      </c>
      <c r="W34" s="20">
        <f t="shared" si="22"/>
        <v>-352846.66393852799</v>
      </c>
      <c r="X34" s="20">
        <f t="shared" si="22"/>
        <v>-221351.85453131908</v>
      </c>
      <c r="Y34" s="20">
        <f t="shared" si="22"/>
        <v>-215638.277462422</v>
      </c>
      <c r="Z34" s="20">
        <f t="shared" si="22"/>
        <v>-210055.54469526507</v>
      </c>
      <c r="AA34" s="20">
        <f t="shared" si="22"/>
        <v>-204268.50787362864</v>
      </c>
      <c r="AB34" s="20">
        <f t="shared" si="22"/>
        <v>-224545.91753284732</v>
      </c>
      <c r="AC34" s="20">
        <f t="shared" si="22"/>
        <v>-251690.93586956357</v>
      </c>
      <c r="AD34" s="20">
        <f t="shared" si="22"/>
        <v>-239969.83802279536</v>
      </c>
      <c r="AE34" s="20">
        <f t="shared" si="22"/>
        <v>-227378.32109746727</v>
      </c>
      <c r="AF34" s="20">
        <f t="shared" si="22"/>
        <v>-213826.84530673904</v>
      </c>
      <c r="AG34" s="20">
        <f t="shared" si="22"/>
        <v>-199215.46592136269</v>
      </c>
      <c r="AH34" s="20">
        <f t="shared" si="22"/>
        <v>-183434.86945646707</v>
      </c>
      <c r="AI34" s="20">
        <f t="shared" si="22"/>
        <v>-166363.25802108546</v>
      </c>
      <c r="AJ34" s="20">
        <f t="shared" si="22"/>
        <v>-147867.16521840348</v>
      </c>
      <c r="AK34" s="20">
        <f t="shared" ref="AK34:BP34" si="23">AK28-AK33</f>
        <v>-127798.09671310381</v>
      </c>
      <c r="AL34" s="20">
        <f t="shared" si="23"/>
        <v>-105993.07633195379</v>
      </c>
      <c r="AM34" s="20">
        <f t="shared" si="23"/>
        <v>-82270.988019959143</v>
      </c>
      <c r="AN34" s="20">
        <f t="shared" si="23"/>
        <v>-56433.297331013753</v>
      </c>
      <c r="AO34" s="20">
        <f t="shared" si="23"/>
        <v>-82675.993731236085</v>
      </c>
      <c r="AP34" s="20">
        <f t="shared" si="23"/>
        <v>-65737.293703020463</v>
      </c>
      <c r="AQ34" s="20">
        <f t="shared" si="23"/>
        <v>-47731.360050838033</v>
      </c>
      <c r="AR34" s="20">
        <f t="shared" si="23"/>
        <v>-28580.140976715407</v>
      </c>
      <c r="AS34" s="20">
        <f t="shared" si="23"/>
        <v>-8199.0990096605565</v>
      </c>
      <c r="AT34" s="20">
        <f t="shared" si="23"/>
        <v>13503.37979687093</v>
      </c>
      <c r="AU34" s="20">
        <f t="shared" si="23"/>
        <v>36626.633635787672</v>
      </c>
      <c r="AV34" s="20">
        <f t="shared" si="23"/>
        <v>61278.435357879542</v>
      </c>
      <c r="AW34" s="20">
        <f t="shared" si="23"/>
        <v>87575.771771130414</v>
      </c>
      <c r="AX34" s="20">
        <f t="shared" si="23"/>
        <v>115645.69870833022</v>
      </c>
      <c r="AY34" s="20">
        <f t="shared" si="23"/>
        <v>145626.27944169726</v>
      </c>
      <c r="AZ34" s="20">
        <f t="shared" si="23"/>
        <v>177667.61479286311</v>
      </c>
      <c r="BA34" s="20">
        <f t="shared" si="23"/>
        <v>192629.19139963808</v>
      </c>
      <c r="BB34" s="20">
        <f t="shared" si="23"/>
        <v>218145.72370586425</v>
      </c>
      <c r="BC34" s="20">
        <f t="shared" si="23"/>
        <v>244776.88717906753</v>
      </c>
      <c r="BD34" s="20">
        <f t="shared" si="23"/>
        <v>272571.81636784121</v>
      </c>
      <c r="BE34" s="20">
        <f t="shared" si="23"/>
        <v>301581.83585316665</v>
      </c>
      <c r="BF34" s="20">
        <f t="shared" si="23"/>
        <v>331860.55889947905</v>
      </c>
      <c r="BG34" s="20">
        <f t="shared" si="23"/>
        <v>363463.9905936126</v>
      </c>
      <c r="BH34" s="20">
        <f t="shared" si="23"/>
        <v>396450.63567763637</v>
      </c>
      <c r="BI34" s="20">
        <f t="shared" si="23"/>
        <v>430881.61129114433</v>
      </c>
      <c r="BJ34" s="20">
        <f t="shared" si="23"/>
        <v>466820.76484852802</v>
      </c>
      <c r="BK34" s="20">
        <f t="shared" si="23"/>
        <v>504334.79728721309</v>
      </c>
      <c r="BL34" s="20">
        <f t="shared" si="23"/>
        <v>543493.39193377504</v>
      </c>
    </row>
    <row r="35" spans="2:64" x14ac:dyDescent="0.35">
      <c r="B35" s="3" t="s">
        <v>292</v>
      </c>
      <c r="C35" s="18" t="s">
        <v>111</v>
      </c>
      <c r="D35" s="20">
        <f>SUM(E35:BL35)</f>
        <v>669906.83273495489</v>
      </c>
      <c r="E35" s="40">
        <f>Inputs!$E$70/12*MAX(E47,0)</f>
        <v>31.25</v>
      </c>
      <c r="F35" s="40">
        <f>Inputs!$E$70/12*MAX(F47,0)</f>
        <v>1211.2280634476811</v>
      </c>
      <c r="G35" s="40">
        <f>Inputs!$E$70/12*MAX(G47,0)</f>
        <v>1133.1761186732917</v>
      </c>
      <c r="H35" s="40">
        <f>Inputs!$E$70/12*MAX(H47,0)</f>
        <v>1045.5097367592359</v>
      </c>
      <c r="I35" s="40">
        <f>Inputs!$E$70/12*MAX(I47,0)</f>
        <v>910.83229396050865</v>
      </c>
      <c r="J35" s="40">
        <f>Inputs!$E$70/12*MAX(J47,0)</f>
        <v>776.37294405130945</v>
      </c>
      <c r="K35" s="40">
        <f>Inputs!$E$70/12*MAX(K47,0)</f>
        <v>653.00703356046131</v>
      </c>
      <c r="L35" s="40">
        <f>Inputs!$E$70/12*MAX(L47,0)</f>
        <v>529.48691568149957</v>
      </c>
      <c r="M35" s="40">
        <f>Inputs!$E$70/12*MAX(M47,0)</f>
        <v>5311.5493018991847</v>
      </c>
      <c r="N35" s="40">
        <f>Inputs!$E$70/12*MAX(N47,0)</f>
        <v>5119.9475124248775</v>
      </c>
      <c r="O35" s="40">
        <f>Inputs!$E$70/12*MAX(O47,0)</f>
        <v>4864.1722560300059</v>
      </c>
      <c r="P35" s="40">
        <f>Inputs!$E$70/12*MAX(P47,0)</f>
        <v>4612.5839089176952</v>
      </c>
      <c r="Q35" s="40">
        <f>Inputs!$E$70/12*MAX(Q47,0)</f>
        <v>4352.8869339098319</v>
      </c>
      <c r="R35" s="40">
        <f>Inputs!$E$70/12*MAX(R47,0)</f>
        <v>4027.2134471330769</v>
      </c>
      <c r="S35" s="40">
        <f>Inputs!$E$70/12*MAX(S47,0)</f>
        <v>3729.2704152887227</v>
      </c>
      <c r="T35" s="40">
        <f>Inputs!$E$70/12*MAX(T47,0)</f>
        <v>3436.6577583509966</v>
      </c>
      <c r="U35" s="40">
        <f>Inputs!$E$70/12*MAX(U47,0)</f>
        <v>3149.6992125408601</v>
      </c>
      <c r="V35" s="40">
        <f>Inputs!$E$70/12*MAX(V47,0)</f>
        <v>2868.6591315526316</v>
      </c>
      <c r="W35" s="40">
        <f>Inputs!$E$70/12*MAX(W47,0)</f>
        <v>2593.7877800123774</v>
      </c>
      <c r="X35" s="40">
        <f>Inputs!$E$70/12*MAX(X47,0)</f>
        <v>17156.470816758676</v>
      </c>
      <c r="Y35" s="40">
        <f>Inputs!$E$70/12*MAX(Y47,0)</f>
        <v>16901.747420448806</v>
      </c>
      <c r="Z35" s="40">
        <f>Inputs!$E$70/12*MAX(Z47,0)</f>
        <v>16653.869292618561</v>
      </c>
      <c r="AA35" s="40">
        <f>Inputs!$E$70/12*MAX(AA47,0)</f>
        <v>16412.681434476366</v>
      </c>
      <c r="AB35" s="40">
        <f>Inputs!$E$70/12*MAX(AB47,0)</f>
        <v>16178.447588927427</v>
      </c>
      <c r="AC35" s="40">
        <f>Inputs!$E$70/12*MAX(AC47,0)</f>
        <v>15918.595890386418</v>
      </c>
      <c r="AD35" s="40">
        <f>Inputs!$E$70/12*MAX(AD47,0)</f>
        <v>15625.269354301336</v>
      </c>
      <c r="AE35" s="40">
        <f>Inputs!$E$70/12*MAX(AE47,0)</f>
        <v>15346.227532354607</v>
      </c>
      <c r="AF35" s="40">
        <f>Inputs!$E$70/12*MAX(AF47,0)</f>
        <v>15082.576304287106</v>
      </c>
      <c r="AG35" s="40">
        <f>Inputs!$E$70/12*MAX(AG47,0)</f>
        <v>14835.53485692293</v>
      </c>
      <c r="AH35" s="40">
        <f>Inputs!$E$70/12*MAX(AH47,0)</f>
        <v>14606.44883198127</v>
      </c>
      <c r="AI35" s="40">
        <f>Inputs!$E$70/12*MAX(AI47,0)</f>
        <v>14396.802195089551</v>
      </c>
      <c r="AJ35" s="40">
        <f>Inputs!$E$70/12*MAX(AJ47,0)</f>
        <v>14208.233014195943</v>
      </c>
      <c r="AK35" s="40">
        <f>Inputs!$E$70/12*MAX(AK47,0)</f>
        <v>14042.548237829571</v>
      </c>
      <c r="AL35" s="40">
        <f>Inputs!$E$70/12*MAX(AL47,0)</f>
        <v>13901.742691124367</v>
      </c>
      <c r="AM35" s="40">
        <f>Inputs!$E$70/12*MAX(AM47,0)</f>
        <v>13788.017412962219</v>
      </c>
      <c r="AN35" s="40">
        <f>Inputs!$E$70/12*MAX(AN47,0)</f>
        <v>13703.802588592363</v>
      </c>
      <c r="AO35" s="40">
        <f>Inputs!$E$70/12*MAX(AO47,0)</f>
        <v>13651.779609053227</v>
      </c>
      <c r="AP35" s="40">
        <f>Inputs!$E$70/12*MAX(AP47,0)</f>
        <v>13566.794190937535</v>
      </c>
      <c r="AQ35" s="40">
        <f>Inputs!$E$70/12*MAX(AQ47,0)</f>
        <v>13502.781876732617</v>
      </c>
      <c r="AR35" s="40">
        <f>Inputs!$E$70/12*MAX(AR47,0)</f>
        <v>13461.102924848317</v>
      </c>
      <c r="AS35" s="40">
        <f>Inputs!$E$70/12*MAX(AS47,0)</f>
        <v>13443.216858764967</v>
      </c>
      <c r="AT35" s="40">
        <f>Inputs!$E$70/12*MAX(AT47,0)</f>
        <v>13450.690698205975</v>
      </c>
      <c r="AU35" s="40">
        <f>Inputs!$E$70/12*MAX(AU47,0)</f>
        <v>13485.207939102598</v>
      </c>
      <c r="AV35" s="40">
        <f>Inputs!$E$70/12*MAX(AV47,0)</f>
        <v>13548.578354497138</v>
      </c>
      <c r="AW35" s="40">
        <f>Inputs!$E$70/12*MAX(AW47,0)</f>
        <v>13642.748695711682</v>
      </c>
      <c r="AX35" s="40">
        <f>Inputs!$E$70/12*MAX(AX47,0)</f>
        <v>13769.814381017457</v>
      </c>
      <c r="AY35" s="40">
        <f>Inputs!$E$70/12*MAX(AY47,0)</f>
        <v>13932.032267749513</v>
      </c>
      <c r="AZ35" s="40">
        <f>Inputs!$E$70/12*MAX(AZ47,0)</f>
        <v>14131.834613404841</v>
      </c>
      <c r="BA35" s="40">
        <f>Inputs!$E$70/12*MAX(BA47,0)</f>
        <v>14371.844341829343</v>
      </c>
      <c r="BB35" s="40">
        <f>Inputs!$E$70/12*MAX(BB47,0)</f>
        <v>14627.542974469141</v>
      </c>
      <c r="BC35" s="40">
        <f>Inputs!$E$70/12*MAX(BC47,0)</f>
        <v>14915.529233745483</v>
      </c>
      <c r="BD35" s="40">
        <f>Inputs!$E$70/12*MAX(BD47,0)</f>
        <v>15237.236768150387</v>
      </c>
      <c r="BE35" s="40">
        <f>Inputs!$E$70/12*MAX(BE47,0)</f>
        <v>15594.162436422228</v>
      </c>
      <c r="BF35" s="40">
        <f>Inputs!$E$70/12*MAX(BF47,0)</f>
        <v>15987.86912409903</v>
      </c>
      <c r="BG35" s="40">
        <f>Inputs!$E$70/12*MAX(BG47,0)</f>
        <v>16419.988686906283</v>
      </c>
      <c r="BH35" s="40">
        <f>Inputs!$E$70/12*MAX(BH47,0)</f>
        <v>16892.22502674767</v>
      </c>
      <c r="BI35" s="40">
        <f>Inputs!$E$70/12*MAX(BI47,0)</f>
        <v>17406.357306331854</v>
      </c>
      <c r="BJ35" s="40">
        <f>Inputs!$E$70/12*MAX(BJ47,0)</f>
        <v>17964.243308745368</v>
      </c>
      <c r="BK35" s="40">
        <f>Inputs!$E$70/12*MAX(BK47,0)</f>
        <v>18567.822948571589</v>
      </c>
      <c r="BL35" s="40">
        <f>Inputs!$E$70/12*MAX(BL47,0)</f>
        <v>19219.12194145891</v>
      </c>
    </row>
    <row r="36" spans="2:64" x14ac:dyDescent="0.35">
      <c r="B36" s="3" t="s">
        <v>293</v>
      </c>
      <c r="C36" s="18" t="s">
        <v>111</v>
      </c>
      <c r="D36" s="20">
        <f>SUM(E36:BL36)</f>
        <v>-1062163.5440687507</v>
      </c>
      <c r="E36" s="20">
        <f t="shared" ref="E36:AJ36" si="24">E34+E35</f>
        <v>-53384.447390003326</v>
      </c>
      <c r="F36" s="20">
        <f t="shared" si="24"/>
        <v>-59883.685449141005</v>
      </c>
      <c r="G36" s="20">
        <f t="shared" si="24"/>
        <v>-67650.466642355852</v>
      </c>
      <c r="H36" s="20">
        <f t="shared" si="24"/>
        <v>-105334.54683157426</v>
      </c>
      <c r="I36" s="20">
        <f t="shared" si="24"/>
        <v>-105235.30400143343</v>
      </c>
      <c r="J36" s="20">
        <f t="shared" si="24"/>
        <v>-96435.783948234122</v>
      </c>
      <c r="K36" s="20">
        <f t="shared" si="24"/>
        <v>-96634.381340206455</v>
      </c>
      <c r="L36" s="20">
        <f t="shared" si="24"/>
        <v>-172243.60954436974</v>
      </c>
      <c r="M36" s="20">
        <f t="shared" si="24"/>
        <v>-151250.18157944642</v>
      </c>
      <c r="N36" s="20">
        <f t="shared" si="24"/>
        <v>-202664.18659737799</v>
      </c>
      <c r="O36" s="20">
        <f t="shared" si="24"/>
        <v>-199389.89065281159</v>
      </c>
      <c r="P36" s="20">
        <f t="shared" si="24"/>
        <v>-205952.0244507356</v>
      </c>
      <c r="Q36" s="20">
        <f t="shared" si="24"/>
        <v>-260833.92831029242</v>
      </c>
      <c r="R36" s="20">
        <f t="shared" si="24"/>
        <v>-238666.92547548344</v>
      </c>
      <c r="S36" s="20">
        <f t="shared" si="24"/>
        <v>-234419.98666129223</v>
      </c>
      <c r="T36" s="20">
        <f t="shared" si="24"/>
        <v>-229914.05887033101</v>
      </c>
      <c r="U36" s="20">
        <f t="shared" si="24"/>
        <v>-225196.6481239163</v>
      </c>
      <c r="V36" s="20">
        <f t="shared" si="24"/>
        <v>-220279.02567664805</v>
      </c>
      <c r="W36" s="20">
        <f t="shared" si="24"/>
        <v>-350252.87615851563</v>
      </c>
      <c r="X36" s="20">
        <f t="shared" si="24"/>
        <v>-204195.38371456042</v>
      </c>
      <c r="Y36" s="20">
        <f t="shared" si="24"/>
        <v>-198736.53004197319</v>
      </c>
      <c r="Z36" s="20">
        <f t="shared" si="24"/>
        <v>-193401.67540264651</v>
      </c>
      <c r="AA36" s="20">
        <f t="shared" si="24"/>
        <v>-187855.82643915227</v>
      </c>
      <c r="AB36" s="20">
        <f t="shared" si="24"/>
        <v>-208367.46994391989</v>
      </c>
      <c r="AC36" s="20">
        <f t="shared" si="24"/>
        <v>-235772.33997917717</v>
      </c>
      <c r="AD36" s="20">
        <f t="shared" si="24"/>
        <v>-224344.56866849403</v>
      </c>
      <c r="AE36" s="20">
        <f t="shared" si="24"/>
        <v>-212032.09356511265</v>
      </c>
      <c r="AF36" s="20">
        <f t="shared" si="24"/>
        <v>-198744.26900245194</v>
      </c>
      <c r="AG36" s="20">
        <f t="shared" si="24"/>
        <v>-184379.93106443976</v>
      </c>
      <c r="AH36" s="20">
        <f t="shared" si="24"/>
        <v>-168828.42062448579</v>
      </c>
      <c r="AI36" s="20">
        <f t="shared" si="24"/>
        <v>-151966.45582599592</v>
      </c>
      <c r="AJ36" s="20">
        <f t="shared" si="24"/>
        <v>-133658.93220420752</v>
      </c>
      <c r="AK36" s="20">
        <f t="shared" ref="AK36:BP36" si="25">AK34+AK35</f>
        <v>-113755.54847527423</v>
      </c>
      <c r="AL36" s="20">
        <f t="shared" si="25"/>
        <v>-92091.333640829427</v>
      </c>
      <c r="AM36" s="20">
        <f t="shared" si="25"/>
        <v>-68482.970606996925</v>
      </c>
      <c r="AN36" s="20">
        <f t="shared" si="25"/>
        <v>-42729.49474242139</v>
      </c>
      <c r="AO36" s="20">
        <f t="shared" si="25"/>
        <v>-69024.214122182864</v>
      </c>
      <c r="AP36" s="20">
        <f t="shared" si="25"/>
        <v>-52170.499512082926</v>
      </c>
      <c r="AQ36" s="20">
        <f t="shared" si="25"/>
        <v>-34228.578174105416</v>
      </c>
      <c r="AR36" s="20">
        <f t="shared" si="25"/>
        <v>-15119.03805186709</v>
      </c>
      <c r="AS36" s="20">
        <f t="shared" si="25"/>
        <v>5244.1178491044102</v>
      </c>
      <c r="AT36" s="20">
        <f t="shared" si="25"/>
        <v>26954.070495076907</v>
      </c>
      <c r="AU36" s="20">
        <f t="shared" si="25"/>
        <v>50111.84157489027</v>
      </c>
      <c r="AV36" s="20">
        <f t="shared" si="25"/>
        <v>74827.013712376676</v>
      </c>
      <c r="AW36" s="20">
        <f t="shared" si="25"/>
        <v>101218.52046684209</v>
      </c>
      <c r="AX36" s="20">
        <f t="shared" si="25"/>
        <v>129415.51308934767</v>
      </c>
      <c r="AY36" s="20">
        <f t="shared" si="25"/>
        <v>159558.31170944677</v>
      </c>
      <c r="AZ36" s="20">
        <f t="shared" si="25"/>
        <v>191799.44940626796</v>
      </c>
      <c r="BA36" s="20">
        <f t="shared" si="25"/>
        <v>207001.03574146741</v>
      </c>
      <c r="BB36" s="20">
        <f t="shared" si="25"/>
        <v>232773.26668033339</v>
      </c>
      <c r="BC36" s="20">
        <f t="shared" si="25"/>
        <v>259692.41641281301</v>
      </c>
      <c r="BD36" s="20">
        <f t="shared" si="25"/>
        <v>287809.05313599162</v>
      </c>
      <c r="BE36" s="20">
        <f t="shared" si="25"/>
        <v>317175.9982895889</v>
      </c>
      <c r="BF36" s="20">
        <f t="shared" si="25"/>
        <v>347848.42802357808</v>
      </c>
      <c r="BG36" s="20">
        <f t="shared" si="25"/>
        <v>379883.97928051889</v>
      </c>
      <c r="BH36" s="20">
        <f t="shared" si="25"/>
        <v>413342.86070438405</v>
      </c>
      <c r="BI36" s="20">
        <f t="shared" si="25"/>
        <v>448287.9685974762</v>
      </c>
      <c r="BJ36" s="20">
        <f t="shared" si="25"/>
        <v>484785.00815727341</v>
      </c>
      <c r="BK36" s="20">
        <f t="shared" si="25"/>
        <v>522902.62023578468</v>
      </c>
      <c r="BL36" s="20">
        <f t="shared" si="25"/>
        <v>562712.51387523394</v>
      </c>
    </row>
    <row r="37" spans="2:64" x14ac:dyDescent="0.35">
      <c r="B37" s="3" t="s">
        <v>426</v>
      </c>
      <c r="C37" s="18" t="s">
        <v>111</v>
      </c>
      <c r="D37" s="20">
        <f>SUM(E37:BL37)</f>
        <v>-1062163.54406875</v>
      </c>
      <c r="E37" s="20">
        <f>IF(E$7=12,SUM(E36:E36),0)</f>
        <v>0</v>
      </c>
      <c r="F37" s="20">
        <f>IF(F$7=12,SUM(E36:F36),0)</f>
        <v>0</v>
      </c>
      <c r="G37" s="20">
        <f>IF(G$7=12,SUM(E36:G36),0)</f>
        <v>0</v>
      </c>
      <c r="H37" s="20">
        <f>IF(H$7=12,SUM(E36:H36),0)</f>
        <v>0</v>
      </c>
      <c r="I37" s="20">
        <f>IF(I$7=12,SUM(E36:I36),0)</f>
        <v>0</v>
      </c>
      <c r="J37" s="20">
        <f>IF(J$7=12,SUM(E36:J36),0)</f>
        <v>0</v>
      </c>
      <c r="K37" s="20">
        <f>IF(K$7=12,SUM(E36:K36),0)</f>
        <v>0</v>
      </c>
      <c r="L37" s="20">
        <f>IF(L$7=12,SUM(E36:L36),0)</f>
        <v>0</v>
      </c>
      <c r="M37" s="20">
        <f>IF(M$7=12,SUM(E36:M36),0)</f>
        <v>0</v>
      </c>
      <c r="N37" s="20">
        <f>IF(N$7=12,SUM(E36:N36),0)</f>
        <v>0</v>
      </c>
      <c r="O37" s="20">
        <f>IF(O$7=12,SUM(E36:O36),0)</f>
        <v>0</v>
      </c>
      <c r="P37" s="20">
        <f>IF(P$7=12,SUM(E36:P36),0)</f>
        <v>-1516058.5084276898</v>
      </c>
      <c r="Q37" s="20">
        <f>IF(Q$7=12,SUM(Q36:Q36),0)</f>
        <v>0</v>
      </c>
      <c r="R37" s="20">
        <f>IF(R$7=12,SUM(Q36:R36),0)</f>
        <v>0</v>
      </c>
      <c r="S37" s="20">
        <f>IF(S$7=12,SUM(Q36:S36),0)</f>
        <v>0</v>
      </c>
      <c r="T37" s="20">
        <f>IF(T$7=12,SUM(Q36:T36),0)</f>
        <v>0</v>
      </c>
      <c r="U37" s="20">
        <f>IF(U$7=12,SUM(Q36:U36),0)</f>
        <v>0</v>
      </c>
      <c r="V37" s="20">
        <f>IF(V$7=12,SUM(Q36:V36),0)</f>
        <v>0</v>
      </c>
      <c r="W37" s="20">
        <f>IF(W$7=12,SUM(Q36:W36),0)</f>
        <v>0</v>
      </c>
      <c r="X37" s="20">
        <f>IF(X$7=12,SUM(Q36:X36),0)</f>
        <v>0</v>
      </c>
      <c r="Y37" s="20">
        <f>IF(Y$7=12,SUM(Q36:Y36),0)</f>
        <v>0</v>
      </c>
      <c r="Z37" s="20">
        <f>IF(Z$7=12,SUM(Q36:Z36),0)</f>
        <v>0</v>
      </c>
      <c r="AA37" s="20">
        <f>IF(AA$7=12,SUM(Q36:AA36),0)</f>
        <v>0</v>
      </c>
      <c r="AB37" s="20">
        <f>IF(AB$7=12,SUM(Q36:AB36),0)</f>
        <v>-2752120.3348187315</v>
      </c>
      <c r="AC37" s="20">
        <f>IF(AC$7=12,SUM(AC36:AC36),0)</f>
        <v>0</v>
      </c>
      <c r="AD37" s="20">
        <f>IF(AD$7=12,SUM(AC36:AD36),0)</f>
        <v>0</v>
      </c>
      <c r="AE37" s="20">
        <f>IF(AE$7=12,SUM(AC36:AE36),0)</f>
        <v>0</v>
      </c>
      <c r="AF37" s="20">
        <f>IF(AF$7=12,SUM(AC36:AF36),0)</f>
        <v>0</v>
      </c>
      <c r="AG37" s="20">
        <f>IF(AG$7=12,SUM(AC36:AG36),0)</f>
        <v>0</v>
      </c>
      <c r="AH37" s="20">
        <f>IF(AH$7=12,SUM(AC36:AH36),0)</f>
        <v>0</v>
      </c>
      <c r="AI37" s="20">
        <f>IF(AI$7=12,SUM(AC36:AI36),0)</f>
        <v>0</v>
      </c>
      <c r="AJ37" s="20">
        <f>IF(AJ$7=12,SUM(AC36:AJ36),0)</f>
        <v>0</v>
      </c>
      <c r="AK37" s="20">
        <f>IF(AK$7=12,SUM(AC36:AK36),0)</f>
        <v>0</v>
      </c>
      <c r="AL37" s="20">
        <f>IF(AL$7=12,SUM(AC36:AL36),0)</f>
        <v>0</v>
      </c>
      <c r="AM37" s="20">
        <f>IF(AM$7=12,SUM(AC36:AM36),0)</f>
        <v>0</v>
      </c>
      <c r="AN37" s="20">
        <f>IF(AN$7=12,SUM(AC36:AN36),0)</f>
        <v>-1826786.3583998866</v>
      </c>
      <c r="AO37" s="20">
        <f>IF(AO$7=12,SUM(AO36:AO36),0)</f>
        <v>0</v>
      </c>
      <c r="AP37" s="20">
        <f>IF(AP$7=12,SUM(AO36:AP36),0)</f>
        <v>0</v>
      </c>
      <c r="AQ37" s="20">
        <f>IF(AQ$7=12,SUM(AO36:AQ36),0)</f>
        <v>0</v>
      </c>
      <c r="AR37" s="20">
        <f>IF(AR$7=12,SUM(AO36:AR36),0)</f>
        <v>0</v>
      </c>
      <c r="AS37" s="20">
        <f>IF(AS$7=12,SUM(AO36:AS36),0)</f>
        <v>0</v>
      </c>
      <c r="AT37" s="20">
        <f>IF(AT$7=12,SUM(AO36:AT36),0)</f>
        <v>0</v>
      </c>
      <c r="AU37" s="20">
        <f>IF(AU$7=12,SUM(AO36:AU36),0)</f>
        <v>0</v>
      </c>
      <c r="AV37" s="20">
        <f>IF(AV$7=12,SUM(AO36:AV36),0)</f>
        <v>0</v>
      </c>
      <c r="AW37" s="20">
        <f>IF(AW$7=12,SUM(AO36:AW36),0)</f>
        <v>0</v>
      </c>
      <c r="AX37" s="20">
        <f>IF(AX$7=12,SUM(AO36:AX36),0)</f>
        <v>0</v>
      </c>
      <c r="AY37" s="20">
        <f>IF(AY$7=12,SUM(AO36:AY36),0)</f>
        <v>0</v>
      </c>
      <c r="AZ37" s="20">
        <f>IF(AZ$7=12,SUM(AO36:AZ36),0)</f>
        <v>568586.50844311446</v>
      </c>
      <c r="BA37" s="20">
        <f>IF(BA$7=12,SUM(BA36:BA36),0)</f>
        <v>0</v>
      </c>
      <c r="BB37" s="20">
        <f>IF(BB$7=12,SUM(BA36:BB36),0)</f>
        <v>0</v>
      </c>
      <c r="BC37" s="20">
        <f>IF(BC$7=12,SUM(BA36:BC36),0)</f>
        <v>0</v>
      </c>
      <c r="BD37" s="20">
        <f>IF(BD$7=12,SUM(BA36:BD36),0)</f>
        <v>0</v>
      </c>
      <c r="BE37" s="20">
        <f>IF(BE$7=12,SUM(BA36:BE36),0)</f>
        <v>0</v>
      </c>
      <c r="BF37" s="20">
        <f>IF(BF$7=12,SUM(BA36:BF36),0)</f>
        <v>0</v>
      </c>
      <c r="BG37" s="20">
        <f>IF(BG$7=12,SUM(BA36:BG36),0)</f>
        <v>0</v>
      </c>
      <c r="BH37" s="20">
        <f>IF(BH$7=12,SUM(BA36:BH36),0)</f>
        <v>0</v>
      </c>
      <c r="BI37" s="20">
        <f>IF(BI$7=12,SUM(BA36:BI36),0)</f>
        <v>0</v>
      </c>
      <c r="BJ37" s="20">
        <f>IF(BJ$7=12,SUM(BA36:BJ36),0)</f>
        <v>0</v>
      </c>
      <c r="BK37" s="20">
        <f>IF(BK$7=12,SUM(BA36:BK36),0)</f>
        <v>0</v>
      </c>
      <c r="BL37" s="20">
        <f>IF(BL$7=12,SUM(BA36:BL36),0)</f>
        <v>4464215.1491344431</v>
      </c>
    </row>
    <row r="38" spans="2:64" x14ac:dyDescent="0.35">
      <c r="B38" s="3" t="s">
        <v>427</v>
      </c>
      <c r="C38" s="18" t="s">
        <v>111</v>
      </c>
      <c r="D38" s="20">
        <f>BL38</f>
        <v>1062163.54406875</v>
      </c>
      <c r="E38" s="20">
        <f>IF(E$7=12,MAX(0,0-MAX(0,E37))+MAX(0,-E37),0)</f>
        <v>0</v>
      </c>
      <c r="F38" s="20">
        <f t="shared" ref="F38:AK38" si="26">IF(F$7=12,MAX(0,E38-MAX(0,F37))+MAX(0,-F37),E38)</f>
        <v>0</v>
      </c>
      <c r="G38" s="20">
        <f t="shared" si="26"/>
        <v>0</v>
      </c>
      <c r="H38" s="20">
        <f t="shared" si="26"/>
        <v>0</v>
      </c>
      <c r="I38" s="20">
        <f t="shared" si="26"/>
        <v>0</v>
      </c>
      <c r="J38" s="20">
        <f t="shared" si="26"/>
        <v>0</v>
      </c>
      <c r="K38" s="20">
        <f t="shared" si="26"/>
        <v>0</v>
      </c>
      <c r="L38" s="20">
        <f t="shared" si="26"/>
        <v>0</v>
      </c>
      <c r="M38" s="20">
        <f t="shared" si="26"/>
        <v>0</v>
      </c>
      <c r="N38" s="20">
        <f t="shared" si="26"/>
        <v>0</v>
      </c>
      <c r="O38" s="20">
        <f t="shared" si="26"/>
        <v>0</v>
      </c>
      <c r="P38" s="20">
        <f t="shared" si="26"/>
        <v>1516058.5084276898</v>
      </c>
      <c r="Q38" s="20">
        <f t="shared" si="26"/>
        <v>1516058.5084276898</v>
      </c>
      <c r="R38" s="20">
        <f t="shared" si="26"/>
        <v>1516058.5084276898</v>
      </c>
      <c r="S38" s="20">
        <f t="shared" si="26"/>
        <v>1516058.5084276898</v>
      </c>
      <c r="T38" s="20">
        <f t="shared" si="26"/>
        <v>1516058.5084276898</v>
      </c>
      <c r="U38" s="20">
        <f t="shared" si="26"/>
        <v>1516058.5084276898</v>
      </c>
      <c r="V38" s="20">
        <f t="shared" si="26"/>
        <v>1516058.5084276898</v>
      </c>
      <c r="W38" s="20">
        <f t="shared" si="26"/>
        <v>1516058.5084276898</v>
      </c>
      <c r="X38" s="20">
        <f t="shared" si="26"/>
        <v>1516058.5084276898</v>
      </c>
      <c r="Y38" s="20">
        <f t="shared" si="26"/>
        <v>1516058.5084276898</v>
      </c>
      <c r="Z38" s="20">
        <f t="shared" si="26"/>
        <v>1516058.5084276898</v>
      </c>
      <c r="AA38" s="20">
        <f t="shared" si="26"/>
        <v>1516058.5084276898</v>
      </c>
      <c r="AB38" s="20">
        <f t="shared" si="26"/>
        <v>4268178.8432464208</v>
      </c>
      <c r="AC38" s="20">
        <f t="shared" si="26"/>
        <v>4268178.8432464208</v>
      </c>
      <c r="AD38" s="20">
        <f t="shared" si="26"/>
        <v>4268178.8432464208</v>
      </c>
      <c r="AE38" s="20">
        <f t="shared" si="26"/>
        <v>4268178.8432464208</v>
      </c>
      <c r="AF38" s="20">
        <f t="shared" si="26"/>
        <v>4268178.8432464208</v>
      </c>
      <c r="AG38" s="20">
        <f t="shared" si="26"/>
        <v>4268178.8432464208</v>
      </c>
      <c r="AH38" s="20">
        <f t="shared" si="26"/>
        <v>4268178.8432464208</v>
      </c>
      <c r="AI38" s="20">
        <f t="shared" si="26"/>
        <v>4268178.8432464208</v>
      </c>
      <c r="AJ38" s="20">
        <f t="shared" si="26"/>
        <v>4268178.8432464208</v>
      </c>
      <c r="AK38" s="20">
        <f t="shared" si="26"/>
        <v>4268178.8432464208</v>
      </c>
      <c r="AL38" s="20">
        <f t="shared" ref="AL38:BQ38" si="27">IF(AL$7=12,MAX(0,AK38-MAX(0,AL37))+MAX(0,-AL37),AK38)</f>
        <v>4268178.8432464208</v>
      </c>
      <c r="AM38" s="20">
        <f t="shared" si="27"/>
        <v>4268178.8432464208</v>
      </c>
      <c r="AN38" s="20">
        <f t="shared" si="27"/>
        <v>6094965.2016463075</v>
      </c>
      <c r="AO38" s="20">
        <f t="shared" si="27"/>
        <v>6094965.2016463075</v>
      </c>
      <c r="AP38" s="20">
        <f t="shared" si="27"/>
        <v>6094965.2016463075</v>
      </c>
      <c r="AQ38" s="20">
        <f t="shared" si="27"/>
        <v>6094965.2016463075</v>
      </c>
      <c r="AR38" s="20">
        <f t="shared" si="27"/>
        <v>6094965.2016463075</v>
      </c>
      <c r="AS38" s="20">
        <f t="shared" si="27"/>
        <v>6094965.2016463075</v>
      </c>
      <c r="AT38" s="20">
        <f t="shared" si="27"/>
        <v>6094965.2016463075</v>
      </c>
      <c r="AU38" s="20">
        <f t="shared" si="27"/>
        <v>6094965.2016463075</v>
      </c>
      <c r="AV38" s="20">
        <f t="shared" si="27"/>
        <v>6094965.2016463075</v>
      </c>
      <c r="AW38" s="20">
        <f t="shared" si="27"/>
        <v>6094965.2016463075</v>
      </c>
      <c r="AX38" s="20">
        <f t="shared" si="27"/>
        <v>6094965.2016463075</v>
      </c>
      <c r="AY38" s="20">
        <f t="shared" si="27"/>
        <v>6094965.2016463075</v>
      </c>
      <c r="AZ38" s="20">
        <f t="shared" si="27"/>
        <v>5526378.6932031931</v>
      </c>
      <c r="BA38" s="20">
        <f t="shared" si="27"/>
        <v>5526378.6932031931</v>
      </c>
      <c r="BB38" s="20">
        <f t="shared" si="27"/>
        <v>5526378.6932031931</v>
      </c>
      <c r="BC38" s="20">
        <f t="shared" si="27"/>
        <v>5526378.6932031931</v>
      </c>
      <c r="BD38" s="20">
        <f t="shared" si="27"/>
        <v>5526378.6932031931</v>
      </c>
      <c r="BE38" s="20">
        <f t="shared" si="27"/>
        <v>5526378.6932031931</v>
      </c>
      <c r="BF38" s="20">
        <f t="shared" si="27"/>
        <v>5526378.6932031931</v>
      </c>
      <c r="BG38" s="20">
        <f t="shared" si="27"/>
        <v>5526378.6932031931</v>
      </c>
      <c r="BH38" s="20">
        <f t="shared" si="27"/>
        <v>5526378.6932031931</v>
      </c>
      <c r="BI38" s="20">
        <f t="shared" si="27"/>
        <v>5526378.6932031931</v>
      </c>
      <c r="BJ38" s="20">
        <f t="shared" si="27"/>
        <v>5526378.6932031931</v>
      </c>
      <c r="BK38" s="20">
        <f t="shared" si="27"/>
        <v>5526378.6932031931</v>
      </c>
      <c r="BL38" s="20">
        <f t="shared" si="27"/>
        <v>1062163.54406875</v>
      </c>
    </row>
    <row r="39" spans="2:64" x14ac:dyDescent="0.35">
      <c r="B39" s="3" t="s">
        <v>428</v>
      </c>
      <c r="C39" s="18" t="s">
        <v>111</v>
      </c>
      <c r="D39" s="20">
        <f>SUM(E39:BL39)</f>
        <v>0</v>
      </c>
      <c r="E39" s="20">
        <f>IF(E$7=12,MAX(0,E37-0),0)</f>
        <v>0</v>
      </c>
      <c r="F39" s="20">
        <f t="shared" ref="F39:AK39" si="28">IF(F$7=12,MAX(0,F37-E38),0)</f>
        <v>0</v>
      </c>
      <c r="G39" s="20">
        <f t="shared" si="28"/>
        <v>0</v>
      </c>
      <c r="H39" s="20">
        <f t="shared" si="28"/>
        <v>0</v>
      </c>
      <c r="I39" s="20">
        <f t="shared" si="28"/>
        <v>0</v>
      </c>
      <c r="J39" s="20">
        <f t="shared" si="28"/>
        <v>0</v>
      </c>
      <c r="K39" s="20">
        <f t="shared" si="28"/>
        <v>0</v>
      </c>
      <c r="L39" s="20">
        <f t="shared" si="28"/>
        <v>0</v>
      </c>
      <c r="M39" s="20">
        <f t="shared" si="28"/>
        <v>0</v>
      </c>
      <c r="N39" s="20">
        <f t="shared" si="28"/>
        <v>0</v>
      </c>
      <c r="O39" s="20">
        <f t="shared" si="28"/>
        <v>0</v>
      </c>
      <c r="P39" s="20">
        <f t="shared" si="28"/>
        <v>0</v>
      </c>
      <c r="Q39" s="20">
        <f t="shared" si="28"/>
        <v>0</v>
      </c>
      <c r="R39" s="20">
        <f t="shared" si="28"/>
        <v>0</v>
      </c>
      <c r="S39" s="20">
        <f t="shared" si="28"/>
        <v>0</v>
      </c>
      <c r="T39" s="20">
        <f t="shared" si="28"/>
        <v>0</v>
      </c>
      <c r="U39" s="20">
        <f t="shared" si="28"/>
        <v>0</v>
      </c>
      <c r="V39" s="20">
        <f t="shared" si="28"/>
        <v>0</v>
      </c>
      <c r="W39" s="20">
        <f t="shared" si="28"/>
        <v>0</v>
      </c>
      <c r="X39" s="20">
        <f t="shared" si="28"/>
        <v>0</v>
      </c>
      <c r="Y39" s="20">
        <f t="shared" si="28"/>
        <v>0</v>
      </c>
      <c r="Z39" s="20">
        <f t="shared" si="28"/>
        <v>0</v>
      </c>
      <c r="AA39" s="20">
        <f t="shared" si="28"/>
        <v>0</v>
      </c>
      <c r="AB39" s="20">
        <f t="shared" si="28"/>
        <v>0</v>
      </c>
      <c r="AC39" s="20">
        <f t="shared" si="28"/>
        <v>0</v>
      </c>
      <c r="AD39" s="20">
        <f t="shared" si="28"/>
        <v>0</v>
      </c>
      <c r="AE39" s="20">
        <f t="shared" si="28"/>
        <v>0</v>
      </c>
      <c r="AF39" s="20">
        <f t="shared" si="28"/>
        <v>0</v>
      </c>
      <c r="AG39" s="20">
        <f t="shared" si="28"/>
        <v>0</v>
      </c>
      <c r="AH39" s="20">
        <f t="shared" si="28"/>
        <v>0</v>
      </c>
      <c r="AI39" s="20">
        <f t="shared" si="28"/>
        <v>0</v>
      </c>
      <c r="AJ39" s="20">
        <f t="shared" si="28"/>
        <v>0</v>
      </c>
      <c r="AK39" s="20">
        <f t="shared" si="28"/>
        <v>0</v>
      </c>
      <c r="AL39" s="20">
        <f t="shared" ref="AL39:BL39" si="29">IF(AL$7=12,MAX(0,AL37-AK38),0)</f>
        <v>0</v>
      </c>
      <c r="AM39" s="20">
        <f t="shared" si="29"/>
        <v>0</v>
      </c>
      <c r="AN39" s="20">
        <f t="shared" si="29"/>
        <v>0</v>
      </c>
      <c r="AO39" s="20">
        <f t="shared" si="29"/>
        <v>0</v>
      </c>
      <c r="AP39" s="20">
        <f t="shared" si="29"/>
        <v>0</v>
      </c>
      <c r="AQ39" s="20">
        <f t="shared" si="29"/>
        <v>0</v>
      </c>
      <c r="AR39" s="20">
        <f t="shared" si="29"/>
        <v>0</v>
      </c>
      <c r="AS39" s="20">
        <f t="shared" si="29"/>
        <v>0</v>
      </c>
      <c r="AT39" s="20">
        <f t="shared" si="29"/>
        <v>0</v>
      </c>
      <c r="AU39" s="20">
        <f t="shared" si="29"/>
        <v>0</v>
      </c>
      <c r="AV39" s="20">
        <f t="shared" si="29"/>
        <v>0</v>
      </c>
      <c r="AW39" s="20">
        <f t="shared" si="29"/>
        <v>0</v>
      </c>
      <c r="AX39" s="20">
        <f t="shared" si="29"/>
        <v>0</v>
      </c>
      <c r="AY39" s="20">
        <f t="shared" si="29"/>
        <v>0</v>
      </c>
      <c r="AZ39" s="20">
        <f t="shared" si="29"/>
        <v>0</v>
      </c>
      <c r="BA39" s="20">
        <f t="shared" si="29"/>
        <v>0</v>
      </c>
      <c r="BB39" s="20">
        <f t="shared" si="29"/>
        <v>0</v>
      </c>
      <c r="BC39" s="20">
        <f t="shared" si="29"/>
        <v>0</v>
      </c>
      <c r="BD39" s="20">
        <f t="shared" si="29"/>
        <v>0</v>
      </c>
      <c r="BE39" s="20">
        <f t="shared" si="29"/>
        <v>0</v>
      </c>
      <c r="BF39" s="20">
        <f t="shared" si="29"/>
        <v>0</v>
      </c>
      <c r="BG39" s="20">
        <f t="shared" si="29"/>
        <v>0</v>
      </c>
      <c r="BH39" s="20">
        <f t="shared" si="29"/>
        <v>0</v>
      </c>
      <c r="BI39" s="20">
        <f t="shared" si="29"/>
        <v>0</v>
      </c>
      <c r="BJ39" s="20">
        <f t="shared" si="29"/>
        <v>0</v>
      </c>
      <c r="BK39" s="20">
        <f t="shared" si="29"/>
        <v>0</v>
      </c>
      <c r="BL39" s="20">
        <f t="shared" si="29"/>
        <v>0</v>
      </c>
    </row>
    <row r="40" spans="2:64" x14ac:dyDescent="0.35">
      <c r="B40" s="3" t="s">
        <v>294</v>
      </c>
      <c r="C40" s="18" t="s">
        <v>111</v>
      </c>
      <c r="D40" s="20">
        <f>SUM(E40:BL40)</f>
        <v>0</v>
      </c>
      <c r="E40" s="40">
        <f>Inputs!$E$71*E39</f>
        <v>0</v>
      </c>
      <c r="F40" s="40">
        <f>Inputs!$E$71*F39</f>
        <v>0</v>
      </c>
      <c r="G40" s="40">
        <f>Inputs!$E$71*G39</f>
        <v>0</v>
      </c>
      <c r="H40" s="40">
        <f>Inputs!$E$71*H39</f>
        <v>0</v>
      </c>
      <c r="I40" s="40">
        <f>Inputs!$E$71*I39</f>
        <v>0</v>
      </c>
      <c r="J40" s="40">
        <f>Inputs!$E$71*J39</f>
        <v>0</v>
      </c>
      <c r="K40" s="40">
        <f>Inputs!$E$71*K39</f>
        <v>0</v>
      </c>
      <c r="L40" s="40">
        <f>Inputs!$E$71*L39</f>
        <v>0</v>
      </c>
      <c r="M40" s="40">
        <f>Inputs!$E$71*M39</f>
        <v>0</v>
      </c>
      <c r="N40" s="40">
        <f>Inputs!$E$71*N39</f>
        <v>0</v>
      </c>
      <c r="O40" s="40">
        <f>Inputs!$E$71*O39</f>
        <v>0</v>
      </c>
      <c r="P40" s="40">
        <f>Inputs!$E$71*P39</f>
        <v>0</v>
      </c>
      <c r="Q40" s="40">
        <f>Inputs!$E$71*Q39</f>
        <v>0</v>
      </c>
      <c r="R40" s="40">
        <f>Inputs!$E$71*R39</f>
        <v>0</v>
      </c>
      <c r="S40" s="40">
        <f>Inputs!$E$71*S39</f>
        <v>0</v>
      </c>
      <c r="T40" s="40">
        <f>Inputs!$E$71*T39</f>
        <v>0</v>
      </c>
      <c r="U40" s="40">
        <f>Inputs!$E$71*U39</f>
        <v>0</v>
      </c>
      <c r="V40" s="40">
        <f>Inputs!$E$71*V39</f>
        <v>0</v>
      </c>
      <c r="W40" s="40">
        <f>Inputs!$E$71*W39</f>
        <v>0</v>
      </c>
      <c r="X40" s="40">
        <f>Inputs!$E$71*X39</f>
        <v>0</v>
      </c>
      <c r="Y40" s="40">
        <f>Inputs!$E$71*Y39</f>
        <v>0</v>
      </c>
      <c r="Z40" s="40">
        <f>Inputs!$E$71*Z39</f>
        <v>0</v>
      </c>
      <c r="AA40" s="40">
        <f>Inputs!$E$71*AA39</f>
        <v>0</v>
      </c>
      <c r="AB40" s="40">
        <f>Inputs!$E$71*AB39</f>
        <v>0</v>
      </c>
      <c r="AC40" s="40">
        <f>Inputs!$E$71*AC39</f>
        <v>0</v>
      </c>
      <c r="AD40" s="40">
        <f>Inputs!$E$71*AD39</f>
        <v>0</v>
      </c>
      <c r="AE40" s="40">
        <f>Inputs!$E$71*AE39</f>
        <v>0</v>
      </c>
      <c r="AF40" s="40">
        <f>Inputs!$E$71*AF39</f>
        <v>0</v>
      </c>
      <c r="AG40" s="40">
        <f>Inputs!$E$71*AG39</f>
        <v>0</v>
      </c>
      <c r="AH40" s="40">
        <f>Inputs!$E$71*AH39</f>
        <v>0</v>
      </c>
      <c r="AI40" s="40">
        <f>Inputs!$E$71*AI39</f>
        <v>0</v>
      </c>
      <c r="AJ40" s="40">
        <f>Inputs!$E$71*AJ39</f>
        <v>0</v>
      </c>
      <c r="AK40" s="40">
        <f>Inputs!$E$71*AK39</f>
        <v>0</v>
      </c>
      <c r="AL40" s="40">
        <f>Inputs!$E$71*AL39</f>
        <v>0</v>
      </c>
      <c r="AM40" s="40">
        <f>Inputs!$E$71*AM39</f>
        <v>0</v>
      </c>
      <c r="AN40" s="40">
        <f>Inputs!$E$71*AN39</f>
        <v>0</v>
      </c>
      <c r="AO40" s="40">
        <f>Inputs!$E$71*AO39</f>
        <v>0</v>
      </c>
      <c r="AP40" s="40">
        <f>Inputs!$E$71*AP39</f>
        <v>0</v>
      </c>
      <c r="AQ40" s="40">
        <f>Inputs!$E$71*AQ39</f>
        <v>0</v>
      </c>
      <c r="AR40" s="40">
        <f>Inputs!$E$71*AR39</f>
        <v>0</v>
      </c>
      <c r="AS40" s="40">
        <f>Inputs!$E$71*AS39</f>
        <v>0</v>
      </c>
      <c r="AT40" s="40">
        <f>Inputs!$E$71*AT39</f>
        <v>0</v>
      </c>
      <c r="AU40" s="40">
        <f>Inputs!$E$71*AU39</f>
        <v>0</v>
      </c>
      <c r="AV40" s="40">
        <f>Inputs!$E$71*AV39</f>
        <v>0</v>
      </c>
      <c r="AW40" s="40">
        <f>Inputs!$E$71*AW39</f>
        <v>0</v>
      </c>
      <c r="AX40" s="40">
        <f>Inputs!$E$71*AX39</f>
        <v>0</v>
      </c>
      <c r="AY40" s="40">
        <f>Inputs!$E$71*AY39</f>
        <v>0</v>
      </c>
      <c r="AZ40" s="40">
        <f>Inputs!$E$71*AZ39</f>
        <v>0</v>
      </c>
      <c r="BA40" s="40">
        <f>Inputs!$E$71*BA39</f>
        <v>0</v>
      </c>
      <c r="BB40" s="40">
        <f>Inputs!$E$71*BB39</f>
        <v>0</v>
      </c>
      <c r="BC40" s="40">
        <f>Inputs!$E$71*BC39</f>
        <v>0</v>
      </c>
      <c r="BD40" s="40">
        <f>Inputs!$E$71*BD39</f>
        <v>0</v>
      </c>
      <c r="BE40" s="40">
        <f>Inputs!$E$71*BE39</f>
        <v>0</v>
      </c>
      <c r="BF40" s="40">
        <f>Inputs!$E$71*BF39</f>
        <v>0</v>
      </c>
      <c r="BG40" s="40">
        <f>Inputs!$E$71*BG39</f>
        <v>0</v>
      </c>
      <c r="BH40" s="40">
        <f>Inputs!$E$71*BH39</f>
        <v>0</v>
      </c>
      <c r="BI40" s="40">
        <f>Inputs!$E$71*BI39</f>
        <v>0</v>
      </c>
      <c r="BJ40" s="40">
        <f>Inputs!$E$71*BJ39</f>
        <v>0</v>
      </c>
      <c r="BK40" s="40">
        <f>Inputs!$E$71*BK39</f>
        <v>0</v>
      </c>
      <c r="BL40" s="40">
        <f>Inputs!$E$71*BL39</f>
        <v>0</v>
      </c>
    </row>
    <row r="41" spans="2:64" x14ac:dyDescent="0.35">
      <c r="B41" s="4" t="s">
        <v>295</v>
      </c>
      <c r="C41" s="18" t="s">
        <v>111</v>
      </c>
      <c r="D41" s="56">
        <f>SUM(E41:BL41)</f>
        <v>-1062163.5440687507</v>
      </c>
      <c r="E41" s="56">
        <f t="shared" ref="E41:AJ41" si="30">E36-E40</f>
        <v>-53384.447390003326</v>
      </c>
      <c r="F41" s="56">
        <f t="shared" si="30"/>
        <v>-59883.685449141005</v>
      </c>
      <c r="G41" s="56">
        <f t="shared" si="30"/>
        <v>-67650.466642355852</v>
      </c>
      <c r="H41" s="56">
        <f t="shared" si="30"/>
        <v>-105334.54683157426</v>
      </c>
      <c r="I41" s="56">
        <f t="shared" si="30"/>
        <v>-105235.30400143343</v>
      </c>
      <c r="J41" s="56">
        <f t="shared" si="30"/>
        <v>-96435.783948234122</v>
      </c>
      <c r="K41" s="56">
        <f t="shared" si="30"/>
        <v>-96634.381340206455</v>
      </c>
      <c r="L41" s="56">
        <f t="shared" si="30"/>
        <v>-172243.60954436974</v>
      </c>
      <c r="M41" s="56">
        <f t="shared" si="30"/>
        <v>-151250.18157944642</v>
      </c>
      <c r="N41" s="56">
        <f t="shared" si="30"/>
        <v>-202664.18659737799</v>
      </c>
      <c r="O41" s="56">
        <f t="shared" si="30"/>
        <v>-199389.89065281159</v>
      </c>
      <c r="P41" s="56">
        <f t="shared" si="30"/>
        <v>-205952.0244507356</v>
      </c>
      <c r="Q41" s="56">
        <f t="shared" si="30"/>
        <v>-260833.92831029242</v>
      </c>
      <c r="R41" s="56">
        <f t="shared" si="30"/>
        <v>-238666.92547548344</v>
      </c>
      <c r="S41" s="56">
        <f t="shared" si="30"/>
        <v>-234419.98666129223</v>
      </c>
      <c r="T41" s="56">
        <f t="shared" si="30"/>
        <v>-229914.05887033101</v>
      </c>
      <c r="U41" s="56">
        <f t="shared" si="30"/>
        <v>-225196.6481239163</v>
      </c>
      <c r="V41" s="56">
        <f t="shared" si="30"/>
        <v>-220279.02567664805</v>
      </c>
      <c r="W41" s="56">
        <f t="shared" si="30"/>
        <v>-350252.87615851563</v>
      </c>
      <c r="X41" s="56">
        <f t="shared" si="30"/>
        <v>-204195.38371456042</v>
      </c>
      <c r="Y41" s="56">
        <f t="shared" si="30"/>
        <v>-198736.53004197319</v>
      </c>
      <c r="Z41" s="56">
        <f t="shared" si="30"/>
        <v>-193401.67540264651</v>
      </c>
      <c r="AA41" s="56">
        <f t="shared" si="30"/>
        <v>-187855.82643915227</v>
      </c>
      <c r="AB41" s="56">
        <f t="shared" si="30"/>
        <v>-208367.46994391989</v>
      </c>
      <c r="AC41" s="56">
        <f t="shared" si="30"/>
        <v>-235772.33997917717</v>
      </c>
      <c r="AD41" s="56">
        <f t="shared" si="30"/>
        <v>-224344.56866849403</v>
      </c>
      <c r="AE41" s="56">
        <f t="shared" si="30"/>
        <v>-212032.09356511265</v>
      </c>
      <c r="AF41" s="56">
        <f t="shared" si="30"/>
        <v>-198744.26900245194</v>
      </c>
      <c r="AG41" s="56">
        <f t="shared" si="30"/>
        <v>-184379.93106443976</v>
      </c>
      <c r="AH41" s="56">
        <f t="shared" si="30"/>
        <v>-168828.42062448579</v>
      </c>
      <c r="AI41" s="56">
        <f t="shared" si="30"/>
        <v>-151966.45582599592</v>
      </c>
      <c r="AJ41" s="56">
        <f t="shared" si="30"/>
        <v>-133658.93220420752</v>
      </c>
      <c r="AK41" s="56">
        <f t="shared" ref="AK41:BP41" si="31">AK36-AK40</f>
        <v>-113755.54847527423</v>
      </c>
      <c r="AL41" s="56">
        <f t="shared" si="31"/>
        <v>-92091.333640829427</v>
      </c>
      <c r="AM41" s="56">
        <f t="shared" si="31"/>
        <v>-68482.970606996925</v>
      </c>
      <c r="AN41" s="56">
        <f t="shared" si="31"/>
        <v>-42729.49474242139</v>
      </c>
      <c r="AO41" s="56">
        <f t="shared" si="31"/>
        <v>-69024.214122182864</v>
      </c>
      <c r="AP41" s="56">
        <f t="shared" si="31"/>
        <v>-52170.499512082926</v>
      </c>
      <c r="AQ41" s="56">
        <f t="shared" si="31"/>
        <v>-34228.578174105416</v>
      </c>
      <c r="AR41" s="56">
        <f t="shared" si="31"/>
        <v>-15119.03805186709</v>
      </c>
      <c r="AS41" s="56">
        <f t="shared" si="31"/>
        <v>5244.1178491044102</v>
      </c>
      <c r="AT41" s="56">
        <f t="shared" si="31"/>
        <v>26954.070495076907</v>
      </c>
      <c r="AU41" s="56">
        <f t="shared" si="31"/>
        <v>50111.84157489027</v>
      </c>
      <c r="AV41" s="56">
        <f t="shared" si="31"/>
        <v>74827.013712376676</v>
      </c>
      <c r="AW41" s="56">
        <f t="shared" si="31"/>
        <v>101218.52046684209</v>
      </c>
      <c r="AX41" s="56">
        <f t="shared" si="31"/>
        <v>129415.51308934767</v>
      </c>
      <c r="AY41" s="56">
        <f t="shared" si="31"/>
        <v>159558.31170944677</v>
      </c>
      <c r="AZ41" s="56">
        <f t="shared" si="31"/>
        <v>191799.44940626796</v>
      </c>
      <c r="BA41" s="56">
        <f t="shared" si="31"/>
        <v>207001.03574146741</v>
      </c>
      <c r="BB41" s="56">
        <f t="shared" si="31"/>
        <v>232773.26668033339</v>
      </c>
      <c r="BC41" s="56">
        <f t="shared" si="31"/>
        <v>259692.41641281301</v>
      </c>
      <c r="BD41" s="56">
        <f t="shared" si="31"/>
        <v>287809.05313599162</v>
      </c>
      <c r="BE41" s="56">
        <f t="shared" si="31"/>
        <v>317175.9982895889</v>
      </c>
      <c r="BF41" s="56">
        <f t="shared" si="31"/>
        <v>347848.42802357808</v>
      </c>
      <c r="BG41" s="56">
        <f t="shared" si="31"/>
        <v>379883.97928051889</v>
      </c>
      <c r="BH41" s="56">
        <f t="shared" si="31"/>
        <v>413342.86070438405</v>
      </c>
      <c r="BI41" s="56">
        <f t="shared" si="31"/>
        <v>448287.9685974762</v>
      </c>
      <c r="BJ41" s="56">
        <f t="shared" si="31"/>
        <v>484785.00815727341</v>
      </c>
      <c r="BK41" s="56">
        <f t="shared" si="31"/>
        <v>522902.62023578468</v>
      </c>
      <c r="BL41" s="56">
        <f t="shared" si="31"/>
        <v>562712.51387523394</v>
      </c>
    </row>
    <row r="42" spans="2:64" x14ac:dyDescent="0.35">
      <c r="B42" s="16" t="s">
        <v>296</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row>
    <row r="43" spans="2:64" x14ac:dyDescent="0.35">
      <c r="B43" s="3" t="s">
        <v>297</v>
      </c>
      <c r="C43" s="18" t="s">
        <v>111</v>
      </c>
      <c r="D43" s="20">
        <f>SUM(E43:BL43)</f>
        <v>-1016295.4885131943</v>
      </c>
      <c r="E43" s="20">
        <f t="shared" ref="E43:AJ43" si="32">E28+E35-E40</f>
        <v>-53309.215908521845</v>
      </c>
      <c r="F43" s="20">
        <f t="shared" si="32"/>
        <v>-59733.222486178041</v>
      </c>
      <c r="G43" s="20">
        <f t="shared" si="32"/>
        <v>-67424.772197911414</v>
      </c>
      <c r="H43" s="20">
        <f t="shared" si="32"/>
        <v>-105033.62090564833</v>
      </c>
      <c r="I43" s="20">
        <f t="shared" si="32"/>
        <v>-104859.14659402602</v>
      </c>
      <c r="J43" s="20">
        <f t="shared" si="32"/>
        <v>-95984.395059345232</v>
      </c>
      <c r="K43" s="20">
        <f t="shared" si="32"/>
        <v>-96107.76096983609</v>
      </c>
      <c r="L43" s="20">
        <f t="shared" si="32"/>
        <v>-171641.75769251789</v>
      </c>
      <c r="M43" s="20">
        <f t="shared" si="32"/>
        <v>-150573.09824611308</v>
      </c>
      <c r="N43" s="20">
        <f t="shared" si="32"/>
        <v>-201911.87178256319</v>
      </c>
      <c r="O43" s="20">
        <f t="shared" si="32"/>
        <v>-198562.3443565153</v>
      </c>
      <c r="P43" s="20">
        <f t="shared" si="32"/>
        <v>-205049.24667295782</v>
      </c>
      <c r="Q43" s="20">
        <f t="shared" si="32"/>
        <v>-259913.78942140355</v>
      </c>
      <c r="R43" s="20">
        <f t="shared" si="32"/>
        <v>-237729.42547548344</v>
      </c>
      <c r="S43" s="20">
        <f t="shared" si="32"/>
        <v>-233465.12555018111</v>
      </c>
      <c r="T43" s="20">
        <f t="shared" si="32"/>
        <v>-228941.83664810879</v>
      </c>
      <c r="U43" s="20">
        <f t="shared" si="32"/>
        <v>-224207.06479058295</v>
      </c>
      <c r="V43" s="20">
        <f t="shared" si="32"/>
        <v>-219272.08123220361</v>
      </c>
      <c r="W43" s="20">
        <f t="shared" si="32"/>
        <v>-349228.57060296007</v>
      </c>
      <c r="X43" s="20">
        <f t="shared" si="32"/>
        <v>-203153.71704789376</v>
      </c>
      <c r="Y43" s="20">
        <f t="shared" si="32"/>
        <v>-197677.50226419541</v>
      </c>
      <c r="Z43" s="20">
        <f t="shared" si="32"/>
        <v>-192325.28651375763</v>
      </c>
      <c r="AA43" s="20">
        <f t="shared" si="32"/>
        <v>-186762.07643915227</v>
      </c>
      <c r="AB43" s="20">
        <f t="shared" si="32"/>
        <v>-207256.35883280876</v>
      </c>
      <c r="AC43" s="20">
        <f t="shared" si="32"/>
        <v>-234661.22886806604</v>
      </c>
      <c r="AD43" s="20">
        <f t="shared" si="32"/>
        <v>-223233.45755738291</v>
      </c>
      <c r="AE43" s="20">
        <f t="shared" si="32"/>
        <v>-210920.98245400153</v>
      </c>
      <c r="AF43" s="20">
        <f t="shared" si="32"/>
        <v>-197633.15789134082</v>
      </c>
      <c r="AG43" s="20">
        <f t="shared" si="32"/>
        <v>-183268.81995332864</v>
      </c>
      <c r="AH43" s="20">
        <f t="shared" si="32"/>
        <v>-167717.30951337467</v>
      </c>
      <c r="AI43" s="20">
        <f t="shared" si="32"/>
        <v>-150855.34471488479</v>
      </c>
      <c r="AJ43" s="20">
        <f t="shared" si="32"/>
        <v>-132547.8210930964</v>
      </c>
      <c r="AK43" s="20">
        <f t="shared" ref="AK43:BL43" si="33">AK28+AK35-AK40</f>
        <v>-112644.43736416312</v>
      </c>
      <c r="AL43" s="20">
        <f t="shared" si="33"/>
        <v>-90980.222529718318</v>
      </c>
      <c r="AM43" s="20">
        <f t="shared" si="33"/>
        <v>-67371.859495885816</v>
      </c>
      <c r="AN43" s="20">
        <f t="shared" si="33"/>
        <v>-41618.38363131028</v>
      </c>
      <c r="AO43" s="20">
        <f t="shared" si="33"/>
        <v>-67988.334492553229</v>
      </c>
      <c r="AP43" s="20">
        <f t="shared" si="33"/>
        <v>-51209.851363934773</v>
      </c>
      <c r="AQ43" s="20">
        <f t="shared" si="33"/>
        <v>-33343.161507438752</v>
      </c>
      <c r="AR43" s="20">
        <f t="shared" si="33"/>
        <v>-14308.852866681904</v>
      </c>
      <c r="AS43" s="20">
        <f t="shared" si="33"/>
        <v>5979.0715528081146</v>
      </c>
      <c r="AT43" s="20">
        <f t="shared" si="33"/>
        <v>27613.792717299126</v>
      </c>
      <c r="AU43" s="20">
        <f t="shared" si="33"/>
        <v>50696.332315631007</v>
      </c>
      <c r="AV43" s="20">
        <f t="shared" si="33"/>
        <v>75336.272971635946</v>
      </c>
      <c r="AW43" s="20">
        <f t="shared" si="33"/>
        <v>101652.54824461987</v>
      </c>
      <c r="AX43" s="20">
        <f t="shared" si="33"/>
        <v>129774.30938564397</v>
      </c>
      <c r="AY43" s="20">
        <f t="shared" si="33"/>
        <v>159841.87652426158</v>
      </c>
      <c r="AZ43" s="20">
        <f t="shared" si="33"/>
        <v>192007.7827396013</v>
      </c>
      <c r="BA43" s="20">
        <f t="shared" si="33"/>
        <v>207267.23944517112</v>
      </c>
      <c r="BB43" s="20">
        <f t="shared" si="33"/>
        <v>233097.34075440746</v>
      </c>
      <c r="BC43" s="20">
        <f t="shared" si="33"/>
        <v>260074.36085725744</v>
      </c>
      <c r="BD43" s="20">
        <f t="shared" si="33"/>
        <v>288248.86795080645</v>
      </c>
      <c r="BE43" s="20">
        <f t="shared" si="33"/>
        <v>317673.68347477406</v>
      </c>
      <c r="BF43" s="20">
        <f t="shared" si="33"/>
        <v>348403.98357913364</v>
      </c>
      <c r="BG43" s="20">
        <f t="shared" si="33"/>
        <v>380497.40520644479</v>
      </c>
      <c r="BH43" s="20">
        <f t="shared" si="33"/>
        <v>414014.15700068034</v>
      </c>
      <c r="BI43" s="20">
        <f t="shared" si="33"/>
        <v>449017.13526414288</v>
      </c>
      <c r="BJ43" s="20">
        <f t="shared" si="33"/>
        <v>485572.04519431043</v>
      </c>
      <c r="BK43" s="20">
        <f t="shared" si="33"/>
        <v>523747.52764319209</v>
      </c>
      <c r="BL43" s="20">
        <f t="shared" si="33"/>
        <v>563615.29165301169</v>
      </c>
    </row>
    <row r="44" spans="2:64" x14ac:dyDescent="0.35">
      <c r="B44" s="3" t="s">
        <v>298</v>
      </c>
      <c r="C44" s="18" t="s">
        <v>111</v>
      </c>
      <c r="D44" s="20">
        <f>SUM(E44:BL44)</f>
        <v>-72500.000000000015</v>
      </c>
      <c r="E44" s="20">
        <f t="shared" ref="E44:AJ44" si="34">-E30</f>
        <v>-2708.3333333333335</v>
      </c>
      <c r="F44" s="20">
        <f t="shared" si="34"/>
        <v>-2708.3333333333335</v>
      </c>
      <c r="G44" s="20">
        <f t="shared" si="34"/>
        <v>-2708.3333333333335</v>
      </c>
      <c r="H44" s="20">
        <f t="shared" si="34"/>
        <v>-2708.3333333333335</v>
      </c>
      <c r="I44" s="20">
        <f t="shared" si="34"/>
        <v>-2708.3333333333335</v>
      </c>
      <c r="J44" s="20">
        <f t="shared" si="34"/>
        <v>-2708.3333333333335</v>
      </c>
      <c r="K44" s="20">
        <f t="shared" si="34"/>
        <v>-2708.3333333333335</v>
      </c>
      <c r="L44" s="20">
        <f t="shared" si="34"/>
        <v>-2708.3333333333335</v>
      </c>
      <c r="M44" s="20">
        <f t="shared" si="34"/>
        <v>-2708.3333333333335</v>
      </c>
      <c r="N44" s="20">
        <f t="shared" si="34"/>
        <v>-2708.3333333333335</v>
      </c>
      <c r="O44" s="20">
        <f t="shared" si="34"/>
        <v>-2708.3333333333335</v>
      </c>
      <c r="P44" s="20">
        <f t="shared" si="34"/>
        <v>-2708.3333333333335</v>
      </c>
      <c r="Q44" s="20">
        <f t="shared" si="34"/>
        <v>-625</v>
      </c>
      <c r="R44" s="20">
        <f t="shared" si="34"/>
        <v>-625</v>
      </c>
      <c r="S44" s="20">
        <f t="shared" si="34"/>
        <v>-625</v>
      </c>
      <c r="T44" s="20">
        <f t="shared" si="34"/>
        <v>-625</v>
      </c>
      <c r="U44" s="20">
        <f t="shared" si="34"/>
        <v>-625</v>
      </c>
      <c r="V44" s="20">
        <f t="shared" si="34"/>
        <v>-625</v>
      </c>
      <c r="W44" s="20">
        <f t="shared" si="34"/>
        <v>-625</v>
      </c>
      <c r="X44" s="20">
        <f t="shared" si="34"/>
        <v>-625</v>
      </c>
      <c r="Y44" s="20">
        <f t="shared" si="34"/>
        <v>-625</v>
      </c>
      <c r="Z44" s="20">
        <f t="shared" si="34"/>
        <v>-625</v>
      </c>
      <c r="AA44" s="20">
        <f t="shared" si="34"/>
        <v>-625</v>
      </c>
      <c r="AB44" s="20">
        <f t="shared" si="34"/>
        <v>-625</v>
      </c>
      <c r="AC44" s="20">
        <f t="shared" si="34"/>
        <v>0</v>
      </c>
      <c r="AD44" s="20">
        <f t="shared" si="34"/>
        <v>0</v>
      </c>
      <c r="AE44" s="20">
        <f t="shared" si="34"/>
        <v>0</v>
      </c>
      <c r="AF44" s="20">
        <f t="shared" si="34"/>
        <v>0</v>
      </c>
      <c r="AG44" s="20">
        <f t="shared" si="34"/>
        <v>0</v>
      </c>
      <c r="AH44" s="20">
        <f t="shared" si="34"/>
        <v>0</v>
      </c>
      <c r="AI44" s="20">
        <f t="shared" si="34"/>
        <v>0</v>
      </c>
      <c r="AJ44" s="20">
        <f t="shared" si="34"/>
        <v>0</v>
      </c>
      <c r="AK44" s="20">
        <f t="shared" ref="AK44:BL44" si="35">-AK30</f>
        <v>0</v>
      </c>
      <c r="AL44" s="20">
        <f t="shared" si="35"/>
        <v>0</v>
      </c>
      <c r="AM44" s="20">
        <f t="shared" si="35"/>
        <v>0</v>
      </c>
      <c r="AN44" s="20">
        <f t="shared" si="35"/>
        <v>0</v>
      </c>
      <c r="AO44" s="20">
        <f t="shared" si="35"/>
        <v>0</v>
      </c>
      <c r="AP44" s="20">
        <f t="shared" si="35"/>
        <v>0</v>
      </c>
      <c r="AQ44" s="20">
        <f t="shared" si="35"/>
        <v>0</v>
      </c>
      <c r="AR44" s="20">
        <f t="shared" si="35"/>
        <v>0</v>
      </c>
      <c r="AS44" s="20">
        <f t="shared" si="35"/>
        <v>0</v>
      </c>
      <c r="AT44" s="20">
        <f t="shared" si="35"/>
        <v>0</v>
      </c>
      <c r="AU44" s="20">
        <f t="shared" si="35"/>
        <v>0</v>
      </c>
      <c r="AV44" s="20">
        <f t="shared" si="35"/>
        <v>0</v>
      </c>
      <c r="AW44" s="20">
        <f t="shared" si="35"/>
        <v>0</v>
      </c>
      <c r="AX44" s="20">
        <f t="shared" si="35"/>
        <v>0</v>
      </c>
      <c r="AY44" s="20">
        <f t="shared" si="35"/>
        <v>0</v>
      </c>
      <c r="AZ44" s="20">
        <f t="shared" si="35"/>
        <v>0</v>
      </c>
      <c r="BA44" s="20">
        <f t="shared" si="35"/>
        <v>-2708.3333333333335</v>
      </c>
      <c r="BB44" s="20">
        <f t="shared" si="35"/>
        <v>-2708.3333333333335</v>
      </c>
      <c r="BC44" s="20">
        <f t="shared" si="35"/>
        <v>-2708.3333333333335</v>
      </c>
      <c r="BD44" s="20">
        <f t="shared" si="35"/>
        <v>-2708.3333333333335</v>
      </c>
      <c r="BE44" s="20">
        <f t="shared" si="35"/>
        <v>-2708.3333333333335</v>
      </c>
      <c r="BF44" s="20">
        <f t="shared" si="35"/>
        <v>-2708.3333333333335</v>
      </c>
      <c r="BG44" s="20">
        <f t="shared" si="35"/>
        <v>-2708.3333333333335</v>
      </c>
      <c r="BH44" s="20">
        <f t="shared" si="35"/>
        <v>-2708.3333333333335</v>
      </c>
      <c r="BI44" s="20">
        <f t="shared" si="35"/>
        <v>-2708.3333333333335</v>
      </c>
      <c r="BJ44" s="20">
        <f t="shared" si="35"/>
        <v>-2708.3333333333335</v>
      </c>
      <c r="BK44" s="20">
        <f t="shared" si="35"/>
        <v>-2708.3333333333335</v>
      </c>
      <c r="BL44" s="20">
        <f t="shared" si="35"/>
        <v>-2708.3333333333335</v>
      </c>
    </row>
    <row r="45" spans="2:64" x14ac:dyDescent="0.35">
      <c r="B45" s="3" t="s">
        <v>299</v>
      </c>
      <c r="C45" s="18" t="s">
        <v>111</v>
      </c>
      <c r="D45" s="20">
        <f>SUM(E45:BL45)</f>
        <v>17000000</v>
      </c>
      <c r="E45" s="40">
        <f>IF(Inputs!$E$73=E$4,Inputs!$E$74,0)+IF(Inputs!$E$76=E$4,Inputs!$E$77,0)+IF(Inputs!$E$79=E$4,Inputs!$E$80,0)+IF(Inputs!$E$82=E$4,Inputs!$E$83,0)</f>
        <v>1000000</v>
      </c>
      <c r="F45" s="40">
        <f>IF(Inputs!$E$73=F$4,Inputs!$E$74,0)+IF(Inputs!$E$76=F$4,Inputs!$E$77,0)+IF(Inputs!$E$79=F$4,Inputs!$E$80,0)+IF(Inputs!$E$82=F$4,Inputs!$E$83,0)</f>
        <v>0</v>
      </c>
      <c r="G45" s="40">
        <f>IF(Inputs!$E$73=G$4,Inputs!$E$74,0)+IF(Inputs!$E$76=G$4,Inputs!$E$77,0)+IF(Inputs!$E$79=G$4,Inputs!$E$80,0)+IF(Inputs!$E$82=G$4,Inputs!$E$83,0)</f>
        <v>0</v>
      </c>
      <c r="H45" s="40">
        <f>IF(Inputs!$E$73=H$4,Inputs!$E$74,0)+IF(Inputs!$E$76=H$4,Inputs!$E$77,0)+IF(Inputs!$E$79=H$4,Inputs!$E$80,0)+IF(Inputs!$E$82=H$4,Inputs!$E$83,0)</f>
        <v>0</v>
      </c>
      <c r="I45" s="40">
        <f>IF(Inputs!$E$73=I$4,Inputs!$E$74,0)+IF(Inputs!$E$76=I$4,Inputs!$E$77,0)+IF(Inputs!$E$79=I$4,Inputs!$E$80,0)+IF(Inputs!$E$82=I$4,Inputs!$E$83,0)</f>
        <v>0</v>
      </c>
      <c r="J45" s="40">
        <f>IF(Inputs!$E$73=J$4,Inputs!$E$74,0)+IF(Inputs!$E$76=J$4,Inputs!$E$77,0)+IF(Inputs!$E$79=J$4,Inputs!$E$80,0)+IF(Inputs!$E$82=J$4,Inputs!$E$83,0)</f>
        <v>0</v>
      </c>
      <c r="K45" s="40">
        <f>IF(Inputs!$E$73=K$4,Inputs!$E$74,0)+IF(Inputs!$E$76=K$4,Inputs!$E$77,0)+IF(Inputs!$E$79=K$4,Inputs!$E$80,0)+IF(Inputs!$E$82=K$4,Inputs!$E$83,0)</f>
        <v>0</v>
      </c>
      <c r="L45" s="40">
        <f>IF(Inputs!$E$73=L$4,Inputs!$E$74,0)+IF(Inputs!$E$76=L$4,Inputs!$E$77,0)+IF(Inputs!$E$79=L$4,Inputs!$E$80,0)+IF(Inputs!$E$82=L$4,Inputs!$E$83,0)</f>
        <v>4000000</v>
      </c>
      <c r="M45" s="40">
        <f>IF(Inputs!$E$73=M$4,Inputs!$E$74,0)+IF(Inputs!$E$76=M$4,Inputs!$E$77,0)+IF(Inputs!$E$79=M$4,Inputs!$E$80,0)+IF(Inputs!$E$82=M$4,Inputs!$E$83,0)</f>
        <v>0</v>
      </c>
      <c r="N45" s="40">
        <f>IF(Inputs!$E$73=N$4,Inputs!$E$74,0)+IF(Inputs!$E$76=N$4,Inputs!$E$77,0)+IF(Inputs!$E$79=N$4,Inputs!$E$80,0)+IF(Inputs!$E$82=N$4,Inputs!$E$83,0)</f>
        <v>0</v>
      </c>
      <c r="O45" s="40">
        <f>IF(Inputs!$E$73=O$4,Inputs!$E$74,0)+IF(Inputs!$E$76=O$4,Inputs!$E$77,0)+IF(Inputs!$E$79=O$4,Inputs!$E$80,0)+IF(Inputs!$E$82=O$4,Inputs!$E$83,0)</f>
        <v>0</v>
      </c>
      <c r="P45" s="40">
        <f>IF(Inputs!$E$73=P$4,Inputs!$E$74,0)+IF(Inputs!$E$76=P$4,Inputs!$E$77,0)+IF(Inputs!$E$79=P$4,Inputs!$E$80,0)+IF(Inputs!$E$82=P$4,Inputs!$E$83,0)</f>
        <v>0</v>
      </c>
      <c r="Q45" s="40">
        <f>IF(Inputs!$E$73=Q$4,Inputs!$E$74,0)+IF(Inputs!$E$76=Q$4,Inputs!$E$77,0)+IF(Inputs!$E$79=Q$4,Inputs!$E$80,0)+IF(Inputs!$E$82=Q$4,Inputs!$E$83,0)</f>
        <v>0</v>
      </c>
      <c r="R45" s="40">
        <f>IF(Inputs!$E$73=R$4,Inputs!$E$74,0)+IF(Inputs!$E$76=R$4,Inputs!$E$77,0)+IF(Inputs!$E$79=R$4,Inputs!$E$80,0)+IF(Inputs!$E$82=R$4,Inputs!$E$83,0)</f>
        <v>0</v>
      </c>
      <c r="S45" s="40">
        <f>IF(Inputs!$E$73=S$4,Inputs!$E$74,0)+IF(Inputs!$E$76=S$4,Inputs!$E$77,0)+IF(Inputs!$E$79=S$4,Inputs!$E$80,0)+IF(Inputs!$E$82=S$4,Inputs!$E$83,0)</f>
        <v>0</v>
      </c>
      <c r="T45" s="40">
        <f>IF(Inputs!$E$73=T$4,Inputs!$E$74,0)+IF(Inputs!$E$76=T$4,Inputs!$E$77,0)+IF(Inputs!$E$79=T$4,Inputs!$E$80,0)+IF(Inputs!$E$82=T$4,Inputs!$E$83,0)</f>
        <v>0</v>
      </c>
      <c r="U45" s="40">
        <f>IF(Inputs!$E$73=U$4,Inputs!$E$74,0)+IF(Inputs!$E$76=U$4,Inputs!$E$77,0)+IF(Inputs!$E$79=U$4,Inputs!$E$80,0)+IF(Inputs!$E$82=U$4,Inputs!$E$83,0)</f>
        <v>0</v>
      </c>
      <c r="V45" s="40">
        <f>IF(Inputs!$E$73=V$4,Inputs!$E$74,0)+IF(Inputs!$E$76=V$4,Inputs!$E$77,0)+IF(Inputs!$E$79=V$4,Inputs!$E$80,0)+IF(Inputs!$E$82=V$4,Inputs!$E$83,0)</f>
        <v>0</v>
      </c>
      <c r="W45" s="40">
        <f>IF(Inputs!$E$73=W$4,Inputs!$E$74,0)+IF(Inputs!$E$76=W$4,Inputs!$E$77,0)+IF(Inputs!$E$79=W$4,Inputs!$E$80,0)+IF(Inputs!$E$82=W$4,Inputs!$E$83,0)</f>
        <v>12000000</v>
      </c>
      <c r="X45" s="40">
        <f>IF(Inputs!$E$73=X$4,Inputs!$E$74,0)+IF(Inputs!$E$76=X$4,Inputs!$E$77,0)+IF(Inputs!$E$79=X$4,Inputs!$E$80,0)+IF(Inputs!$E$82=X$4,Inputs!$E$83,0)</f>
        <v>0</v>
      </c>
      <c r="Y45" s="40">
        <f>IF(Inputs!$E$73=Y$4,Inputs!$E$74,0)+IF(Inputs!$E$76=Y$4,Inputs!$E$77,0)+IF(Inputs!$E$79=Y$4,Inputs!$E$80,0)+IF(Inputs!$E$82=Y$4,Inputs!$E$83,0)</f>
        <v>0</v>
      </c>
      <c r="Z45" s="40">
        <f>IF(Inputs!$E$73=Z$4,Inputs!$E$74,0)+IF(Inputs!$E$76=Z$4,Inputs!$E$77,0)+IF(Inputs!$E$79=Z$4,Inputs!$E$80,0)+IF(Inputs!$E$82=Z$4,Inputs!$E$83,0)</f>
        <v>0</v>
      </c>
      <c r="AA45" s="40">
        <f>IF(Inputs!$E$73=AA$4,Inputs!$E$74,0)+IF(Inputs!$E$76=AA$4,Inputs!$E$77,0)+IF(Inputs!$E$79=AA$4,Inputs!$E$80,0)+IF(Inputs!$E$82=AA$4,Inputs!$E$83,0)</f>
        <v>0</v>
      </c>
      <c r="AB45" s="40">
        <f>IF(Inputs!$E$73=AB$4,Inputs!$E$74,0)+IF(Inputs!$E$76=AB$4,Inputs!$E$77,0)+IF(Inputs!$E$79=AB$4,Inputs!$E$80,0)+IF(Inputs!$E$82=AB$4,Inputs!$E$83,0)</f>
        <v>0</v>
      </c>
      <c r="AC45" s="40">
        <f>IF(Inputs!$E$73=AC$4,Inputs!$E$74,0)+IF(Inputs!$E$76=AC$4,Inputs!$E$77,0)+IF(Inputs!$E$79=AC$4,Inputs!$E$80,0)+IF(Inputs!$E$82=AC$4,Inputs!$E$83,0)</f>
        <v>0</v>
      </c>
      <c r="AD45" s="40">
        <f>IF(Inputs!$E$73=AD$4,Inputs!$E$74,0)+IF(Inputs!$E$76=AD$4,Inputs!$E$77,0)+IF(Inputs!$E$79=AD$4,Inputs!$E$80,0)+IF(Inputs!$E$82=AD$4,Inputs!$E$83,0)</f>
        <v>0</v>
      </c>
      <c r="AE45" s="40">
        <f>IF(Inputs!$E$73=AE$4,Inputs!$E$74,0)+IF(Inputs!$E$76=AE$4,Inputs!$E$77,0)+IF(Inputs!$E$79=AE$4,Inputs!$E$80,0)+IF(Inputs!$E$82=AE$4,Inputs!$E$83,0)</f>
        <v>0</v>
      </c>
      <c r="AF45" s="40">
        <f>IF(Inputs!$E$73=AF$4,Inputs!$E$74,0)+IF(Inputs!$E$76=AF$4,Inputs!$E$77,0)+IF(Inputs!$E$79=AF$4,Inputs!$E$80,0)+IF(Inputs!$E$82=AF$4,Inputs!$E$83,0)</f>
        <v>0</v>
      </c>
      <c r="AG45" s="40">
        <f>IF(Inputs!$E$73=AG$4,Inputs!$E$74,0)+IF(Inputs!$E$76=AG$4,Inputs!$E$77,0)+IF(Inputs!$E$79=AG$4,Inputs!$E$80,0)+IF(Inputs!$E$82=AG$4,Inputs!$E$83,0)</f>
        <v>0</v>
      </c>
      <c r="AH45" s="40">
        <f>IF(Inputs!$E$73=AH$4,Inputs!$E$74,0)+IF(Inputs!$E$76=AH$4,Inputs!$E$77,0)+IF(Inputs!$E$79=AH$4,Inputs!$E$80,0)+IF(Inputs!$E$82=AH$4,Inputs!$E$83,0)</f>
        <v>0</v>
      </c>
      <c r="AI45" s="40">
        <f>IF(Inputs!$E$73=AI$4,Inputs!$E$74,0)+IF(Inputs!$E$76=AI$4,Inputs!$E$77,0)+IF(Inputs!$E$79=AI$4,Inputs!$E$80,0)+IF(Inputs!$E$82=AI$4,Inputs!$E$83,0)</f>
        <v>0</v>
      </c>
      <c r="AJ45" s="40">
        <f>IF(Inputs!$E$73=AJ$4,Inputs!$E$74,0)+IF(Inputs!$E$76=AJ$4,Inputs!$E$77,0)+IF(Inputs!$E$79=AJ$4,Inputs!$E$80,0)+IF(Inputs!$E$82=AJ$4,Inputs!$E$83,0)</f>
        <v>0</v>
      </c>
      <c r="AK45" s="40">
        <f>IF(Inputs!$E$73=AK$4,Inputs!$E$74,0)+IF(Inputs!$E$76=AK$4,Inputs!$E$77,0)+IF(Inputs!$E$79=AK$4,Inputs!$E$80,0)+IF(Inputs!$E$82=AK$4,Inputs!$E$83,0)</f>
        <v>0</v>
      </c>
      <c r="AL45" s="40">
        <f>IF(Inputs!$E$73=AL$4,Inputs!$E$74,0)+IF(Inputs!$E$76=AL$4,Inputs!$E$77,0)+IF(Inputs!$E$79=AL$4,Inputs!$E$80,0)+IF(Inputs!$E$82=AL$4,Inputs!$E$83,0)</f>
        <v>0</v>
      </c>
      <c r="AM45" s="40">
        <f>IF(Inputs!$E$73=AM$4,Inputs!$E$74,0)+IF(Inputs!$E$76=AM$4,Inputs!$E$77,0)+IF(Inputs!$E$79=AM$4,Inputs!$E$80,0)+IF(Inputs!$E$82=AM$4,Inputs!$E$83,0)</f>
        <v>0</v>
      </c>
      <c r="AN45" s="40">
        <f>IF(Inputs!$E$73=AN$4,Inputs!$E$74,0)+IF(Inputs!$E$76=AN$4,Inputs!$E$77,0)+IF(Inputs!$E$79=AN$4,Inputs!$E$80,0)+IF(Inputs!$E$82=AN$4,Inputs!$E$83,0)</f>
        <v>0</v>
      </c>
      <c r="AO45" s="40">
        <f>IF(Inputs!$E$73=AO$4,Inputs!$E$74,0)+IF(Inputs!$E$76=AO$4,Inputs!$E$77,0)+IF(Inputs!$E$79=AO$4,Inputs!$E$80,0)+IF(Inputs!$E$82=AO$4,Inputs!$E$83,0)</f>
        <v>0</v>
      </c>
      <c r="AP45" s="40">
        <f>IF(Inputs!$E$73=AP$4,Inputs!$E$74,0)+IF(Inputs!$E$76=AP$4,Inputs!$E$77,0)+IF(Inputs!$E$79=AP$4,Inputs!$E$80,0)+IF(Inputs!$E$82=AP$4,Inputs!$E$83,0)</f>
        <v>0</v>
      </c>
      <c r="AQ45" s="40">
        <f>IF(Inputs!$E$73=AQ$4,Inputs!$E$74,0)+IF(Inputs!$E$76=AQ$4,Inputs!$E$77,0)+IF(Inputs!$E$79=AQ$4,Inputs!$E$80,0)+IF(Inputs!$E$82=AQ$4,Inputs!$E$83,0)</f>
        <v>0</v>
      </c>
      <c r="AR45" s="40">
        <f>IF(Inputs!$E$73=AR$4,Inputs!$E$74,0)+IF(Inputs!$E$76=AR$4,Inputs!$E$77,0)+IF(Inputs!$E$79=AR$4,Inputs!$E$80,0)+IF(Inputs!$E$82=AR$4,Inputs!$E$83,0)</f>
        <v>0</v>
      </c>
      <c r="AS45" s="40">
        <f>IF(Inputs!$E$73=AS$4,Inputs!$E$74,0)+IF(Inputs!$E$76=AS$4,Inputs!$E$77,0)+IF(Inputs!$E$79=AS$4,Inputs!$E$80,0)+IF(Inputs!$E$82=AS$4,Inputs!$E$83,0)</f>
        <v>0</v>
      </c>
      <c r="AT45" s="40">
        <f>IF(Inputs!$E$73=AT$4,Inputs!$E$74,0)+IF(Inputs!$E$76=AT$4,Inputs!$E$77,0)+IF(Inputs!$E$79=AT$4,Inputs!$E$80,0)+IF(Inputs!$E$82=AT$4,Inputs!$E$83,0)</f>
        <v>0</v>
      </c>
      <c r="AU45" s="40">
        <f>IF(Inputs!$E$73=AU$4,Inputs!$E$74,0)+IF(Inputs!$E$76=AU$4,Inputs!$E$77,0)+IF(Inputs!$E$79=AU$4,Inputs!$E$80,0)+IF(Inputs!$E$82=AU$4,Inputs!$E$83,0)</f>
        <v>0</v>
      </c>
      <c r="AV45" s="40">
        <f>IF(Inputs!$E$73=AV$4,Inputs!$E$74,0)+IF(Inputs!$E$76=AV$4,Inputs!$E$77,0)+IF(Inputs!$E$79=AV$4,Inputs!$E$80,0)+IF(Inputs!$E$82=AV$4,Inputs!$E$83,0)</f>
        <v>0</v>
      </c>
      <c r="AW45" s="40">
        <f>IF(Inputs!$E$73=AW$4,Inputs!$E$74,0)+IF(Inputs!$E$76=AW$4,Inputs!$E$77,0)+IF(Inputs!$E$79=AW$4,Inputs!$E$80,0)+IF(Inputs!$E$82=AW$4,Inputs!$E$83,0)</f>
        <v>0</v>
      </c>
      <c r="AX45" s="40">
        <f>IF(Inputs!$E$73=AX$4,Inputs!$E$74,0)+IF(Inputs!$E$76=AX$4,Inputs!$E$77,0)+IF(Inputs!$E$79=AX$4,Inputs!$E$80,0)+IF(Inputs!$E$82=AX$4,Inputs!$E$83,0)</f>
        <v>0</v>
      </c>
      <c r="AY45" s="40">
        <f>IF(Inputs!$E$73=AY$4,Inputs!$E$74,0)+IF(Inputs!$E$76=AY$4,Inputs!$E$77,0)+IF(Inputs!$E$79=AY$4,Inputs!$E$80,0)+IF(Inputs!$E$82=AY$4,Inputs!$E$83,0)</f>
        <v>0</v>
      </c>
      <c r="AZ45" s="40">
        <f>IF(Inputs!$E$73=AZ$4,Inputs!$E$74,0)+IF(Inputs!$E$76=AZ$4,Inputs!$E$77,0)+IF(Inputs!$E$79=AZ$4,Inputs!$E$80,0)+IF(Inputs!$E$82=AZ$4,Inputs!$E$83,0)</f>
        <v>0</v>
      </c>
      <c r="BA45" s="40">
        <f>IF(Inputs!$E$73=BA$4,Inputs!$E$74,0)+IF(Inputs!$E$76=BA$4,Inputs!$E$77,0)+IF(Inputs!$E$79=BA$4,Inputs!$E$80,0)+IF(Inputs!$E$82=BA$4,Inputs!$E$83,0)</f>
        <v>0</v>
      </c>
      <c r="BB45" s="40">
        <f>IF(Inputs!$E$73=BB$4,Inputs!$E$74,0)+IF(Inputs!$E$76=BB$4,Inputs!$E$77,0)+IF(Inputs!$E$79=BB$4,Inputs!$E$80,0)+IF(Inputs!$E$82=BB$4,Inputs!$E$83,0)</f>
        <v>0</v>
      </c>
      <c r="BC45" s="40">
        <f>IF(Inputs!$E$73=BC$4,Inputs!$E$74,0)+IF(Inputs!$E$76=BC$4,Inputs!$E$77,0)+IF(Inputs!$E$79=BC$4,Inputs!$E$80,0)+IF(Inputs!$E$82=BC$4,Inputs!$E$83,0)</f>
        <v>0</v>
      </c>
      <c r="BD45" s="40">
        <f>IF(Inputs!$E$73=BD$4,Inputs!$E$74,0)+IF(Inputs!$E$76=BD$4,Inputs!$E$77,0)+IF(Inputs!$E$79=BD$4,Inputs!$E$80,0)+IF(Inputs!$E$82=BD$4,Inputs!$E$83,0)</f>
        <v>0</v>
      </c>
      <c r="BE45" s="40">
        <f>IF(Inputs!$E$73=BE$4,Inputs!$E$74,0)+IF(Inputs!$E$76=BE$4,Inputs!$E$77,0)+IF(Inputs!$E$79=BE$4,Inputs!$E$80,0)+IF(Inputs!$E$82=BE$4,Inputs!$E$83,0)</f>
        <v>0</v>
      </c>
      <c r="BF45" s="40">
        <f>IF(Inputs!$E$73=BF$4,Inputs!$E$74,0)+IF(Inputs!$E$76=BF$4,Inputs!$E$77,0)+IF(Inputs!$E$79=BF$4,Inputs!$E$80,0)+IF(Inputs!$E$82=BF$4,Inputs!$E$83,0)</f>
        <v>0</v>
      </c>
      <c r="BG45" s="40">
        <f>IF(Inputs!$E$73=BG$4,Inputs!$E$74,0)+IF(Inputs!$E$76=BG$4,Inputs!$E$77,0)+IF(Inputs!$E$79=BG$4,Inputs!$E$80,0)+IF(Inputs!$E$82=BG$4,Inputs!$E$83,0)</f>
        <v>0</v>
      </c>
      <c r="BH45" s="40">
        <f>IF(Inputs!$E$73=BH$4,Inputs!$E$74,0)+IF(Inputs!$E$76=BH$4,Inputs!$E$77,0)+IF(Inputs!$E$79=BH$4,Inputs!$E$80,0)+IF(Inputs!$E$82=BH$4,Inputs!$E$83,0)</f>
        <v>0</v>
      </c>
      <c r="BI45" s="40">
        <f>IF(Inputs!$E$73=BI$4,Inputs!$E$74,0)+IF(Inputs!$E$76=BI$4,Inputs!$E$77,0)+IF(Inputs!$E$79=BI$4,Inputs!$E$80,0)+IF(Inputs!$E$82=BI$4,Inputs!$E$83,0)</f>
        <v>0</v>
      </c>
      <c r="BJ45" s="40">
        <f>IF(Inputs!$E$73=BJ$4,Inputs!$E$74,0)+IF(Inputs!$E$76=BJ$4,Inputs!$E$77,0)+IF(Inputs!$E$79=BJ$4,Inputs!$E$80,0)+IF(Inputs!$E$82=BJ$4,Inputs!$E$83,0)</f>
        <v>0</v>
      </c>
      <c r="BK45" s="40">
        <f>IF(Inputs!$E$73=BK$4,Inputs!$E$74,0)+IF(Inputs!$E$76=BK$4,Inputs!$E$77,0)+IF(Inputs!$E$79=BK$4,Inputs!$E$80,0)+IF(Inputs!$E$82=BK$4,Inputs!$E$83,0)</f>
        <v>0</v>
      </c>
      <c r="BL45" s="40">
        <f>IF(Inputs!$E$73=BL$4,Inputs!$E$74,0)+IF(Inputs!$E$76=BL$4,Inputs!$E$77,0)+IF(Inputs!$E$79=BL$4,Inputs!$E$80,0)+IF(Inputs!$E$82=BL$4,Inputs!$E$83,0)</f>
        <v>0</v>
      </c>
    </row>
    <row r="46" spans="2:64" x14ac:dyDescent="0.35">
      <c r="B46" s="4" t="s">
        <v>300</v>
      </c>
      <c r="C46" s="18" t="s">
        <v>111</v>
      </c>
      <c r="D46" s="56">
        <f>SUM(E46:BL46)</f>
        <v>15911204.511486808</v>
      </c>
      <c r="E46" s="56">
        <f t="shared" ref="E46:AJ46" si="36">E43+E44+E45</f>
        <v>943982.45075814484</v>
      </c>
      <c r="F46" s="56">
        <f t="shared" si="36"/>
        <v>-62441.555819511377</v>
      </c>
      <c r="G46" s="56">
        <f t="shared" si="36"/>
        <v>-70133.105531244742</v>
      </c>
      <c r="H46" s="56">
        <f t="shared" si="36"/>
        <v>-107741.95423898166</v>
      </c>
      <c r="I46" s="56">
        <f t="shared" si="36"/>
        <v>-107567.47992735935</v>
      </c>
      <c r="J46" s="56">
        <f t="shared" si="36"/>
        <v>-98692.72839267856</v>
      </c>
      <c r="K46" s="56">
        <f t="shared" si="36"/>
        <v>-98816.094303169419</v>
      </c>
      <c r="L46" s="56">
        <f t="shared" si="36"/>
        <v>3825649.9089741488</v>
      </c>
      <c r="M46" s="56">
        <f t="shared" si="36"/>
        <v>-153281.43157944642</v>
      </c>
      <c r="N46" s="56">
        <f t="shared" si="36"/>
        <v>-204620.20511589653</v>
      </c>
      <c r="O46" s="56">
        <f t="shared" si="36"/>
        <v>-201270.67768984864</v>
      </c>
      <c r="P46" s="56">
        <f t="shared" si="36"/>
        <v>-207757.58000629116</v>
      </c>
      <c r="Q46" s="56">
        <f t="shared" si="36"/>
        <v>-260538.78942140355</v>
      </c>
      <c r="R46" s="56">
        <f t="shared" si="36"/>
        <v>-238354.42547548344</v>
      </c>
      <c r="S46" s="56">
        <f t="shared" si="36"/>
        <v>-234090.12555018111</v>
      </c>
      <c r="T46" s="56">
        <f t="shared" si="36"/>
        <v>-229566.83664810879</v>
      </c>
      <c r="U46" s="56">
        <f t="shared" si="36"/>
        <v>-224832.06479058295</v>
      </c>
      <c r="V46" s="56">
        <f t="shared" si="36"/>
        <v>-219897.08123220361</v>
      </c>
      <c r="W46" s="56">
        <f t="shared" si="36"/>
        <v>11650146.429397039</v>
      </c>
      <c r="X46" s="56">
        <f t="shared" si="36"/>
        <v>-203778.71704789376</v>
      </c>
      <c r="Y46" s="56">
        <f t="shared" si="36"/>
        <v>-198302.50226419541</v>
      </c>
      <c r="Z46" s="56">
        <f t="shared" si="36"/>
        <v>-192950.28651375763</v>
      </c>
      <c r="AA46" s="56">
        <f t="shared" si="36"/>
        <v>-187387.07643915227</v>
      </c>
      <c r="AB46" s="56">
        <f t="shared" si="36"/>
        <v>-207881.35883280876</v>
      </c>
      <c r="AC46" s="56">
        <f t="shared" si="36"/>
        <v>-234661.22886806604</v>
      </c>
      <c r="AD46" s="56">
        <f t="shared" si="36"/>
        <v>-223233.45755738291</v>
      </c>
      <c r="AE46" s="56">
        <f t="shared" si="36"/>
        <v>-210920.98245400153</v>
      </c>
      <c r="AF46" s="56">
        <f t="shared" si="36"/>
        <v>-197633.15789134082</v>
      </c>
      <c r="AG46" s="56">
        <f t="shared" si="36"/>
        <v>-183268.81995332864</v>
      </c>
      <c r="AH46" s="56">
        <f t="shared" si="36"/>
        <v>-167717.30951337467</v>
      </c>
      <c r="AI46" s="56">
        <f t="shared" si="36"/>
        <v>-150855.34471488479</v>
      </c>
      <c r="AJ46" s="56">
        <f t="shared" si="36"/>
        <v>-132547.8210930964</v>
      </c>
      <c r="AK46" s="56">
        <f t="shared" ref="AK46:BP46" si="37">AK43+AK44+AK45</f>
        <v>-112644.43736416312</v>
      </c>
      <c r="AL46" s="56">
        <f t="shared" si="37"/>
        <v>-90980.222529718318</v>
      </c>
      <c r="AM46" s="56">
        <f t="shared" si="37"/>
        <v>-67371.859495885816</v>
      </c>
      <c r="AN46" s="56">
        <f t="shared" si="37"/>
        <v>-41618.38363131028</v>
      </c>
      <c r="AO46" s="56">
        <f t="shared" si="37"/>
        <v>-67988.334492553229</v>
      </c>
      <c r="AP46" s="56">
        <f t="shared" si="37"/>
        <v>-51209.851363934773</v>
      </c>
      <c r="AQ46" s="56">
        <f t="shared" si="37"/>
        <v>-33343.161507438752</v>
      </c>
      <c r="AR46" s="56">
        <f t="shared" si="37"/>
        <v>-14308.852866681904</v>
      </c>
      <c r="AS46" s="56">
        <f t="shared" si="37"/>
        <v>5979.0715528081146</v>
      </c>
      <c r="AT46" s="56">
        <f t="shared" si="37"/>
        <v>27613.792717299126</v>
      </c>
      <c r="AU46" s="56">
        <f t="shared" si="37"/>
        <v>50696.332315631007</v>
      </c>
      <c r="AV46" s="56">
        <f t="shared" si="37"/>
        <v>75336.272971635946</v>
      </c>
      <c r="AW46" s="56">
        <f t="shared" si="37"/>
        <v>101652.54824461987</v>
      </c>
      <c r="AX46" s="56">
        <f t="shared" si="37"/>
        <v>129774.30938564397</v>
      </c>
      <c r="AY46" s="56">
        <f t="shared" si="37"/>
        <v>159841.87652426158</v>
      </c>
      <c r="AZ46" s="56">
        <f t="shared" si="37"/>
        <v>192007.7827396013</v>
      </c>
      <c r="BA46" s="56">
        <f t="shared" si="37"/>
        <v>204558.90611183777</v>
      </c>
      <c r="BB46" s="56">
        <f t="shared" si="37"/>
        <v>230389.00742107411</v>
      </c>
      <c r="BC46" s="56">
        <f t="shared" si="37"/>
        <v>257366.0275239241</v>
      </c>
      <c r="BD46" s="56">
        <f t="shared" si="37"/>
        <v>285540.53461747314</v>
      </c>
      <c r="BE46" s="56">
        <f t="shared" si="37"/>
        <v>314965.35014144075</v>
      </c>
      <c r="BF46" s="56">
        <f t="shared" si="37"/>
        <v>345695.65024580032</v>
      </c>
      <c r="BG46" s="56">
        <f t="shared" si="37"/>
        <v>377789.07187311148</v>
      </c>
      <c r="BH46" s="56">
        <f t="shared" si="37"/>
        <v>411305.82366734702</v>
      </c>
      <c r="BI46" s="56">
        <f t="shared" si="37"/>
        <v>446308.80193080957</v>
      </c>
      <c r="BJ46" s="56">
        <f t="shared" si="37"/>
        <v>482863.71186097711</v>
      </c>
      <c r="BK46" s="56">
        <f t="shared" si="37"/>
        <v>521039.19430985878</v>
      </c>
      <c r="BL46" s="56">
        <f t="shared" si="37"/>
        <v>560906.95831967832</v>
      </c>
    </row>
    <row r="47" spans="2:64" x14ac:dyDescent="0.35">
      <c r="B47" s="3" t="s">
        <v>301</v>
      </c>
      <c r="C47" s="18" t="s">
        <v>111</v>
      </c>
      <c r="D47" s="20">
        <f>E47</f>
        <v>25000</v>
      </c>
      <c r="E47" s="40">
        <f>Inputs!$E$68</f>
        <v>25000</v>
      </c>
      <c r="F47" s="20">
        <f t="shared" ref="F47:AK47" si="38">E48</f>
        <v>968982.45075814484</v>
      </c>
      <c r="G47" s="20">
        <f t="shared" si="38"/>
        <v>906540.89493863343</v>
      </c>
      <c r="H47" s="20">
        <f t="shared" si="38"/>
        <v>836407.78940738866</v>
      </c>
      <c r="I47" s="20">
        <f t="shared" si="38"/>
        <v>728665.83516840695</v>
      </c>
      <c r="J47" s="20">
        <f t="shared" si="38"/>
        <v>621098.35524104757</v>
      </c>
      <c r="K47" s="20">
        <f t="shared" si="38"/>
        <v>522405.62684836902</v>
      </c>
      <c r="L47" s="20">
        <f t="shared" si="38"/>
        <v>423589.53254519962</v>
      </c>
      <c r="M47" s="20">
        <f t="shared" si="38"/>
        <v>4249239.441519348</v>
      </c>
      <c r="N47" s="20">
        <f t="shared" si="38"/>
        <v>4095958.0099399015</v>
      </c>
      <c r="O47" s="20">
        <f t="shared" si="38"/>
        <v>3891337.8048240049</v>
      </c>
      <c r="P47" s="20">
        <f t="shared" si="38"/>
        <v>3690067.1271341564</v>
      </c>
      <c r="Q47" s="20">
        <f t="shared" si="38"/>
        <v>3482309.5471278653</v>
      </c>
      <c r="R47" s="20">
        <f t="shared" si="38"/>
        <v>3221770.7577064615</v>
      </c>
      <c r="S47" s="20">
        <f t="shared" si="38"/>
        <v>2983416.3322309782</v>
      </c>
      <c r="T47" s="20">
        <f t="shared" si="38"/>
        <v>2749326.206680797</v>
      </c>
      <c r="U47" s="20">
        <f t="shared" si="38"/>
        <v>2519759.3700326881</v>
      </c>
      <c r="V47" s="20">
        <f t="shared" si="38"/>
        <v>2294927.3052421054</v>
      </c>
      <c r="W47" s="20">
        <f t="shared" si="38"/>
        <v>2075030.2240099018</v>
      </c>
      <c r="X47" s="20">
        <f t="shared" si="38"/>
        <v>13725176.65340694</v>
      </c>
      <c r="Y47" s="20">
        <f t="shared" si="38"/>
        <v>13521397.936359046</v>
      </c>
      <c r="Z47" s="20">
        <f t="shared" si="38"/>
        <v>13323095.43409485</v>
      </c>
      <c r="AA47" s="20">
        <f t="shared" si="38"/>
        <v>13130145.147581093</v>
      </c>
      <c r="AB47" s="20">
        <f t="shared" si="38"/>
        <v>12942758.071141941</v>
      </c>
      <c r="AC47" s="20">
        <f t="shared" si="38"/>
        <v>12734876.712309133</v>
      </c>
      <c r="AD47" s="20">
        <f t="shared" si="38"/>
        <v>12500215.483441068</v>
      </c>
      <c r="AE47" s="20">
        <f t="shared" si="38"/>
        <v>12276982.025883686</v>
      </c>
      <c r="AF47" s="20">
        <f t="shared" si="38"/>
        <v>12066061.043429684</v>
      </c>
      <c r="AG47" s="20">
        <f t="shared" si="38"/>
        <v>11868427.885538343</v>
      </c>
      <c r="AH47" s="20">
        <f t="shared" si="38"/>
        <v>11685159.065585015</v>
      </c>
      <c r="AI47" s="20">
        <f t="shared" si="38"/>
        <v>11517441.75607164</v>
      </c>
      <c r="AJ47" s="20">
        <f t="shared" si="38"/>
        <v>11366586.411356755</v>
      </c>
      <c r="AK47" s="20">
        <f t="shared" si="38"/>
        <v>11234038.590263657</v>
      </c>
      <c r="AL47" s="20">
        <f t="shared" ref="AL47:BL47" si="39">AK48</f>
        <v>11121394.152899494</v>
      </c>
      <c r="AM47" s="20">
        <f t="shared" si="39"/>
        <v>11030413.930369776</v>
      </c>
      <c r="AN47" s="20">
        <f t="shared" si="39"/>
        <v>10963042.07087389</v>
      </c>
      <c r="AO47" s="20">
        <f t="shared" si="39"/>
        <v>10921423.687242581</v>
      </c>
      <c r="AP47" s="20">
        <f t="shared" si="39"/>
        <v>10853435.352750028</v>
      </c>
      <c r="AQ47" s="20">
        <f t="shared" si="39"/>
        <v>10802225.501386093</v>
      </c>
      <c r="AR47" s="20">
        <f t="shared" si="39"/>
        <v>10768882.339878654</v>
      </c>
      <c r="AS47" s="20">
        <f t="shared" si="39"/>
        <v>10754573.487011973</v>
      </c>
      <c r="AT47" s="20">
        <f t="shared" si="39"/>
        <v>10760552.55856478</v>
      </c>
      <c r="AU47" s="20">
        <f t="shared" si="39"/>
        <v>10788166.351282079</v>
      </c>
      <c r="AV47" s="20">
        <f t="shared" si="39"/>
        <v>10838862.68359771</v>
      </c>
      <c r="AW47" s="20">
        <f t="shared" si="39"/>
        <v>10914198.956569346</v>
      </c>
      <c r="AX47" s="20">
        <f t="shared" si="39"/>
        <v>11015851.504813965</v>
      </c>
      <c r="AY47" s="20">
        <f t="shared" si="39"/>
        <v>11145625.81419961</v>
      </c>
      <c r="AZ47" s="20">
        <f t="shared" si="39"/>
        <v>11305467.690723872</v>
      </c>
      <c r="BA47" s="20">
        <f t="shared" si="39"/>
        <v>11497475.473463474</v>
      </c>
      <c r="BB47" s="20">
        <f t="shared" si="39"/>
        <v>11702034.379575312</v>
      </c>
      <c r="BC47" s="20">
        <f t="shared" si="39"/>
        <v>11932423.386996387</v>
      </c>
      <c r="BD47" s="20">
        <f t="shared" si="39"/>
        <v>12189789.41452031</v>
      </c>
      <c r="BE47" s="20">
        <f t="shared" si="39"/>
        <v>12475329.949137783</v>
      </c>
      <c r="BF47" s="20">
        <f t="shared" si="39"/>
        <v>12790295.299279224</v>
      </c>
      <c r="BG47" s="20">
        <f t="shared" si="39"/>
        <v>13135990.949525025</v>
      </c>
      <c r="BH47" s="20">
        <f t="shared" si="39"/>
        <v>13513780.021398136</v>
      </c>
      <c r="BI47" s="20">
        <f t="shared" si="39"/>
        <v>13925085.845065484</v>
      </c>
      <c r="BJ47" s="20">
        <f t="shared" si="39"/>
        <v>14371394.646996293</v>
      </c>
      <c r="BK47" s="20">
        <f t="shared" si="39"/>
        <v>14854258.35885727</v>
      </c>
      <c r="BL47" s="20">
        <f t="shared" si="39"/>
        <v>15375297.553167129</v>
      </c>
    </row>
    <row r="48" spans="2:64" x14ac:dyDescent="0.35">
      <c r="B48" s="4" t="s">
        <v>302</v>
      </c>
      <c r="C48" s="18" t="s">
        <v>111</v>
      </c>
      <c r="D48" s="56">
        <f>BL48</f>
        <v>15936204.511486808</v>
      </c>
      <c r="E48" s="56">
        <f t="shared" ref="E48:AJ48" si="40">E47+E46</f>
        <v>968982.45075814484</v>
      </c>
      <c r="F48" s="56">
        <f t="shared" si="40"/>
        <v>906540.89493863343</v>
      </c>
      <c r="G48" s="56">
        <f t="shared" si="40"/>
        <v>836407.78940738866</v>
      </c>
      <c r="H48" s="56">
        <f t="shared" si="40"/>
        <v>728665.83516840695</v>
      </c>
      <c r="I48" s="56">
        <f t="shared" si="40"/>
        <v>621098.35524104757</v>
      </c>
      <c r="J48" s="56">
        <f t="shared" si="40"/>
        <v>522405.62684836902</v>
      </c>
      <c r="K48" s="56">
        <f t="shared" si="40"/>
        <v>423589.53254519962</v>
      </c>
      <c r="L48" s="56">
        <f t="shared" si="40"/>
        <v>4249239.441519348</v>
      </c>
      <c r="M48" s="56">
        <f t="shared" si="40"/>
        <v>4095958.0099399015</v>
      </c>
      <c r="N48" s="56">
        <f t="shared" si="40"/>
        <v>3891337.8048240049</v>
      </c>
      <c r="O48" s="56">
        <f t="shared" si="40"/>
        <v>3690067.1271341564</v>
      </c>
      <c r="P48" s="56">
        <f t="shared" si="40"/>
        <v>3482309.5471278653</v>
      </c>
      <c r="Q48" s="56">
        <f t="shared" si="40"/>
        <v>3221770.7577064615</v>
      </c>
      <c r="R48" s="56">
        <f t="shared" si="40"/>
        <v>2983416.3322309782</v>
      </c>
      <c r="S48" s="56">
        <f t="shared" si="40"/>
        <v>2749326.206680797</v>
      </c>
      <c r="T48" s="56">
        <f t="shared" si="40"/>
        <v>2519759.3700326881</v>
      </c>
      <c r="U48" s="56">
        <f t="shared" si="40"/>
        <v>2294927.3052421054</v>
      </c>
      <c r="V48" s="56">
        <f t="shared" si="40"/>
        <v>2075030.2240099018</v>
      </c>
      <c r="W48" s="56">
        <f t="shared" si="40"/>
        <v>13725176.65340694</v>
      </c>
      <c r="X48" s="56">
        <f t="shared" si="40"/>
        <v>13521397.936359046</v>
      </c>
      <c r="Y48" s="56">
        <f t="shared" si="40"/>
        <v>13323095.43409485</v>
      </c>
      <c r="Z48" s="56">
        <f t="shared" si="40"/>
        <v>13130145.147581093</v>
      </c>
      <c r="AA48" s="56">
        <f t="shared" si="40"/>
        <v>12942758.071141941</v>
      </c>
      <c r="AB48" s="56">
        <f t="shared" si="40"/>
        <v>12734876.712309133</v>
      </c>
      <c r="AC48" s="56">
        <f t="shared" si="40"/>
        <v>12500215.483441068</v>
      </c>
      <c r="AD48" s="56">
        <f t="shared" si="40"/>
        <v>12276982.025883686</v>
      </c>
      <c r="AE48" s="56">
        <f t="shared" si="40"/>
        <v>12066061.043429684</v>
      </c>
      <c r="AF48" s="56">
        <f t="shared" si="40"/>
        <v>11868427.885538343</v>
      </c>
      <c r="AG48" s="56">
        <f t="shared" si="40"/>
        <v>11685159.065585015</v>
      </c>
      <c r="AH48" s="56">
        <f t="shared" si="40"/>
        <v>11517441.75607164</v>
      </c>
      <c r="AI48" s="56">
        <f t="shared" si="40"/>
        <v>11366586.411356755</v>
      </c>
      <c r="AJ48" s="56">
        <f t="shared" si="40"/>
        <v>11234038.590263657</v>
      </c>
      <c r="AK48" s="56">
        <f t="shared" ref="AK48:BP48" si="41">AK47+AK46</f>
        <v>11121394.152899494</v>
      </c>
      <c r="AL48" s="56">
        <f t="shared" si="41"/>
        <v>11030413.930369776</v>
      </c>
      <c r="AM48" s="56">
        <f t="shared" si="41"/>
        <v>10963042.07087389</v>
      </c>
      <c r="AN48" s="56">
        <f t="shared" si="41"/>
        <v>10921423.687242581</v>
      </c>
      <c r="AO48" s="56">
        <f t="shared" si="41"/>
        <v>10853435.352750028</v>
      </c>
      <c r="AP48" s="56">
        <f t="shared" si="41"/>
        <v>10802225.501386093</v>
      </c>
      <c r="AQ48" s="56">
        <f t="shared" si="41"/>
        <v>10768882.339878654</v>
      </c>
      <c r="AR48" s="56">
        <f t="shared" si="41"/>
        <v>10754573.487011973</v>
      </c>
      <c r="AS48" s="56">
        <f t="shared" si="41"/>
        <v>10760552.55856478</v>
      </c>
      <c r="AT48" s="56">
        <f t="shared" si="41"/>
        <v>10788166.351282079</v>
      </c>
      <c r="AU48" s="56">
        <f t="shared" si="41"/>
        <v>10838862.68359771</v>
      </c>
      <c r="AV48" s="56">
        <f t="shared" si="41"/>
        <v>10914198.956569346</v>
      </c>
      <c r="AW48" s="56">
        <f t="shared" si="41"/>
        <v>11015851.504813965</v>
      </c>
      <c r="AX48" s="56">
        <f t="shared" si="41"/>
        <v>11145625.81419961</v>
      </c>
      <c r="AY48" s="56">
        <f t="shared" si="41"/>
        <v>11305467.690723872</v>
      </c>
      <c r="AZ48" s="56">
        <f t="shared" si="41"/>
        <v>11497475.473463474</v>
      </c>
      <c r="BA48" s="56">
        <f t="shared" si="41"/>
        <v>11702034.379575312</v>
      </c>
      <c r="BB48" s="56">
        <f t="shared" si="41"/>
        <v>11932423.386996387</v>
      </c>
      <c r="BC48" s="56">
        <f t="shared" si="41"/>
        <v>12189789.41452031</v>
      </c>
      <c r="BD48" s="56">
        <f t="shared" si="41"/>
        <v>12475329.949137783</v>
      </c>
      <c r="BE48" s="56">
        <f t="shared" si="41"/>
        <v>12790295.299279224</v>
      </c>
      <c r="BF48" s="56">
        <f t="shared" si="41"/>
        <v>13135990.949525025</v>
      </c>
      <c r="BG48" s="56">
        <f t="shared" si="41"/>
        <v>13513780.021398136</v>
      </c>
      <c r="BH48" s="56">
        <f t="shared" si="41"/>
        <v>13925085.845065484</v>
      </c>
      <c r="BI48" s="56">
        <f t="shared" si="41"/>
        <v>14371394.646996293</v>
      </c>
      <c r="BJ48" s="56">
        <f t="shared" si="41"/>
        <v>14854258.35885727</v>
      </c>
      <c r="BK48" s="56">
        <f t="shared" si="41"/>
        <v>15375297.553167129</v>
      </c>
      <c r="BL48" s="56">
        <f t="shared" si="41"/>
        <v>15936204.511486808</v>
      </c>
    </row>
    <row r="49" spans="2:64" x14ac:dyDescent="0.35">
      <c r="B49" s="16" t="s">
        <v>429</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row>
    <row r="50" spans="2:64" x14ac:dyDescent="0.35">
      <c r="B50" s="3" t="s">
        <v>304</v>
      </c>
      <c r="C50" s="18" t="s">
        <v>111</v>
      </c>
      <c r="D50" s="20">
        <f>SUM(E50:BL50)</f>
        <v>1088795.4885131954</v>
      </c>
      <c r="E50" s="20">
        <f t="shared" ref="E50:AJ50" si="42">-(E43+E44)</f>
        <v>56017.54924185518</v>
      </c>
      <c r="F50" s="20">
        <f t="shared" si="42"/>
        <v>62441.555819511377</v>
      </c>
      <c r="G50" s="20">
        <f t="shared" si="42"/>
        <v>70133.105531244742</v>
      </c>
      <c r="H50" s="20">
        <f t="shared" si="42"/>
        <v>107741.95423898166</v>
      </c>
      <c r="I50" s="20">
        <f t="shared" si="42"/>
        <v>107567.47992735935</v>
      </c>
      <c r="J50" s="20">
        <f t="shared" si="42"/>
        <v>98692.72839267856</v>
      </c>
      <c r="K50" s="20">
        <f t="shared" si="42"/>
        <v>98816.094303169419</v>
      </c>
      <c r="L50" s="20">
        <f t="shared" si="42"/>
        <v>174350.09102585123</v>
      </c>
      <c r="M50" s="20">
        <f t="shared" si="42"/>
        <v>153281.43157944642</v>
      </c>
      <c r="N50" s="20">
        <f t="shared" si="42"/>
        <v>204620.20511589653</v>
      </c>
      <c r="O50" s="20">
        <f t="shared" si="42"/>
        <v>201270.67768984864</v>
      </c>
      <c r="P50" s="20">
        <f t="shared" si="42"/>
        <v>207757.58000629116</v>
      </c>
      <c r="Q50" s="20">
        <f t="shared" si="42"/>
        <v>260538.78942140355</v>
      </c>
      <c r="R50" s="20">
        <f t="shared" si="42"/>
        <v>238354.42547548344</v>
      </c>
      <c r="S50" s="20">
        <f t="shared" si="42"/>
        <v>234090.12555018111</v>
      </c>
      <c r="T50" s="20">
        <f t="shared" si="42"/>
        <v>229566.83664810879</v>
      </c>
      <c r="U50" s="20">
        <f t="shared" si="42"/>
        <v>224832.06479058295</v>
      </c>
      <c r="V50" s="20">
        <f t="shared" si="42"/>
        <v>219897.08123220361</v>
      </c>
      <c r="W50" s="20">
        <f t="shared" si="42"/>
        <v>349853.57060296007</v>
      </c>
      <c r="X50" s="20">
        <f t="shared" si="42"/>
        <v>203778.71704789376</v>
      </c>
      <c r="Y50" s="20">
        <f t="shared" si="42"/>
        <v>198302.50226419541</v>
      </c>
      <c r="Z50" s="20">
        <f t="shared" si="42"/>
        <v>192950.28651375763</v>
      </c>
      <c r="AA50" s="20">
        <f t="shared" si="42"/>
        <v>187387.07643915227</v>
      </c>
      <c r="AB50" s="20">
        <f t="shared" si="42"/>
        <v>207881.35883280876</v>
      </c>
      <c r="AC50" s="20">
        <f t="shared" si="42"/>
        <v>234661.22886806604</v>
      </c>
      <c r="AD50" s="20">
        <f t="shared" si="42"/>
        <v>223233.45755738291</v>
      </c>
      <c r="AE50" s="20">
        <f t="shared" si="42"/>
        <v>210920.98245400153</v>
      </c>
      <c r="AF50" s="20">
        <f t="shared" si="42"/>
        <v>197633.15789134082</v>
      </c>
      <c r="AG50" s="20">
        <f t="shared" si="42"/>
        <v>183268.81995332864</v>
      </c>
      <c r="AH50" s="20">
        <f t="shared" si="42"/>
        <v>167717.30951337467</v>
      </c>
      <c r="AI50" s="20">
        <f t="shared" si="42"/>
        <v>150855.34471488479</v>
      </c>
      <c r="AJ50" s="20">
        <f t="shared" si="42"/>
        <v>132547.8210930964</v>
      </c>
      <c r="AK50" s="20">
        <f t="shared" ref="AK50:BL50" si="43">-(AK43+AK44)</f>
        <v>112644.43736416312</v>
      </c>
      <c r="AL50" s="20">
        <f t="shared" si="43"/>
        <v>90980.222529718318</v>
      </c>
      <c r="AM50" s="20">
        <f t="shared" si="43"/>
        <v>67371.859495885816</v>
      </c>
      <c r="AN50" s="20">
        <f t="shared" si="43"/>
        <v>41618.38363131028</v>
      </c>
      <c r="AO50" s="20">
        <f t="shared" si="43"/>
        <v>67988.334492553229</v>
      </c>
      <c r="AP50" s="20">
        <f t="shared" si="43"/>
        <v>51209.851363934773</v>
      </c>
      <c r="AQ50" s="20">
        <f t="shared" si="43"/>
        <v>33343.161507438752</v>
      </c>
      <c r="AR50" s="20">
        <f t="shared" si="43"/>
        <v>14308.852866681904</v>
      </c>
      <c r="AS50" s="20">
        <f t="shared" si="43"/>
        <v>-5979.0715528081146</v>
      </c>
      <c r="AT50" s="20">
        <f t="shared" si="43"/>
        <v>-27613.792717299126</v>
      </c>
      <c r="AU50" s="20">
        <f t="shared" si="43"/>
        <v>-50696.332315631007</v>
      </c>
      <c r="AV50" s="20">
        <f t="shared" si="43"/>
        <v>-75336.272971635946</v>
      </c>
      <c r="AW50" s="20">
        <f t="shared" si="43"/>
        <v>-101652.54824461987</v>
      </c>
      <c r="AX50" s="20">
        <f t="shared" si="43"/>
        <v>-129774.30938564397</v>
      </c>
      <c r="AY50" s="20">
        <f t="shared" si="43"/>
        <v>-159841.87652426158</v>
      </c>
      <c r="AZ50" s="20">
        <f t="shared" si="43"/>
        <v>-192007.7827396013</v>
      </c>
      <c r="BA50" s="20">
        <f t="shared" si="43"/>
        <v>-204558.90611183777</v>
      </c>
      <c r="BB50" s="20">
        <f t="shared" si="43"/>
        <v>-230389.00742107411</v>
      </c>
      <c r="BC50" s="20">
        <f t="shared" si="43"/>
        <v>-257366.0275239241</v>
      </c>
      <c r="BD50" s="20">
        <f t="shared" si="43"/>
        <v>-285540.53461747314</v>
      </c>
      <c r="BE50" s="20">
        <f t="shared" si="43"/>
        <v>-314965.35014144075</v>
      </c>
      <c r="BF50" s="20">
        <f t="shared" si="43"/>
        <v>-345695.65024580032</v>
      </c>
      <c r="BG50" s="20">
        <f t="shared" si="43"/>
        <v>-377789.07187311148</v>
      </c>
      <c r="BH50" s="20">
        <f t="shared" si="43"/>
        <v>-411305.82366734702</v>
      </c>
      <c r="BI50" s="20">
        <f t="shared" si="43"/>
        <v>-446308.80193080957</v>
      </c>
      <c r="BJ50" s="20">
        <f t="shared" si="43"/>
        <v>-482863.71186097711</v>
      </c>
      <c r="BK50" s="20">
        <f t="shared" si="43"/>
        <v>-521039.19430985878</v>
      </c>
      <c r="BL50" s="20">
        <f t="shared" si="43"/>
        <v>-560906.95831967832</v>
      </c>
    </row>
    <row r="51" spans="2:64" x14ac:dyDescent="0.35">
      <c r="B51" s="3" t="s">
        <v>430</v>
      </c>
      <c r="C51" s="18" t="s">
        <v>111</v>
      </c>
      <c r="E51" s="20">
        <f>E50</f>
        <v>56017.54924185518</v>
      </c>
      <c r="F51" s="20">
        <f>AVERAGE(E50:F50)</f>
        <v>59229.552530683279</v>
      </c>
      <c r="G51" s="20">
        <f t="shared" ref="G51:AL51" si="44">AVERAGE(E50:G50)</f>
        <v>62864.070197537098</v>
      </c>
      <c r="H51" s="20">
        <f t="shared" si="44"/>
        <v>80105.538529912592</v>
      </c>
      <c r="I51" s="20">
        <f t="shared" si="44"/>
        <v>95147.513232528581</v>
      </c>
      <c r="J51" s="20">
        <f t="shared" si="44"/>
        <v>104667.3875196732</v>
      </c>
      <c r="K51" s="20">
        <f t="shared" si="44"/>
        <v>101692.10087440244</v>
      </c>
      <c r="L51" s="20">
        <f t="shared" si="44"/>
        <v>123952.9712405664</v>
      </c>
      <c r="M51" s="20">
        <f t="shared" si="44"/>
        <v>142149.2056361557</v>
      </c>
      <c r="N51" s="20">
        <f t="shared" si="44"/>
        <v>177417.24257373138</v>
      </c>
      <c r="O51" s="20">
        <f t="shared" si="44"/>
        <v>186390.7714617305</v>
      </c>
      <c r="P51" s="20">
        <f t="shared" si="44"/>
        <v>204549.4876040121</v>
      </c>
      <c r="Q51" s="20">
        <f t="shared" si="44"/>
        <v>223189.01570584779</v>
      </c>
      <c r="R51" s="20">
        <f t="shared" si="44"/>
        <v>235550.26496772605</v>
      </c>
      <c r="S51" s="20">
        <f t="shared" si="44"/>
        <v>244327.7801490227</v>
      </c>
      <c r="T51" s="20">
        <f t="shared" si="44"/>
        <v>234003.79589125779</v>
      </c>
      <c r="U51" s="20">
        <f t="shared" si="44"/>
        <v>229496.34232962431</v>
      </c>
      <c r="V51" s="20">
        <f t="shared" si="44"/>
        <v>224765.32755696515</v>
      </c>
      <c r="W51" s="20">
        <f t="shared" si="44"/>
        <v>264860.9055419155</v>
      </c>
      <c r="X51" s="20">
        <f t="shared" si="44"/>
        <v>257843.12296101917</v>
      </c>
      <c r="Y51" s="20">
        <f t="shared" si="44"/>
        <v>250644.92997168307</v>
      </c>
      <c r="Z51" s="20">
        <f t="shared" si="44"/>
        <v>198343.83527528227</v>
      </c>
      <c r="AA51" s="20">
        <f t="shared" si="44"/>
        <v>192879.95507236841</v>
      </c>
      <c r="AB51" s="20">
        <f t="shared" si="44"/>
        <v>196072.90726190622</v>
      </c>
      <c r="AC51" s="20">
        <f t="shared" si="44"/>
        <v>209976.55471334234</v>
      </c>
      <c r="AD51" s="20">
        <f t="shared" si="44"/>
        <v>221925.34841941923</v>
      </c>
      <c r="AE51" s="20">
        <f t="shared" si="44"/>
        <v>222938.55629315018</v>
      </c>
      <c r="AF51" s="20">
        <f t="shared" si="44"/>
        <v>210595.86596757508</v>
      </c>
      <c r="AG51" s="20">
        <f t="shared" si="44"/>
        <v>197274.32009955696</v>
      </c>
      <c r="AH51" s="20">
        <f t="shared" si="44"/>
        <v>182873.09578601472</v>
      </c>
      <c r="AI51" s="20">
        <f t="shared" si="44"/>
        <v>167280.49139386267</v>
      </c>
      <c r="AJ51" s="20">
        <f t="shared" si="44"/>
        <v>150373.4917737853</v>
      </c>
      <c r="AK51" s="20">
        <f t="shared" si="44"/>
        <v>132015.86772404809</v>
      </c>
      <c r="AL51" s="20">
        <f t="shared" si="44"/>
        <v>112057.49366232594</v>
      </c>
      <c r="AM51" s="20">
        <f t="shared" ref="AM51:BR51" si="45">AVERAGE(AK50:AM50)</f>
        <v>90332.173129922419</v>
      </c>
      <c r="AN51" s="20">
        <f t="shared" si="45"/>
        <v>66656.821885638143</v>
      </c>
      <c r="AO51" s="20">
        <f t="shared" si="45"/>
        <v>58992.859206583111</v>
      </c>
      <c r="AP51" s="20">
        <f t="shared" si="45"/>
        <v>53605.523162599427</v>
      </c>
      <c r="AQ51" s="20">
        <f t="shared" si="45"/>
        <v>50847.115787975585</v>
      </c>
      <c r="AR51" s="20">
        <f t="shared" si="45"/>
        <v>32953.955246018479</v>
      </c>
      <c r="AS51" s="20">
        <f t="shared" si="45"/>
        <v>13890.980940437514</v>
      </c>
      <c r="AT51" s="20">
        <f t="shared" si="45"/>
        <v>-6428.0038011417782</v>
      </c>
      <c r="AU51" s="20">
        <f t="shared" si="45"/>
        <v>-28096.398861912749</v>
      </c>
      <c r="AV51" s="20">
        <f t="shared" si="45"/>
        <v>-51215.466001522029</v>
      </c>
      <c r="AW51" s="20">
        <f t="shared" si="45"/>
        <v>-75895.051177295609</v>
      </c>
      <c r="AX51" s="20">
        <f t="shared" si="45"/>
        <v>-102254.37686729994</v>
      </c>
      <c r="AY51" s="20">
        <f t="shared" si="45"/>
        <v>-130422.91138484182</v>
      </c>
      <c r="AZ51" s="20">
        <f t="shared" si="45"/>
        <v>-160541.32288316893</v>
      </c>
      <c r="BA51" s="20">
        <f t="shared" si="45"/>
        <v>-185469.52179190019</v>
      </c>
      <c r="BB51" s="20">
        <f t="shared" si="45"/>
        <v>-208985.2320908377</v>
      </c>
      <c r="BC51" s="20">
        <f t="shared" si="45"/>
        <v>-230771.31368561203</v>
      </c>
      <c r="BD51" s="20">
        <f t="shared" si="45"/>
        <v>-257765.18985415713</v>
      </c>
      <c r="BE51" s="20">
        <f t="shared" si="45"/>
        <v>-285957.30409427936</v>
      </c>
      <c r="BF51" s="20">
        <f t="shared" si="45"/>
        <v>-315400.51166823809</v>
      </c>
      <c r="BG51" s="20">
        <f t="shared" si="45"/>
        <v>-346150.02408678416</v>
      </c>
      <c r="BH51" s="20">
        <f t="shared" si="45"/>
        <v>-378263.51526208624</v>
      </c>
      <c r="BI51" s="20">
        <f t="shared" si="45"/>
        <v>-411801.23249042267</v>
      </c>
      <c r="BJ51" s="20">
        <f t="shared" si="45"/>
        <v>-446826.11248637788</v>
      </c>
      <c r="BK51" s="20">
        <f t="shared" si="45"/>
        <v>-483403.90270054853</v>
      </c>
      <c r="BL51" s="20">
        <f t="shared" si="45"/>
        <v>-521603.28816350474</v>
      </c>
    </row>
    <row r="52" spans="2:64" x14ac:dyDescent="0.35">
      <c r="B52" s="3" t="s">
        <v>305</v>
      </c>
      <c r="C52" s="18" t="s">
        <v>306</v>
      </c>
      <c r="D52" s="27" t="str">
        <f>BL52</f>
        <v>not burning</v>
      </c>
      <c r="E52" s="27">
        <f t="shared" ref="E52:AJ52" si="46">IF(E51&gt;0,MAX(E48,0)/E51,"not burning")</f>
        <v>17.297837264793095</v>
      </c>
      <c r="F52" s="27">
        <f t="shared" si="46"/>
        <v>15.305550290440046</v>
      </c>
      <c r="G52" s="27">
        <f t="shared" si="46"/>
        <v>13.305021243122715</v>
      </c>
      <c r="H52" s="27">
        <f t="shared" si="46"/>
        <v>9.0963227829285778</v>
      </c>
      <c r="I52" s="27">
        <f t="shared" si="46"/>
        <v>6.5277413370033237</v>
      </c>
      <c r="J52" s="27">
        <f t="shared" si="46"/>
        <v>4.9911021878727801</v>
      </c>
      <c r="K52" s="27">
        <f t="shared" si="46"/>
        <v>4.165412346710835</v>
      </c>
      <c r="L52" s="27">
        <f t="shared" si="46"/>
        <v>34.281061591274614</v>
      </c>
      <c r="M52" s="27">
        <f t="shared" si="46"/>
        <v>28.814498059341197</v>
      </c>
      <c r="N52" s="27">
        <f t="shared" si="46"/>
        <v>21.933256026154481</v>
      </c>
      <c r="O52" s="27">
        <f t="shared" si="46"/>
        <v>19.797477622929396</v>
      </c>
      <c r="P52" s="27">
        <f t="shared" si="46"/>
        <v>17.02428878174106</v>
      </c>
      <c r="Q52" s="27">
        <f t="shared" si="46"/>
        <v>14.435167194574655</v>
      </c>
      <c r="R52" s="27">
        <f t="shared" si="46"/>
        <v>12.66573116629587</v>
      </c>
      <c r="S52" s="27">
        <f t="shared" si="46"/>
        <v>11.25261402941533</v>
      </c>
      <c r="T52" s="27">
        <f t="shared" si="46"/>
        <v>10.76802775970193</v>
      </c>
      <c r="U52" s="27">
        <f t="shared" si="46"/>
        <v>9.9998426203495399</v>
      </c>
      <c r="V52" s="27">
        <f t="shared" si="46"/>
        <v>9.2319854070196854</v>
      </c>
      <c r="W52" s="27">
        <f t="shared" si="46"/>
        <v>51.820319141946243</v>
      </c>
      <c r="X52" s="27">
        <f t="shared" si="46"/>
        <v>52.44040555001817</v>
      </c>
      <c r="Y52" s="27">
        <f t="shared" si="46"/>
        <v>53.155256065223597</v>
      </c>
      <c r="Z52" s="27">
        <f t="shared" si="46"/>
        <v>66.198907212607381</v>
      </c>
      <c r="AA52" s="27">
        <f t="shared" si="46"/>
        <v>67.102660130161425</v>
      </c>
      <c r="AB52" s="27">
        <f t="shared" si="46"/>
        <v>64.949701058384377</v>
      </c>
      <c r="AC52" s="27">
        <f t="shared" si="46"/>
        <v>59.531481981434659</v>
      </c>
      <c r="AD52" s="27">
        <f t="shared" si="46"/>
        <v>55.320323312870407</v>
      </c>
      <c r="AE52" s="27">
        <f t="shared" si="46"/>
        <v>54.122809638919399</v>
      </c>
      <c r="AF52" s="27">
        <f t="shared" si="46"/>
        <v>56.356414362690742</v>
      </c>
      <c r="AG52" s="27">
        <f t="shared" si="46"/>
        <v>59.233046955569044</v>
      </c>
      <c r="AH52" s="27">
        <f t="shared" si="46"/>
        <v>62.980515020911241</v>
      </c>
      <c r="AI52" s="27">
        <f t="shared" si="46"/>
        <v>67.949264834439518</v>
      </c>
      <c r="AJ52" s="27">
        <f t="shared" si="46"/>
        <v>74.707572842450247</v>
      </c>
      <c r="AK52" s="27">
        <f t="shared" ref="AK52:BP52" si="47">IF(AK51&gt;0,MAX(AK48,0)/AK51,"not burning")</f>
        <v>84.242859170130004</v>
      </c>
      <c r="AL52" s="27">
        <f t="shared" si="47"/>
        <v>98.43530824996698</v>
      </c>
      <c r="AM52" s="27">
        <f t="shared" si="47"/>
        <v>121.36364808921437</v>
      </c>
      <c r="AN52" s="27">
        <f t="shared" si="47"/>
        <v>163.84555066217021</v>
      </c>
      <c r="AO52" s="27">
        <f t="shared" si="47"/>
        <v>183.97879842953731</v>
      </c>
      <c r="AP52" s="27">
        <f t="shared" si="47"/>
        <v>201.51329311011753</v>
      </c>
      <c r="AQ52" s="27">
        <f t="shared" si="47"/>
        <v>211.78944317674157</v>
      </c>
      <c r="AR52" s="27">
        <f t="shared" si="47"/>
        <v>326.35152310924343</v>
      </c>
      <c r="AS52" s="27">
        <f t="shared" si="47"/>
        <v>774.64310149905532</v>
      </c>
      <c r="AT52" s="27" t="str">
        <f t="shared" si="47"/>
        <v>not burning</v>
      </c>
      <c r="AU52" s="27" t="str">
        <f t="shared" si="47"/>
        <v>not burning</v>
      </c>
      <c r="AV52" s="27" t="str">
        <f t="shared" si="47"/>
        <v>not burning</v>
      </c>
      <c r="AW52" s="27" t="str">
        <f t="shared" si="47"/>
        <v>not burning</v>
      </c>
      <c r="AX52" s="27" t="str">
        <f t="shared" si="47"/>
        <v>not burning</v>
      </c>
      <c r="AY52" s="27" t="str">
        <f t="shared" si="47"/>
        <v>not burning</v>
      </c>
      <c r="AZ52" s="27" t="str">
        <f t="shared" si="47"/>
        <v>not burning</v>
      </c>
      <c r="BA52" s="27" t="str">
        <f t="shared" si="47"/>
        <v>not burning</v>
      </c>
      <c r="BB52" s="27" t="str">
        <f t="shared" si="47"/>
        <v>not burning</v>
      </c>
      <c r="BC52" s="27" t="str">
        <f t="shared" si="47"/>
        <v>not burning</v>
      </c>
      <c r="BD52" s="27" t="str">
        <f t="shared" si="47"/>
        <v>not burning</v>
      </c>
      <c r="BE52" s="27" t="str">
        <f t="shared" si="47"/>
        <v>not burning</v>
      </c>
      <c r="BF52" s="27" t="str">
        <f t="shared" si="47"/>
        <v>not burning</v>
      </c>
      <c r="BG52" s="27" t="str">
        <f t="shared" si="47"/>
        <v>not burning</v>
      </c>
      <c r="BH52" s="27" t="str">
        <f t="shared" si="47"/>
        <v>not burning</v>
      </c>
      <c r="BI52" s="27" t="str">
        <f t="shared" si="47"/>
        <v>not burning</v>
      </c>
      <c r="BJ52" s="27" t="str">
        <f t="shared" si="47"/>
        <v>not burning</v>
      </c>
      <c r="BK52" s="27" t="str">
        <f t="shared" si="47"/>
        <v>not burning</v>
      </c>
      <c r="BL52" s="27" t="str">
        <f t="shared" si="47"/>
        <v>not burning</v>
      </c>
    </row>
    <row r="53" spans="2:64" x14ac:dyDescent="0.35">
      <c r="B53" s="3" t="s">
        <v>431</v>
      </c>
      <c r="C53" s="18" t="s">
        <v>415</v>
      </c>
      <c r="D53" s="13">
        <f>SUM(E53:BL53)</f>
        <v>0</v>
      </c>
      <c r="E53" s="13">
        <f t="shared" ref="E53:AJ53" si="48">IF(E48&lt;0,1,0)</f>
        <v>0</v>
      </c>
      <c r="F53" s="13">
        <f t="shared" si="48"/>
        <v>0</v>
      </c>
      <c r="G53" s="13">
        <f t="shared" si="48"/>
        <v>0</v>
      </c>
      <c r="H53" s="13">
        <f t="shared" si="48"/>
        <v>0</v>
      </c>
      <c r="I53" s="13">
        <f t="shared" si="48"/>
        <v>0</v>
      </c>
      <c r="J53" s="13">
        <f t="shared" si="48"/>
        <v>0</v>
      </c>
      <c r="K53" s="13">
        <f t="shared" si="48"/>
        <v>0</v>
      </c>
      <c r="L53" s="13">
        <f t="shared" si="48"/>
        <v>0</v>
      </c>
      <c r="M53" s="13">
        <f t="shared" si="48"/>
        <v>0</v>
      </c>
      <c r="N53" s="13">
        <f t="shared" si="48"/>
        <v>0</v>
      </c>
      <c r="O53" s="13">
        <f t="shared" si="48"/>
        <v>0</v>
      </c>
      <c r="P53" s="13">
        <f t="shared" si="48"/>
        <v>0</v>
      </c>
      <c r="Q53" s="13">
        <f t="shared" si="48"/>
        <v>0</v>
      </c>
      <c r="R53" s="13">
        <f t="shared" si="48"/>
        <v>0</v>
      </c>
      <c r="S53" s="13">
        <f t="shared" si="48"/>
        <v>0</v>
      </c>
      <c r="T53" s="13">
        <f t="shared" si="48"/>
        <v>0</v>
      </c>
      <c r="U53" s="13">
        <f t="shared" si="48"/>
        <v>0</v>
      </c>
      <c r="V53" s="13">
        <f t="shared" si="48"/>
        <v>0</v>
      </c>
      <c r="W53" s="13">
        <f t="shared" si="48"/>
        <v>0</v>
      </c>
      <c r="X53" s="13">
        <f t="shared" si="48"/>
        <v>0</v>
      </c>
      <c r="Y53" s="13">
        <f t="shared" si="48"/>
        <v>0</v>
      </c>
      <c r="Z53" s="13">
        <f t="shared" si="48"/>
        <v>0</v>
      </c>
      <c r="AA53" s="13">
        <f t="shared" si="48"/>
        <v>0</v>
      </c>
      <c r="AB53" s="13">
        <f t="shared" si="48"/>
        <v>0</v>
      </c>
      <c r="AC53" s="13">
        <f t="shared" si="48"/>
        <v>0</v>
      </c>
      <c r="AD53" s="13">
        <f t="shared" si="48"/>
        <v>0</v>
      </c>
      <c r="AE53" s="13">
        <f t="shared" si="48"/>
        <v>0</v>
      </c>
      <c r="AF53" s="13">
        <f t="shared" si="48"/>
        <v>0</v>
      </c>
      <c r="AG53" s="13">
        <f t="shared" si="48"/>
        <v>0</v>
      </c>
      <c r="AH53" s="13">
        <f t="shared" si="48"/>
        <v>0</v>
      </c>
      <c r="AI53" s="13">
        <f t="shared" si="48"/>
        <v>0</v>
      </c>
      <c r="AJ53" s="13">
        <f t="shared" si="48"/>
        <v>0</v>
      </c>
      <c r="AK53" s="13">
        <f t="shared" ref="AK53:BL53" si="49">IF(AK48&lt;0,1,0)</f>
        <v>0</v>
      </c>
      <c r="AL53" s="13">
        <f t="shared" si="49"/>
        <v>0</v>
      </c>
      <c r="AM53" s="13">
        <f t="shared" si="49"/>
        <v>0</v>
      </c>
      <c r="AN53" s="13">
        <f t="shared" si="49"/>
        <v>0</v>
      </c>
      <c r="AO53" s="13">
        <f t="shared" si="49"/>
        <v>0</v>
      </c>
      <c r="AP53" s="13">
        <f t="shared" si="49"/>
        <v>0</v>
      </c>
      <c r="AQ53" s="13">
        <f t="shared" si="49"/>
        <v>0</v>
      </c>
      <c r="AR53" s="13">
        <f t="shared" si="49"/>
        <v>0</v>
      </c>
      <c r="AS53" s="13">
        <f t="shared" si="49"/>
        <v>0</v>
      </c>
      <c r="AT53" s="13">
        <f t="shared" si="49"/>
        <v>0</v>
      </c>
      <c r="AU53" s="13">
        <f t="shared" si="49"/>
        <v>0</v>
      </c>
      <c r="AV53" s="13">
        <f t="shared" si="49"/>
        <v>0</v>
      </c>
      <c r="AW53" s="13">
        <f t="shared" si="49"/>
        <v>0</v>
      </c>
      <c r="AX53" s="13">
        <f t="shared" si="49"/>
        <v>0</v>
      </c>
      <c r="AY53" s="13">
        <f t="shared" si="49"/>
        <v>0</v>
      </c>
      <c r="AZ53" s="13">
        <f t="shared" si="49"/>
        <v>0</v>
      </c>
      <c r="BA53" s="13">
        <f t="shared" si="49"/>
        <v>0</v>
      </c>
      <c r="BB53" s="13">
        <f t="shared" si="49"/>
        <v>0</v>
      </c>
      <c r="BC53" s="13">
        <f t="shared" si="49"/>
        <v>0</v>
      </c>
      <c r="BD53" s="13">
        <f t="shared" si="49"/>
        <v>0</v>
      </c>
      <c r="BE53" s="13">
        <f t="shared" si="49"/>
        <v>0</v>
      </c>
      <c r="BF53" s="13">
        <f t="shared" si="49"/>
        <v>0</v>
      </c>
      <c r="BG53" s="13">
        <f t="shared" si="49"/>
        <v>0</v>
      </c>
      <c r="BH53" s="13">
        <f t="shared" si="49"/>
        <v>0</v>
      </c>
      <c r="BI53" s="13">
        <f t="shared" si="49"/>
        <v>0</v>
      </c>
      <c r="BJ53" s="13">
        <f t="shared" si="49"/>
        <v>0</v>
      </c>
      <c r="BK53" s="13">
        <f t="shared" si="49"/>
        <v>0</v>
      </c>
      <c r="BL53" s="13">
        <f t="shared" si="49"/>
        <v>0</v>
      </c>
    </row>
    <row r="54" spans="2:64" x14ac:dyDescent="0.35">
      <c r="B54" s="16" t="s">
        <v>432</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row>
    <row r="55" spans="2:64" x14ac:dyDescent="0.35">
      <c r="B55" s="3" t="s">
        <v>433</v>
      </c>
      <c r="C55" s="18" t="s">
        <v>415</v>
      </c>
      <c r="D55" s="13">
        <f>SUM(E55:BL55)</f>
        <v>19</v>
      </c>
      <c r="E55" s="13">
        <f t="shared" ref="E55:AJ55" si="50">IF(AND(E28&gt;0,F55=1),1,0)</f>
        <v>0</v>
      </c>
      <c r="F55" s="13">
        <f t="shared" si="50"/>
        <v>0</v>
      </c>
      <c r="G55" s="13">
        <f t="shared" si="50"/>
        <v>0</v>
      </c>
      <c r="H55" s="13">
        <f t="shared" si="50"/>
        <v>0</v>
      </c>
      <c r="I55" s="13">
        <f t="shared" si="50"/>
        <v>0</v>
      </c>
      <c r="J55" s="13">
        <f t="shared" si="50"/>
        <v>0</v>
      </c>
      <c r="K55" s="13">
        <f t="shared" si="50"/>
        <v>0</v>
      </c>
      <c r="L55" s="13">
        <f t="shared" si="50"/>
        <v>0</v>
      </c>
      <c r="M55" s="13">
        <f t="shared" si="50"/>
        <v>0</v>
      </c>
      <c r="N55" s="13">
        <f t="shared" si="50"/>
        <v>0</v>
      </c>
      <c r="O55" s="13">
        <f t="shared" si="50"/>
        <v>0</v>
      </c>
      <c r="P55" s="13">
        <f t="shared" si="50"/>
        <v>0</v>
      </c>
      <c r="Q55" s="13">
        <f t="shared" si="50"/>
        <v>0</v>
      </c>
      <c r="R55" s="13">
        <f t="shared" si="50"/>
        <v>0</v>
      </c>
      <c r="S55" s="13">
        <f t="shared" si="50"/>
        <v>0</v>
      </c>
      <c r="T55" s="13">
        <f t="shared" si="50"/>
        <v>0</v>
      </c>
      <c r="U55" s="13">
        <f t="shared" si="50"/>
        <v>0</v>
      </c>
      <c r="V55" s="13">
        <f t="shared" si="50"/>
        <v>0</v>
      </c>
      <c r="W55" s="13">
        <f t="shared" si="50"/>
        <v>0</v>
      </c>
      <c r="X55" s="13">
        <f t="shared" si="50"/>
        <v>0</v>
      </c>
      <c r="Y55" s="13">
        <f t="shared" si="50"/>
        <v>0</v>
      </c>
      <c r="Z55" s="13">
        <f t="shared" si="50"/>
        <v>0</v>
      </c>
      <c r="AA55" s="13">
        <f t="shared" si="50"/>
        <v>0</v>
      </c>
      <c r="AB55" s="13">
        <f t="shared" si="50"/>
        <v>0</v>
      </c>
      <c r="AC55" s="13">
        <f t="shared" si="50"/>
        <v>0</v>
      </c>
      <c r="AD55" s="13">
        <f t="shared" si="50"/>
        <v>0</v>
      </c>
      <c r="AE55" s="13">
        <f t="shared" si="50"/>
        <v>0</v>
      </c>
      <c r="AF55" s="13">
        <f t="shared" si="50"/>
        <v>0</v>
      </c>
      <c r="AG55" s="13">
        <f t="shared" si="50"/>
        <v>0</v>
      </c>
      <c r="AH55" s="13">
        <f t="shared" si="50"/>
        <v>0</v>
      </c>
      <c r="AI55" s="13">
        <f t="shared" si="50"/>
        <v>0</v>
      </c>
      <c r="AJ55" s="13">
        <f t="shared" si="50"/>
        <v>0</v>
      </c>
      <c r="AK55" s="13">
        <f t="shared" ref="AK55:BK55" si="51">IF(AND(AK28&gt;0,AL55=1),1,0)</f>
        <v>0</v>
      </c>
      <c r="AL55" s="13">
        <f t="shared" si="51"/>
        <v>0</v>
      </c>
      <c r="AM55" s="13">
        <f t="shared" si="51"/>
        <v>0</v>
      </c>
      <c r="AN55" s="13">
        <f t="shared" si="51"/>
        <v>0</v>
      </c>
      <c r="AO55" s="13">
        <f t="shared" si="51"/>
        <v>0</v>
      </c>
      <c r="AP55" s="13">
        <f t="shared" si="51"/>
        <v>0</v>
      </c>
      <c r="AQ55" s="13">
        <f t="shared" si="51"/>
        <v>0</v>
      </c>
      <c r="AR55" s="13">
        <f t="shared" si="51"/>
        <v>0</v>
      </c>
      <c r="AS55" s="13">
        <f t="shared" si="51"/>
        <v>0</v>
      </c>
      <c r="AT55" s="13">
        <f t="shared" si="51"/>
        <v>1</v>
      </c>
      <c r="AU55" s="13">
        <f t="shared" si="51"/>
        <v>1</v>
      </c>
      <c r="AV55" s="13">
        <f t="shared" si="51"/>
        <v>1</v>
      </c>
      <c r="AW55" s="13">
        <f t="shared" si="51"/>
        <v>1</v>
      </c>
      <c r="AX55" s="13">
        <f t="shared" si="51"/>
        <v>1</v>
      </c>
      <c r="AY55" s="13">
        <f t="shared" si="51"/>
        <v>1</v>
      </c>
      <c r="AZ55" s="13">
        <f t="shared" si="51"/>
        <v>1</v>
      </c>
      <c r="BA55" s="13">
        <f t="shared" si="51"/>
        <v>1</v>
      </c>
      <c r="BB55" s="13">
        <f t="shared" si="51"/>
        <v>1</v>
      </c>
      <c r="BC55" s="13">
        <f t="shared" si="51"/>
        <v>1</v>
      </c>
      <c r="BD55" s="13">
        <f t="shared" si="51"/>
        <v>1</v>
      </c>
      <c r="BE55" s="13">
        <f t="shared" si="51"/>
        <v>1</v>
      </c>
      <c r="BF55" s="13">
        <f t="shared" si="51"/>
        <v>1</v>
      </c>
      <c r="BG55" s="13">
        <f t="shared" si="51"/>
        <v>1</v>
      </c>
      <c r="BH55" s="13">
        <f t="shared" si="51"/>
        <v>1</v>
      </c>
      <c r="BI55" s="13">
        <f t="shared" si="51"/>
        <v>1</v>
      </c>
      <c r="BJ55" s="13">
        <f t="shared" si="51"/>
        <v>1</v>
      </c>
      <c r="BK55" s="13">
        <f t="shared" si="51"/>
        <v>1</v>
      </c>
      <c r="BL55" s="13">
        <f>IF(BL28&gt;0,1,0)</f>
        <v>1</v>
      </c>
    </row>
    <row r="56" spans="2:64" x14ac:dyDescent="0.35">
      <c r="B56" s="3" t="s">
        <v>434</v>
      </c>
      <c r="C56" s="18" t="s">
        <v>415</v>
      </c>
      <c r="D56" s="13">
        <f>SUM(E56:BL56)</f>
        <v>20</v>
      </c>
      <c r="E56" s="13">
        <f t="shared" ref="E56:AJ56" si="52">IF(AND(E43&gt;0,F56=1),1,0)</f>
        <v>0</v>
      </c>
      <c r="F56" s="13">
        <f t="shared" si="52"/>
        <v>0</v>
      </c>
      <c r="G56" s="13">
        <f t="shared" si="52"/>
        <v>0</v>
      </c>
      <c r="H56" s="13">
        <f t="shared" si="52"/>
        <v>0</v>
      </c>
      <c r="I56" s="13">
        <f t="shared" si="52"/>
        <v>0</v>
      </c>
      <c r="J56" s="13">
        <f t="shared" si="52"/>
        <v>0</v>
      </c>
      <c r="K56" s="13">
        <f t="shared" si="52"/>
        <v>0</v>
      </c>
      <c r="L56" s="13">
        <f t="shared" si="52"/>
        <v>0</v>
      </c>
      <c r="M56" s="13">
        <f t="shared" si="52"/>
        <v>0</v>
      </c>
      <c r="N56" s="13">
        <f t="shared" si="52"/>
        <v>0</v>
      </c>
      <c r="O56" s="13">
        <f t="shared" si="52"/>
        <v>0</v>
      </c>
      <c r="P56" s="13">
        <f t="shared" si="52"/>
        <v>0</v>
      </c>
      <c r="Q56" s="13">
        <f t="shared" si="52"/>
        <v>0</v>
      </c>
      <c r="R56" s="13">
        <f t="shared" si="52"/>
        <v>0</v>
      </c>
      <c r="S56" s="13">
        <f t="shared" si="52"/>
        <v>0</v>
      </c>
      <c r="T56" s="13">
        <f t="shared" si="52"/>
        <v>0</v>
      </c>
      <c r="U56" s="13">
        <f t="shared" si="52"/>
        <v>0</v>
      </c>
      <c r="V56" s="13">
        <f t="shared" si="52"/>
        <v>0</v>
      </c>
      <c r="W56" s="13">
        <f t="shared" si="52"/>
        <v>0</v>
      </c>
      <c r="X56" s="13">
        <f t="shared" si="52"/>
        <v>0</v>
      </c>
      <c r="Y56" s="13">
        <f t="shared" si="52"/>
        <v>0</v>
      </c>
      <c r="Z56" s="13">
        <f t="shared" si="52"/>
        <v>0</v>
      </c>
      <c r="AA56" s="13">
        <f t="shared" si="52"/>
        <v>0</v>
      </c>
      <c r="AB56" s="13">
        <f t="shared" si="52"/>
        <v>0</v>
      </c>
      <c r="AC56" s="13">
        <f t="shared" si="52"/>
        <v>0</v>
      </c>
      <c r="AD56" s="13">
        <f t="shared" si="52"/>
        <v>0</v>
      </c>
      <c r="AE56" s="13">
        <f t="shared" si="52"/>
        <v>0</v>
      </c>
      <c r="AF56" s="13">
        <f t="shared" si="52"/>
        <v>0</v>
      </c>
      <c r="AG56" s="13">
        <f t="shared" si="52"/>
        <v>0</v>
      </c>
      <c r="AH56" s="13">
        <f t="shared" si="52"/>
        <v>0</v>
      </c>
      <c r="AI56" s="13">
        <f t="shared" si="52"/>
        <v>0</v>
      </c>
      <c r="AJ56" s="13">
        <f t="shared" si="52"/>
        <v>0</v>
      </c>
      <c r="AK56" s="13">
        <f t="shared" ref="AK56:BK56" si="53">IF(AND(AK43&gt;0,AL56=1),1,0)</f>
        <v>0</v>
      </c>
      <c r="AL56" s="13">
        <f t="shared" si="53"/>
        <v>0</v>
      </c>
      <c r="AM56" s="13">
        <f t="shared" si="53"/>
        <v>0</v>
      </c>
      <c r="AN56" s="13">
        <f t="shared" si="53"/>
        <v>0</v>
      </c>
      <c r="AO56" s="13">
        <f t="shared" si="53"/>
        <v>0</v>
      </c>
      <c r="AP56" s="13">
        <f t="shared" si="53"/>
        <v>0</v>
      </c>
      <c r="AQ56" s="13">
        <f t="shared" si="53"/>
        <v>0</v>
      </c>
      <c r="AR56" s="13">
        <f t="shared" si="53"/>
        <v>0</v>
      </c>
      <c r="AS56" s="13">
        <f t="shared" si="53"/>
        <v>1</v>
      </c>
      <c r="AT56" s="13">
        <f t="shared" si="53"/>
        <v>1</v>
      </c>
      <c r="AU56" s="13">
        <f t="shared" si="53"/>
        <v>1</v>
      </c>
      <c r="AV56" s="13">
        <f t="shared" si="53"/>
        <v>1</v>
      </c>
      <c r="AW56" s="13">
        <f t="shared" si="53"/>
        <v>1</v>
      </c>
      <c r="AX56" s="13">
        <f t="shared" si="53"/>
        <v>1</v>
      </c>
      <c r="AY56" s="13">
        <f t="shared" si="53"/>
        <v>1</v>
      </c>
      <c r="AZ56" s="13">
        <f t="shared" si="53"/>
        <v>1</v>
      </c>
      <c r="BA56" s="13">
        <f t="shared" si="53"/>
        <v>1</v>
      </c>
      <c r="BB56" s="13">
        <f t="shared" si="53"/>
        <v>1</v>
      </c>
      <c r="BC56" s="13">
        <f t="shared" si="53"/>
        <v>1</v>
      </c>
      <c r="BD56" s="13">
        <f t="shared" si="53"/>
        <v>1</v>
      </c>
      <c r="BE56" s="13">
        <f t="shared" si="53"/>
        <v>1</v>
      </c>
      <c r="BF56" s="13">
        <f t="shared" si="53"/>
        <v>1</v>
      </c>
      <c r="BG56" s="13">
        <f t="shared" si="53"/>
        <v>1</v>
      </c>
      <c r="BH56" s="13">
        <f t="shared" si="53"/>
        <v>1</v>
      </c>
      <c r="BI56" s="13">
        <f t="shared" si="53"/>
        <v>1</v>
      </c>
      <c r="BJ56" s="13">
        <f t="shared" si="53"/>
        <v>1</v>
      </c>
      <c r="BK56" s="13">
        <f t="shared" si="53"/>
        <v>1</v>
      </c>
      <c r="BL56" s="13">
        <f>IF(BL43&gt;0,1,0)</f>
        <v>1</v>
      </c>
    </row>
    <row r="57" spans="2:64" x14ac:dyDescent="0.35">
      <c r="B57" s="3" t="s">
        <v>435</v>
      </c>
      <c r="C57" s="18" t="s">
        <v>111</v>
      </c>
      <c r="D57" s="20">
        <f>BL57</f>
        <v>-1088795.4885131929</v>
      </c>
      <c r="E57" s="20">
        <f>E43+E44</f>
        <v>-56017.54924185518</v>
      </c>
      <c r="F57" s="20">
        <f t="shared" ref="F57:AK57" si="54">E57+F43+F44</f>
        <v>-118459.10506136656</v>
      </c>
      <c r="G57" s="20">
        <f t="shared" si="54"/>
        <v>-188592.21059261131</v>
      </c>
      <c r="H57" s="20">
        <f t="shared" si="54"/>
        <v>-296334.16483159299</v>
      </c>
      <c r="I57" s="20">
        <f t="shared" si="54"/>
        <v>-403901.64475895232</v>
      </c>
      <c r="J57" s="20">
        <f t="shared" si="54"/>
        <v>-502594.37315163086</v>
      </c>
      <c r="K57" s="20">
        <f t="shared" si="54"/>
        <v>-601410.46745480027</v>
      </c>
      <c r="L57" s="20">
        <f t="shared" si="54"/>
        <v>-775760.55848065147</v>
      </c>
      <c r="M57" s="20">
        <f t="shared" si="54"/>
        <v>-929041.99006009789</v>
      </c>
      <c r="N57" s="20">
        <f t="shared" si="54"/>
        <v>-1133662.1951759944</v>
      </c>
      <c r="O57" s="20">
        <f t="shared" si="54"/>
        <v>-1334932.8728658429</v>
      </c>
      <c r="P57" s="20">
        <f t="shared" si="54"/>
        <v>-1542690.452872134</v>
      </c>
      <c r="Q57" s="20">
        <f t="shared" si="54"/>
        <v>-1803229.2422935376</v>
      </c>
      <c r="R57" s="20">
        <f t="shared" si="54"/>
        <v>-2041583.6677690211</v>
      </c>
      <c r="S57" s="20">
        <f t="shared" si="54"/>
        <v>-2275673.793319202</v>
      </c>
      <c r="T57" s="20">
        <f t="shared" si="54"/>
        <v>-2505240.6299673109</v>
      </c>
      <c r="U57" s="20">
        <f t="shared" si="54"/>
        <v>-2730072.6947578937</v>
      </c>
      <c r="V57" s="20">
        <f t="shared" si="54"/>
        <v>-2949969.7759900973</v>
      </c>
      <c r="W57" s="20">
        <f t="shared" si="54"/>
        <v>-3299823.3465930573</v>
      </c>
      <c r="X57" s="20">
        <f t="shared" si="54"/>
        <v>-3503602.0636409512</v>
      </c>
      <c r="Y57" s="20">
        <f t="shared" si="54"/>
        <v>-3701904.5659051468</v>
      </c>
      <c r="Z57" s="20">
        <f t="shared" si="54"/>
        <v>-3894854.8524189042</v>
      </c>
      <c r="AA57" s="20">
        <f t="shared" si="54"/>
        <v>-4082241.9288580567</v>
      </c>
      <c r="AB57" s="20">
        <f t="shared" si="54"/>
        <v>-4290123.2876908658</v>
      </c>
      <c r="AC57" s="20">
        <f t="shared" si="54"/>
        <v>-4524784.5165589321</v>
      </c>
      <c r="AD57" s="20">
        <f t="shared" si="54"/>
        <v>-4748017.9741163151</v>
      </c>
      <c r="AE57" s="20">
        <f t="shared" si="54"/>
        <v>-4958938.956570317</v>
      </c>
      <c r="AF57" s="20">
        <f t="shared" si="54"/>
        <v>-5156572.1144616576</v>
      </c>
      <c r="AG57" s="20">
        <f t="shared" si="54"/>
        <v>-5339840.9344149865</v>
      </c>
      <c r="AH57" s="20">
        <f t="shared" si="54"/>
        <v>-5507558.2439283608</v>
      </c>
      <c r="AI57" s="20">
        <f t="shared" si="54"/>
        <v>-5658413.5886432454</v>
      </c>
      <c r="AJ57" s="20">
        <f t="shared" si="54"/>
        <v>-5790961.4097363418</v>
      </c>
      <c r="AK57" s="20">
        <f t="shared" si="54"/>
        <v>-5903605.8471005047</v>
      </c>
      <c r="AL57" s="20">
        <f t="shared" ref="AL57:BL57" si="55">AK57+AL43+AL44</f>
        <v>-5994586.0696302233</v>
      </c>
      <c r="AM57" s="20">
        <f t="shared" si="55"/>
        <v>-6061957.929126109</v>
      </c>
      <c r="AN57" s="20">
        <f t="shared" si="55"/>
        <v>-6103576.3127574194</v>
      </c>
      <c r="AO57" s="20">
        <f t="shared" si="55"/>
        <v>-6171564.6472499724</v>
      </c>
      <c r="AP57" s="20">
        <f t="shared" si="55"/>
        <v>-6222774.498613907</v>
      </c>
      <c r="AQ57" s="20">
        <f t="shared" si="55"/>
        <v>-6256117.6601213459</v>
      </c>
      <c r="AR57" s="20">
        <f t="shared" si="55"/>
        <v>-6270426.5129880281</v>
      </c>
      <c r="AS57" s="20">
        <f t="shared" si="55"/>
        <v>-6264447.4414352197</v>
      </c>
      <c r="AT57" s="20">
        <f t="shared" si="55"/>
        <v>-6236833.6487179203</v>
      </c>
      <c r="AU57" s="20">
        <f t="shared" si="55"/>
        <v>-6186137.3164022891</v>
      </c>
      <c r="AV57" s="20">
        <f t="shared" si="55"/>
        <v>-6110801.0434306534</v>
      </c>
      <c r="AW57" s="20">
        <f t="shared" si="55"/>
        <v>-6009148.4951860337</v>
      </c>
      <c r="AX57" s="20">
        <f t="shared" si="55"/>
        <v>-5879374.1858003894</v>
      </c>
      <c r="AY57" s="20">
        <f t="shared" si="55"/>
        <v>-5719532.3092761282</v>
      </c>
      <c r="AZ57" s="20">
        <f t="shared" si="55"/>
        <v>-5527524.5265365271</v>
      </c>
      <c r="BA57" s="20">
        <f t="shared" si="55"/>
        <v>-5322965.6204246888</v>
      </c>
      <c r="BB57" s="20">
        <f t="shared" si="55"/>
        <v>-5092576.6130036144</v>
      </c>
      <c r="BC57" s="20">
        <f t="shared" si="55"/>
        <v>-4835210.5854796898</v>
      </c>
      <c r="BD57" s="20">
        <f t="shared" si="55"/>
        <v>-4549670.0508622164</v>
      </c>
      <c r="BE57" s="20">
        <f t="shared" si="55"/>
        <v>-4234704.7007207749</v>
      </c>
      <c r="BF57" s="20">
        <f t="shared" si="55"/>
        <v>-3889009.0504749748</v>
      </c>
      <c r="BG57" s="20">
        <f t="shared" si="55"/>
        <v>-3511219.9786018636</v>
      </c>
      <c r="BH57" s="20">
        <f t="shared" si="55"/>
        <v>-3099914.1549345166</v>
      </c>
      <c r="BI57" s="20">
        <f t="shared" si="55"/>
        <v>-2653605.3530037072</v>
      </c>
      <c r="BJ57" s="20">
        <f t="shared" si="55"/>
        <v>-2170741.6411427301</v>
      </c>
      <c r="BK57" s="20">
        <f t="shared" si="55"/>
        <v>-1649702.4468328713</v>
      </c>
      <c r="BL57" s="20">
        <f t="shared" si="55"/>
        <v>-1088795.4885131929</v>
      </c>
    </row>
    <row r="58" spans="2:64" x14ac:dyDescent="0.35">
      <c r="B58" s="3" t="s">
        <v>436</v>
      </c>
      <c r="C58" s="18" t="s">
        <v>111</v>
      </c>
      <c r="D58" s="20">
        <f>BL58</f>
        <v>-6270426.5129880281</v>
      </c>
      <c r="E58" s="20">
        <f>E57</f>
        <v>-56017.54924185518</v>
      </c>
      <c r="F58" s="20">
        <f t="shared" ref="F58:AK58" si="56">MIN(E58,F57)</f>
        <v>-118459.10506136656</v>
      </c>
      <c r="G58" s="20">
        <f t="shared" si="56"/>
        <v>-188592.21059261131</v>
      </c>
      <c r="H58" s="20">
        <f t="shared" si="56"/>
        <v>-296334.16483159299</v>
      </c>
      <c r="I58" s="20">
        <f t="shared" si="56"/>
        <v>-403901.64475895232</v>
      </c>
      <c r="J58" s="20">
        <f t="shared" si="56"/>
        <v>-502594.37315163086</v>
      </c>
      <c r="K58" s="20">
        <f t="shared" si="56"/>
        <v>-601410.46745480027</v>
      </c>
      <c r="L58" s="20">
        <f t="shared" si="56"/>
        <v>-775760.55848065147</v>
      </c>
      <c r="M58" s="20">
        <f t="shared" si="56"/>
        <v>-929041.99006009789</v>
      </c>
      <c r="N58" s="20">
        <f t="shared" si="56"/>
        <v>-1133662.1951759944</v>
      </c>
      <c r="O58" s="20">
        <f t="shared" si="56"/>
        <v>-1334932.8728658429</v>
      </c>
      <c r="P58" s="20">
        <f t="shared" si="56"/>
        <v>-1542690.452872134</v>
      </c>
      <c r="Q58" s="20">
        <f t="shared" si="56"/>
        <v>-1803229.2422935376</v>
      </c>
      <c r="R58" s="20">
        <f t="shared" si="56"/>
        <v>-2041583.6677690211</v>
      </c>
      <c r="S58" s="20">
        <f t="shared" si="56"/>
        <v>-2275673.793319202</v>
      </c>
      <c r="T58" s="20">
        <f t="shared" si="56"/>
        <v>-2505240.6299673109</v>
      </c>
      <c r="U58" s="20">
        <f t="shared" si="56"/>
        <v>-2730072.6947578937</v>
      </c>
      <c r="V58" s="20">
        <f t="shared" si="56"/>
        <v>-2949969.7759900973</v>
      </c>
      <c r="W58" s="20">
        <f t="shared" si="56"/>
        <v>-3299823.3465930573</v>
      </c>
      <c r="X58" s="20">
        <f t="shared" si="56"/>
        <v>-3503602.0636409512</v>
      </c>
      <c r="Y58" s="20">
        <f t="shared" si="56"/>
        <v>-3701904.5659051468</v>
      </c>
      <c r="Z58" s="20">
        <f t="shared" si="56"/>
        <v>-3894854.8524189042</v>
      </c>
      <c r="AA58" s="20">
        <f t="shared" si="56"/>
        <v>-4082241.9288580567</v>
      </c>
      <c r="AB58" s="20">
        <f t="shared" si="56"/>
        <v>-4290123.2876908658</v>
      </c>
      <c r="AC58" s="20">
        <f t="shared" si="56"/>
        <v>-4524784.5165589321</v>
      </c>
      <c r="AD58" s="20">
        <f t="shared" si="56"/>
        <v>-4748017.9741163151</v>
      </c>
      <c r="AE58" s="20">
        <f t="shared" si="56"/>
        <v>-4958938.956570317</v>
      </c>
      <c r="AF58" s="20">
        <f t="shared" si="56"/>
        <v>-5156572.1144616576</v>
      </c>
      <c r="AG58" s="20">
        <f t="shared" si="56"/>
        <v>-5339840.9344149865</v>
      </c>
      <c r="AH58" s="20">
        <f t="shared" si="56"/>
        <v>-5507558.2439283608</v>
      </c>
      <c r="AI58" s="20">
        <f t="shared" si="56"/>
        <v>-5658413.5886432454</v>
      </c>
      <c r="AJ58" s="20">
        <f t="shared" si="56"/>
        <v>-5790961.4097363418</v>
      </c>
      <c r="AK58" s="20">
        <f t="shared" si="56"/>
        <v>-5903605.8471005047</v>
      </c>
      <c r="AL58" s="20">
        <f t="shared" ref="AL58:BQ58" si="57">MIN(AK58,AL57)</f>
        <v>-5994586.0696302233</v>
      </c>
      <c r="AM58" s="20">
        <f t="shared" si="57"/>
        <v>-6061957.929126109</v>
      </c>
      <c r="AN58" s="20">
        <f t="shared" si="57"/>
        <v>-6103576.3127574194</v>
      </c>
      <c r="AO58" s="20">
        <f t="shared" si="57"/>
        <v>-6171564.6472499724</v>
      </c>
      <c r="AP58" s="20">
        <f t="shared" si="57"/>
        <v>-6222774.498613907</v>
      </c>
      <c r="AQ58" s="20">
        <f t="shared" si="57"/>
        <v>-6256117.6601213459</v>
      </c>
      <c r="AR58" s="20">
        <f t="shared" si="57"/>
        <v>-6270426.5129880281</v>
      </c>
      <c r="AS58" s="20">
        <f t="shared" si="57"/>
        <v>-6270426.5129880281</v>
      </c>
      <c r="AT58" s="20">
        <f t="shared" si="57"/>
        <v>-6270426.5129880281</v>
      </c>
      <c r="AU58" s="20">
        <f t="shared" si="57"/>
        <v>-6270426.5129880281</v>
      </c>
      <c r="AV58" s="20">
        <f t="shared" si="57"/>
        <v>-6270426.5129880281</v>
      </c>
      <c r="AW58" s="20">
        <f t="shared" si="57"/>
        <v>-6270426.5129880281</v>
      </c>
      <c r="AX58" s="20">
        <f t="shared" si="57"/>
        <v>-6270426.5129880281</v>
      </c>
      <c r="AY58" s="20">
        <f t="shared" si="57"/>
        <v>-6270426.5129880281</v>
      </c>
      <c r="AZ58" s="20">
        <f t="shared" si="57"/>
        <v>-6270426.5129880281</v>
      </c>
      <c r="BA58" s="20">
        <f t="shared" si="57"/>
        <v>-6270426.5129880281</v>
      </c>
      <c r="BB58" s="20">
        <f t="shared" si="57"/>
        <v>-6270426.5129880281</v>
      </c>
      <c r="BC58" s="20">
        <f t="shared" si="57"/>
        <v>-6270426.5129880281</v>
      </c>
      <c r="BD58" s="20">
        <f t="shared" si="57"/>
        <v>-6270426.5129880281</v>
      </c>
      <c r="BE58" s="20">
        <f t="shared" si="57"/>
        <v>-6270426.5129880281</v>
      </c>
      <c r="BF58" s="20">
        <f t="shared" si="57"/>
        <v>-6270426.5129880281</v>
      </c>
      <c r="BG58" s="20">
        <f t="shared" si="57"/>
        <v>-6270426.5129880281</v>
      </c>
      <c r="BH58" s="20">
        <f t="shared" si="57"/>
        <v>-6270426.5129880281</v>
      </c>
      <c r="BI58" s="20">
        <f t="shared" si="57"/>
        <v>-6270426.5129880281</v>
      </c>
      <c r="BJ58" s="20">
        <f t="shared" si="57"/>
        <v>-6270426.5129880281</v>
      </c>
      <c r="BK58" s="20">
        <f t="shared" si="57"/>
        <v>-6270426.5129880281</v>
      </c>
      <c r="BL58" s="20">
        <f t="shared" si="57"/>
        <v>-6270426.5129880281</v>
      </c>
    </row>
    <row r="59" spans="2:64" x14ac:dyDescent="0.35">
      <c r="B59" s="3" t="s">
        <v>437</v>
      </c>
      <c r="C59" s="18" t="s">
        <v>415</v>
      </c>
      <c r="D59" s="13">
        <f>SUM(E59:BL59)</f>
        <v>0</v>
      </c>
      <c r="F59" s="13">
        <f t="shared" ref="F59:AK59" si="58">IF(AND(F57&gt;=0,E58&lt;0),1,0)</f>
        <v>0</v>
      </c>
      <c r="G59" s="13">
        <f t="shared" si="58"/>
        <v>0</v>
      </c>
      <c r="H59" s="13">
        <f t="shared" si="58"/>
        <v>0</v>
      </c>
      <c r="I59" s="13">
        <f t="shared" si="58"/>
        <v>0</v>
      </c>
      <c r="J59" s="13">
        <f t="shared" si="58"/>
        <v>0</v>
      </c>
      <c r="K59" s="13">
        <f t="shared" si="58"/>
        <v>0</v>
      </c>
      <c r="L59" s="13">
        <f t="shared" si="58"/>
        <v>0</v>
      </c>
      <c r="M59" s="13">
        <f t="shared" si="58"/>
        <v>0</v>
      </c>
      <c r="N59" s="13">
        <f t="shared" si="58"/>
        <v>0</v>
      </c>
      <c r="O59" s="13">
        <f t="shared" si="58"/>
        <v>0</v>
      </c>
      <c r="P59" s="13">
        <f t="shared" si="58"/>
        <v>0</v>
      </c>
      <c r="Q59" s="13">
        <f t="shared" si="58"/>
        <v>0</v>
      </c>
      <c r="R59" s="13">
        <f t="shared" si="58"/>
        <v>0</v>
      </c>
      <c r="S59" s="13">
        <f t="shared" si="58"/>
        <v>0</v>
      </c>
      <c r="T59" s="13">
        <f t="shared" si="58"/>
        <v>0</v>
      </c>
      <c r="U59" s="13">
        <f t="shared" si="58"/>
        <v>0</v>
      </c>
      <c r="V59" s="13">
        <f t="shared" si="58"/>
        <v>0</v>
      </c>
      <c r="W59" s="13">
        <f t="shared" si="58"/>
        <v>0</v>
      </c>
      <c r="X59" s="13">
        <f t="shared" si="58"/>
        <v>0</v>
      </c>
      <c r="Y59" s="13">
        <f t="shared" si="58"/>
        <v>0</v>
      </c>
      <c r="Z59" s="13">
        <f t="shared" si="58"/>
        <v>0</v>
      </c>
      <c r="AA59" s="13">
        <f t="shared" si="58"/>
        <v>0</v>
      </c>
      <c r="AB59" s="13">
        <f t="shared" si="58"/>
        <v>0</v>
      </c>
      <c r="AC59" s="13">
        <f t="shared" si="58"/>
        <v>0</v>
      </c>
      <c r="AD59" s="13">
        <f t="shared" si="58"/>
        <v>0</v>
      </c>
      <c r="AE59" s="13">
        <f t="shared" si="58"/>
        <v>0</v>
      </c>
      <c r="AF59" s="13">
        <f t="shared" si="58"/>
        <v>0</v>
      </c>
      <c r="AG59" s="13">
        <f t="shared" si="58"/>
        <v>0</v>
      </c>
      <c r="AH59" s="13">
        <f t="shared" si="58"/>
        <v>0</v>
      </c>
      <c r="AI59" s="13">
        <f t="shared" si="58"/>
        <v>0</v>
      </c>
      <c r="AJ59" s="13">
        <f t="shared" si="58"/>
        <v>0</v>
      </c>
      <c r="AK59" s="13">
        <f t="shared" si="58"/>
        <v>0</v>
      </c>
      <c r="AL59" s="13">
        <f t="shared" ref="AL59:BL59" si="59">IF(AND(AL57&gt;=0,AK58&lt;0),1,0)</f>
        <v>0</v>
      </c>
      <c r="AM59" s="13">
        <f t="shared" si="59"/>
        <v>0</v>
      </c>
      <c r="AN59" s="13">
        <f t="shared" si="59"/>
        <v>0</v>
      </c>
      <c r="AO59" s="13">
        <f t="shared" si="59"/>
        <v>0</v>
      </c>
      <c r="AP59" s="13">
        <f t="shared" si="59"/>
        <v>0</v>
      </c>
      <c r="AQ59" s="13">
        <f t="shared" si="59"/>
        <v>0</v>
      </c>
      <c r="AR59" s="13">
        <f t="shared" si="59"/>
        <v>0</v>
      </c>
      <c r="AS59" s="13">
        <f t="shared" si="59"/>
        <v>0</v>
      </c>
      <c r="AT59" s="13">
        <f t="shared" si="59"/>
        <v>0</v>
      </c>
      <c r="AU59" s="13">
        <f t="shared" si="59"/>
        <v>0</v>
      </c>
      <c r="AV59" s="13">
        <f t="shared" si="59"/>
        <v>0</v>
      </c>
      <c r="AW59" s="13">
        <f t="shared" si="59"/>
        <v>0</v>
      </c>
      <c r="AX59" s="13">
        <f t="shared" si="59"/>
        <v>0</v>
      </c>
      <c r="AY59" s="13">
        <f t="shared" si="59"/>
        <v>0</v>
      </c>
      <c r="AZ59" s="13">
        <f t="shared" si="59"/>
        <v>0</v>
      </c>
      <c r="BA59" s="13">
        <f t="shared" si="59"/>
        <v>0</v>
      </c>
      <c r="BB59" s="13">
        <f t="shared" si="59"/>
        <v>0</v>
      </c>
      <c r="BC59" s="13">
        <f t="shared" si="59"/>
        <v>0</v>
      </c>
      <c r="BD59" s="13">
        <f t="shared" si="59"/>
        <v>0</v>
      </c>
      <c r="BE59" s="13">
        <f t="shared" si="59"/>
        <v>0</v>
      </c>
      <c r="BF59" s="13">
        <f t="shared" si="59"/>
        <v>0</v>
      </c>
      <c r="BG59" s="13">
        <f t="shared" si="59"/>
        <v>0</v>
      </c>
      <c r="BH59" s="13">
        <f t="shared" si="59"/>
        <v>0</v>
      </c>
      <c r="BI59" s="13">
        <f t="shared" si="59"/>
        <v>0</v>
      </c>
      <c r="BJ59" s="13">
        <f t="shared" si="59"/>
        <v>0</v>
      </c>
      <c r="BK59" s="13">
        <f t="shared" si="59"/>
        <v>0</v>
      </c>
      <c r="BL59" s="13">
        <f t="shared" si="59"/>
        <v>0</v>
      </c>
    </row>
    <row r="60" spans="2:64" x14ac:dyDescent="0.35">
      <c r="B60" s="3" t="s">
        <v>438</v>
      </c>
      <c r="C60" s="18" t="s">
        <v>203</v>
      </c>
      <c r="D60" s="77">
        <f>IF(SUM(E55:BL55)&gt;0,61-SUM(E55:BL55),0)</f>
        <v>42</v>
      </c>
    </row>
    <row r="61" spans="2:64" x14ac:dyDescent="0.35">
      <c r="B61" s="3" t="s">
        <v>17</v>
      </c>
      <c r="C61" s="18" t="s">
        <v>439</v>
      </c>
      <c r="D61" s="3" t="str">
        <f>IF(D60=0,"not reached",CHOOSE(MOD(D60-1,12)+1,"Jan","Feb","Mar","Apr","May","Jun","Jul","Aug","Sep","Oct","Nov","Dec")&amp;" "&amp;(2027+INT((D60-1)/12))&amp;" (month "&amp;D60&amp;")")</f>
        <v>Jun 2030 (month 42)</v>
      </c>
    </row>
    <row r="62" spans="2:64" x14ac:dyDescent="0.35">
      <c r="B62" s="3" t="s">
        <v>440</v>
      </c>
      <c r="C62" s="18" t="s">
        <v>203</v>
      </c>
      <c r="D62" s="77">
        <f>IF(SUM(E56:BL56)&gt;0,61-SUM(E56:BL56),0)</f>
        <v>41</v>
      </c>
    </row>
    <row r="63" spans="2:64" x14ac:dyDescent="0.35">
      <c r="B63" s="3" t="s">
        <v>261</v>
      </c>
      <c r="C63" s="18" t="s">
        <v>439</v>
      </c>
      <c r="D63" s="3" t="str">
        <f>IF(D62=0,"not reached",CHOOSE(MOD(D62-1,12)+1,"Jan","Feb","Mar","Apr","May","Jun","Jul","Aug","Sep","Oct","Nov","Dec")&amp;" "&amp;(2027+INT((D62-1)/12))&amp;" (month "&amp;D62&amp;")")</f>
        <v>May 2030 (month 41)</v>
      </c>
    </row>
    <row r="64" spans="2:64" x14ac:dyDescent="0.35">
      <c r="B64" s="3" t="s">
        <v>15</v>
      </c>
      <c r="C64" s="18" t="s">
        <v>111</v>
      </c>
      <c r="D64" s="56">
        <f>MIN(E48:BL48)</f>
        <v>423589.53254519962</v>
      </c>
    </row>
    <row r="65" spans="2:64" x14ac:dyDescent="0.35">
      <c r="B65" s="3" t="s">
        <v>441</v>
      </c>
      <c r="C65" s="18" t="s">
        <v>203</v>
      </c>
      <c r="D65" s="13">
        <f>MATCH(D64,E48:BL48,0)</f>
        <v>7</v>
      </c>
    </row>
    <row r="66" spans="2:64" x14ac:dyDescent="0.35">
      <c r="B66" s="3" t="s">
        <v>16</v>
      </c>
      <c r="C66" s="18" t="s">
        <v>439</v>
      </c>
      <c r="D66" s="3" t="str">
        <f>IF(D65=0,"not reached",CHOOSE(MOD(D65-1,12)+1,"Jan","Feb","Mar","Apr","May","Jun","Jul","Aug","Sep","Oct","Nov","Dec")&amp;" "&amp;(2027+INT((D65-1)/12))&amp;" (month "&amp;D65&amp;")")</f>
        <v>Jul 2027 (month 7)</v>
      </c>
    </row>
    <row r="67" spans="2:64" x14ac:dyDescent="0.35">
      <c r="B67" s="3" t="s">
        <v>442</v>
      </c>
      <c r="C67" s="18" t="s">
        <v>203</v>
      </c>
      <c r="D67" s="77">
        <f>IF(SUM(E59:BL59)&gt;0,MATCH(1,E59:BL59,0),0)</f>
        <v>0</v>
      </c>
    </row>
    <row r="68" spans="2:64" x14ac:dyDescent="0.35">
      <c r="B68" s="3" t="s">
        <v>263</v>
      </c>
      <c r="C68" s="18" t="s">
        <v>439</v>
      </c>
      <c r="D68" s="3" t="str">
        <f>IF(D67=0,"not reached",CHOOSE(MOD(D67-1,12)+1,"Jan","Feb","Mar","Apr","May","Jun","Jul","Aug","Sep","Oct","Nov","Dec")&amp;" "&amp;(2027+INT((D67-1)/12))&amp;" (month "&amp;D67&amp;")")</f>
        <v>not reached</v>
      </c>
    </row>
    <row r="69" spans="2:64" x14ac:dyDescent="0.35">
      <c r="B69" s="3" t="s">
        <v>443</v>
      </c>
      <c r="C69" s="18" t="s">
        <v>203</v>
      </c>
      <c r="D69" s="77">
        <f>IF(SUM(E53:BL53)&gt;0,MATCH(1,E53:BL53,0),0)</f>
        <v>0</v>
      </c>
    </row>
    <row r="70" spans="2:64" x14ac:dyDescent="0.35">
      <c r="B70" s="3" t="s">
        <v>258</v>
      </c>
      <c r="C70" s="18" t="s">
        <v>439</v>
      </c>
      <c r="D70" s="3" t="str">
        <f>IF(D69=0,"not within 60 months",CHOOSE(MOD(D69-1,12)+1,"Jan","Feb","Mar","Apr","May","Jun","Jul","Aug","Sep","Oct","Nov","Dec")&amp;" "&amp;(2027+INT((D69-1)/12))&amp;" (month "&amp;D69&amp;")")</f>
        <v>not within 60 months</v>
      </c>
    </row>
    <row r="71" spans="2:64" x14ac:dyDescent="0.35">
      <c r="B71" s="16" t="s">
        <v>398</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row>
    <row r="72" spans="2:64" x14ac:dyDescent="0.35">
      <c r="B72" s="3" t="s">
        <v>444</v>
      </c>
      <c r="C72" s="18" t="s">
        <v>111</v>
      </c>
      <c r="D72" s="53">
        <f>MAX(MAX(E72:BL72),-MIN(E72:BL72))</f>
        <v>0</v>
      </c>
      <c r="E72" s="40">
        <f>E48-(Inputs!$E$68+SUM($E28:E28)-SUM($E30:E30)-SUM($E40:E40)+SUM($E35:E35)+SUM($E45:E45))</f>
        <v>0</v>
      </c>
      <c r="F72" s="40">
        <f>F48-(Inputs!$E$68+SUM($E28:F28)-SUM($E30:F30)-SUM($E40:F40)+SUM($E35:F35)+SUM($E45:F45))</f>
        <v>0</v>
      </c>
      <c r="G72" s="40">
        <f>G48-(Inputs!$E$68+SUM($E28:G28)-SUM($E30:G30)-SUM($E40:G40)+SUM($E35:G35)+SUM($E45:G45))</f>
        <v>0</v>
      </c>
      <c r="H72" s="40">
        <f>H48-(Inputs!$E$68+SUM($E28:H28)-SUM($E30:H30)-SUM($E40:H40)+SUM($E35:H35)+SUM($E45:H45))</f>
        <v>0</v>
      </c>
      <c r="I72" s="40">
        <f>I48-(Inputs!$E$68+SUM($E28:I28)-SUM($E30:I30)-SUM($E40:I40)+SUM($E35:I35)+SUM($E45:I45))</f>
        <v>0</v>
      </c>
      <c r="J72" s="40">
        <f>J48-(Inputs!$E$68+SUM($E28:J28)-SUM($E30:J30)-SUM($E40:J40)+SUM($E35:J35)+SUM($E45:J45))</f>
        <v>0</v>
      </c>
      <c r="K72" s="40">
        <f>K48-(Inputs!$E$68+SUM($E28:K28)-SUM($E30:K30)-SUM($E40:K40)+SUM($E35:K35)+SUM($E45:K45))</f>
        <v>0</v>
      </c>
      <c r="L72" s="40">
        <f>L48-(Inputs!$E$68+SUM($E28:L28)-SUM($E30:L30)-SUM($E40:L40)+SUM($E35:L35)+SUM($E45:L45))</f>
        <v>0</v>
      </c>
      <c r="M72" s="40">
        <f>M48-(Inputs!$E$68+SUM($E28:M28)-SUM($E30:M30)-SUM($E40:M40)+SUM($E35:M35)+SUM($E45:M45))</f>
        <v>0</v>
      </c>
      <c r="N72" s="40">
        <f>N48-(Inputs!$E$68+SUM($E28:N28)-SUM($E30:N30)-SUM($E40:N40)+SUM($E35:N35)+SUM($E45:N45))</f>
        <v>0</v>
      </c>
      <c r="O72" s="40">
        <f>O48-(Inputs!$E$68+SUM($E28:O28)-SUM($E30:O30)-SUM($E40:O40)+SUM($E35:O35)+SUM($E45:O45))</f>
        <v>0</v>
      </c>
      <c r="P72" s="40">
        <f>P48-(Inputs!$E$68+SUM($E28:P28)-SUM($E30:P30)-SUM($E40:P40)+SUM($E35:P35)+SUM($E45:P45))</f>
        <v>0</v>
      </c>
      <c r="Q72" s="40">
        <f>Q48-(Inputs!$E$68+SUM($E28:Q28)-SUM($E30:Q30)-SUM($E40:Q40)+SUM($E35:Q35)+SUM($E45:Q45))</f>
        <v>0</v>
      </c>
      <c r="R72" s="40">
        <f>R48-(Inputs!$E$68+SUM($E28:R28)-SUM($E30:R30)-SUM($E40:R40)+SUM($E35:R35)+SUM($E45:R45))</f>
        <v>0</v>
      </c>
      <c r="S72" s="40">
        <f>S48-(Inputs!$E$68+SUM($E28:S28)-SUM($E30:S30)-SUM($E40:S40)+SUM($E35:S35)+SUM($E45:S45))</f>
        <v>0</v>
      </c>
      <c r="T72" s="40">
        <f>T48-(Inputs!$E$68+SUM($E28:T28)-SUM($E30:T30)-SUM($E40:T40)+SUM($E35:T35)+SUM($E45:T45))</f>
        <v>0</v>
      </c>
      <c r="U72" s="40">
        <f>U48-(Inputs!$E$68+SUM($E28:U28)-SUM($E30:U30)-SUM($E40:U40)+SUM($E35:U35)+SUM($E45:U45))</f>
        <v>0</v>
      </c>
      <c r="V72" s="40">
        <f>V48-(Inputs!$E$68+SUM($E28:V28)-SUM($E30:V30)-SUM($E40:V40)+SUM($E35:V35)+SUM($E45:V45))</f>
        <v>0</v>
      </c>
      <c r="W72" s="40">
        <f>W48-(Inputs!$E$68+SUM($E28:W28)-SUM($E30:W30)-SUM($E40:W40)+SUM($E35:W35)+SUM($E45:W45))</f>
        <v>0</v>
      </c>
      <c r="X72" s="40">
        <f>X48-(Inputs!$E$68+SUM($E28:X28)-SUM($E30:X30)-SUM($E40:X40)+SUM($E35:X35)+SUM($E45:X45))</f>
        <v>0</v>
      </c>
      <c r="Y72" s="40">
        <f>Y48-(Inputs!$E$68+SUM($E28:Y28)-SUM($E30:Y30)-SUM($E40:Y40)+SUM($E35:Y35)+SUM($E45:Y45))</f>
        <v>0</v>
      </c>
      <c r="Z72" s="40">
        <f>Z48-(Inputs!$E$68+SUM($E28:Z28)-SUM($E30:Z30)-SUM($E40:Z40)+SUM($E35:Z35)+SUM($E45:Z45))</f>
        <v>0</v>
      </c>
      <c r="AA72" s="40">
        <f>AA48-(Inputs!$E$68+SUM($E28:AA28)-SUM($E30:AA30)-SUM($E40:AA40)+SUM($E35:AA35)+SUM($E45:AA45))</f>
        <v>0</v>
      </c>
      <c r="AB72" s="40">
        <f>AB48-(Inputs!$E$68+SUM($E28:AB28)-SUM($E30:AB30)-SUM($E40:AB40)+SUM($E35:AB35)+SUM($E45:AB45))</f>
        <v>0</v>
      </c>
      <c r="AC72" s="40">
        <f>AC48-(Inputs!$E$68+SUM($E28:AC28)-SUM($E30:AC30)-SUM($E40:AC40)+SUM($E35:AC35)+SUM($E45:AC45))</f>
        <v>0</v>
      </c>
      <c r="AD72" s="40">
        <f>AD48-(Inputs!$E$68+SUM($E28:AD28)-SUM($E30:AD30)-SUM($E40:AD40)+SUM($E35:AD35)+SUM($E45:AD45))</f>
        <v>0</v>
      </c>
      <c r="AE72" s="40">
        <f>AE48-(Inputs!$E$68+SUM($E28:AE28)-SUM($E30:AE30)-SUM($E40:AE40)+SUM($E35:AE35)+SUM($E45:AE45))</f>
        <v>0</v>
      </c>
      <c r="AF72" s="40">
        <f>AF48-(Inputs!$E$68+SUM($E28:AF28)-SUM($E30:AF30)-SUM($E40:AF40)+SUM($E35:AF35)+SUM($E45:AF45))</f>
        <v>0</v>
      </c>
      <c r="AG72" s="40">
        <f>AG48-(Inputs!$E$68+SUM($E28:AG28)-SUM($E30:AG30)-SUM($E40:AG40)+SUM($E35:AG35)+SUM($E45:AG45))</f>
        <v>0</v>
      </c>
      <c r="AH72" s="40">
        <f>AH48-(Inputs!$E$68+SUM($E28:AH28)-SUM($E30:AH30)-SUM($E40:AH40)+SUM($E35:AH35)+SUM($E45:AH45))</f>
        <v>0</v>
      </c>
      <c r="AI72" s="40">
        <f>AI48-(Inputs!$E$68+SUM($E28:AI28)-SUM($E30:AI30)-SUM($E40:AI40)+SUM($E35:AI35)+SUM($E45:AI45))</f>
        <v>0</v>
      </c>
      <c r="AJ72" s="40">
        <f>AJ48-(Inputs!$E$68+SUM($E28:AJ28)-SUM($E30:AJ30)-SUM($E40:AJ40)+SUM($E35:AJ35)+SUM($E45:AJ45))</f>
        <v>0</v>
      </c>
      <c r="AK72" s="40">
        <f>AK48-(Inputs!$E$68+SUM($E28:AK28)-SUM($E30:AK30)-SUM($E40:AK40)+SUM($E35:AK35)+SUM($E45:AK45))</f>
        <v>0</v>
      </c>
      <c r="AL72" s="40">
        <f>AL48-(Inputs!$E$68+SUM($E28:AL28)-SUM($E30:AL30)-SUM($E40:AL40)+SUM($E35:AL35)+SUM($E45:AL45))</f>
        <v>0</v>
      </c>
      <c r="AM72" s="40">
        <f>AM48-(Inputs!$E$68+SUM($E28:AM28)-SUM($E30:AM30)-SUM($E40:AM40)+SUM($E35:AM35)+SUM($E45:AM45))</f>
        <v>0</v>
      </c>
      <c r="AN72" s="40">
        <f>AN48-(Inputs!$E$68+SUM($E28:AN28)-SUM($E30:AN30)-SUM($E40:AN40)+SUM($E35:AN35)+SUM($E45:AN45))</f>
        <v>0</v>
      </c>
      <c r="AO72" s="40">
        <f>AO48-(Inputs!$E$68+SUM($E28:AO28)-SUM($E30:AO30)-SUM($E40:AO40)+SUM($E35:AO35)+SUM($E45:AO45))</f>
        <v>0</v>
      </c>
      <c r="AP72" s="40">
        <f>AP48-(Inputs!$E$68+SUM($E28:AP28)-SUM($E30:AP30)-SUM($E40:AP40)+SUM($E35:AP35)+SUM($E45:AP45))</f>
        <v>0</v>
      </c>
      <c r="AQ72" s="40">
        <f>AQ48-(Inputs!$E$68+SUM($E28:AQ28)-SUM($E30:AQ30)-SUM($E40:AQ40)+SUM($E35:AQ35)+SUM($E45:AQ45))</f>
        <v>0</v>
      </c>
      <c r="AR72" s="40">
        <f>AR48-(Inputs!$E$68+SUM($E28:AR28)-SUM($E30:AR30)-SUM($E40:AR40)+SUM($E35:AR35)+SUM($E45:AR45))</f>
        <v>0</v>
      </c>
      <c r="AS72" s="40">
        <f>AS48-(Inputs!$E$68+SUM($E28:AS28)-SUM($E30:AS30)-SUM($E40:AS40)+SUM($E35:AS35)+SUM($E45:AS45))</f>
        <v>0</v>
      </c>
      <c r="AT72" s="40">
        <f>AT48-(Inputs!$E$68+SUM($E28:AT28)-SUM($E30:AT30)-SUM($E40:AT40)+SUM($E35:AT35)+SUM($E45:AT45))</f>
        <v>0</v>
      </c>
      <c r="AU72" s="40">
        <f>AU48-(Inputs!$E$68+SUM($E28:AU28)-SUM($E30:AU30)-SUM($E40:AU40)+SUM($E35:AU35)+SUM($E45:AU45))</f>
        <v>0</v>
      </c>
      <c r="AV72" s="40">
        <f>AV48-(Inputs!$E$68+SUM($E28:AV28)-SUM($E30:AV30)-SUM($E40:AV40)+SUM($E35:AV35)+SUM($E45:AV45))</f>
        <v>0</v>
      </c>
      <c r="AW72" s="40">
        <f>AW48-(Inputs!$E$68+SUM($E28:AW28)-SUM($E30:AW30)-SUM($E40:AW40)+SUM($E35:AW35)+SUM($E45:AW45))</f>
        <v>0</v>
      </c>
      <c r="AX72" s="40">
        <f>AX48-(Inputs!$E$68+SUM($E28:AX28)-SUM($E30:AX30)-SUM($E40:AX40)+SUM($E35:AX35)+SUM($E45:AX45))</f>
        <v>0</v>
      </c>
      <c r="AY72" s="40">
        <f>AY48-(Inputs!$E$68+SUM($E28:AY28)-SUM($E30:AY30)-SUM($E40:AY40)+SUM($E35:AY35)+SUM($E45:AY45))</f>
        <v>0</v>
      </c>
      <c r="AZ72" s="40">
        <f>AZ48-(Inputs!$E$68+SUM($E28:AZ28)-SUM($E30:AZ30)-SUM($E40:AZ40)+SUM($E35:AZ35)+SUM($E45:AZ45))</f>
        <v>0</v>
      </c>
      <c r="BA72" s="40">
        <f>BA48-(Inputs!$E$68+SUM($E28:BA28)-SUM($E30:BA30)-SUM($E40:BA40)+SUM($E35:BA35)+SUM($E45:BA45))</f>
        <v>0</v>
      </c>
      <c r="BB72" s="40">
        <f>BB48-(Inputs!$E$68+SUM($E28:BB28)-SUM($E30:BB30)-SUM($E40:BB40)+SUM($E35:BB35)+SUM($E45:BB45))</f>
        <v>0</v>
      </c>
      <c r="BC72" s="40">
        <f>BC48-(Inputs!$E$68+SUM($E28:BC28)-SUM($E30:BC30)-SUM($E40:BC40)+SUM($E35:BC35)+SUM($E45:BC45))</f>
        <v>0</v>
      </c>
      <c r="BD72" s="40">
        <f>BD48-(Inputs!$E$68+SUM($E28:BD28)-SUM($E30:BD30)-SUM($E40:BD40)+SUM($E35:BD35)+SUM($E45:BD45))</f>
        <v>0</v>
      </c>
      <c r="BE72" s="40">
        <f>BE48-(Inputs!$E$68+SUM($E28:BE28)-SUM($E30:BE30)-SUM($E40:BE40)+SUM($E35:BE35)+SUM($E45:BE45))</f>
        <v>0</v>
      </c>
      <c r="BF72" s="40">
        <f>BF48-(Inputs!$E$68+SUM($E28:BF28)-SUM($E30:BF30)-SUM($E40:BF40)+SUM($E35:BF35)+SUM($E45:BF45))</f>
        <v>0</v>
      </c>
      <c r="BG72" s="40">
        <f>BG48-(Inputs!$E$68+SUM($E28:BG28)-SUM($E30:BG30)-SUM($E40:BG40)+SUM($E35:BG35)+SUM($E45:BG45))</f>
        <v>0</v>
      </c>
      <c r="BH72" s="40">
        <f>BH48-(Inputs!$E$68+SUM($E28:BH28)-SUM($E30:BH30)-SUM($E40:BH40)+SUM($E35:BH35)+SUM($E45:BH45))</f>
        <v>0</v>
      </c>
      <c r="BI72" s="40">
        <f>BI48-(Inputs!$E$68+SUM($E28:BI28)-SUM($E30:BI30)-SUM($E40:BI40)+SUM($E35:BI35)+SUM($E45:BI45))</f>
        <v>0</v>
      </c>
      <c r="BJ72" s="40">
        <f>BJ48-(Inputs!$E$68+SUM($E28:BJ28)-SUM($E30:BJ30)-SUM($E40:BJ40)+SUM($E35:BJ35)+SUM($E45:BJ45))</f>
        <v>0</v>
      </c>
      <c r="BK72" s="40">
        <f>BK48-(Inputs!$E$68+SUM($E28:BK28)-SUM($E30:BK30)-SUM($E40:BK40)+SUM($E35:BK35)+SUM($E45:BK45))</f>
        <v>0</v>
      </c>
      <c r="BL72" s="40">
        <f>BL48-(Inputs!$E$68+SUM($E28:BL28)-SUM($E30:BL30)-SUM($E40:BL40)+SUM($E35:BL35)+SUM($E45:BL45))</f>
        <v>0</v>
      </c>
    </row>
  </sheetData>
  <pageMargins left="0.4" right="0.4" top="0.5" bottom="0.5" header="0.5" footer="0.5"/>
  <pageSetup paperSize="9" fitToHeight="0"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F7F7F"/>
    <pageSetUpPr fitToPage="1"/>
  </sheetPr>
  <dimension ref="B1:BL72"/>
  <sheetViews>
    <sheetView showGridLines="0" workbookViewId="0">
      <pane xSplit="4" ySplit="8" topLeftCell="E9" activePane="bottomRight" state="frozen"/>
      <selection pane="topRight"/>
      <selection pane="bottomLeft"/>
      <selection pane="bottomRight"/>
    </sheetView>
  </sheetViews>
  <sheetFormatPr defaultRowHeight="14.5" x14ac:dyDescent="0.35"/>
  <cols>
    <col min="1" max="1" width="2" customWidth="1"/>
    <col min="2" max="2" width="62" customWidth="1"/>
    <col min="3" max="3" width="9" customWidth="1"/>
    <col min="4" max="4" width="16" customWidth="1"/>
    <col min="5" max="64" width="11.453125" customWidth="1"/>
  </cols>
  <sheetData>
    <row r="1" spans="2:64" ht="20" x14ac:dyDescent="0.4">
      <c r="B1" s="11" t="s">
        <v>446</v>
      </c>
    </row>
    <row r="2" spans="2:64" x14ac:dyDescent="0.35">
      <c r="B2" s="9" t="s">
        <v>95</v>
      </c>
    </row>
    <row r="3" spans="2:64" x14ac:dyDescent="0.35">
      <c r="B3" s="9" t="s">
        <v>411</v>
      </c>
    </row>
    <row r="4" spans="2:64" x14ac:dyDescent="0.35">
      <c r="B4" s="3" t="s">
        <v>277</v>
      </c>
      <c r="E4" s="13">
        <v>1</v>
      </c>
      <c r="F4" s="13">
        <f t="shared" ref="F4:AK4" si="0">E4+1</f>
        <v>2</v>
      </c>
      <c r="G4" s="13">
        <f t="shared" si="0"/>
        <v>3</v>
      </c>
      <c r="H4" s="13">
        <f t="shared" si="0"/>
        <v>4</v>
      </c>
      <c r="I4" s="13">
        <f t="shared" si="0"/>
        <v>5</v>
      </c>
      <c r="J4" s="13">
        <f t="shared" si="0"/>
        <v>6</v>
      </c>
      <c r="K4" s="13">
        <f t="shared" si="0"/>
        <v>7</v>
      </c>
      <c r="L4" s="13">
        <f t="shared" si="0"/>
        <v>8</v>
      </c>
      <c r="M4" s="13">
        <f t="shared" si="0"/>
        <v>9</v>
      </c>
      <c r="N4" s="13">
        <f t="shared" si="0"/>
        <v>10</v>
      </c>
      <c r="O4" s="13">
        <f t="shared" si="0"/>
        <v>11</v>
      </c>
      <c r="P4" s="13">
        <f t="shared" si="0"/>
        <v>12</v>
      </c>
      <c r="Q4" s="13">
        <f t="shared" si="0"/>
        <v>13</v>
      </c>
      <c r="R4" s="13">
        <f t="shared" si="0"/>
        <v>14</v>
      </c>
      <c r="S4" s="13">
        <f t="shared" si="0"/>
        <v>15</v>
      </c>
      <c r="T4" s="13">
        <f t="shared" si="0"/>
        <v>16</v>
      </c>
      <c r="U4" s="13">
        <f t="shared" si="0"/>
        <v>17</v>
      </c>
      <c r="V4" s="13">
        <f t="shared" si="0"/>
        <v>18</v>
      </c>
      <c r="W4" s="13">
        <f t="shared" si="0"/>
        <v>19</v>
      </c>
      <c r="X4" s="13">
        <f t="shared" si="0"/>
        <v>20</v>
      </c>
      <c r="Y4" s="13">
        <f t="shared" si="0"/>
        <v>21</v>
      </c>
      <c r="Z4" s="13">
        <f t="shared" si="0"/>
        <v>22</v>
      </c>
      <c r="AA4" s="13">
        <f t="shared" si="0"/>
        <v>23</v>
      </c>
      <c r="AB4" s="13">
        <f t="shared" si="0"/>
        <v>24</v>
      </c>
      <c r="AC4" s="13">
        <f t="shared" si="0"/>
        <v>25</v>
      </c>
      <c r="AD4" s="13">
        <f t="shared" si="0"/>
        <v>26</v>
      </c>
      <c r="AE4" s="13">
        <f t="shared" si="0"/>
        <v>27</v>
      </c>
      <c r="AF4" s="13">
        <f t="shared" si="0"/>
        <v>28</v>
      </c>
      <c r="AG4" s="13">
        <f t="shared" si="0"/>
        <v>29</v>
      </c>
      <c r="AH4" s="13">
        <f t="shared" si="0"/>
        <v>30</v>
      </c>
      <c r="AI4" s="13">
        <f t="shared" si="0"/>
        <v>31</v>
      </c>
      <c r="AJ4" s="13">
        <f t="shared" si="0"/>
        <v>32</v>
      </c>
      <c r="AK4" s="13">
        <f t="shared" si="0"/>
        <v>33</v>
      </c>
      <c r="AL4" s="13">
        <f t="shared" ref="AL4:BL4" si="1">AK4+1</f>
        <v>34</v>
      </c>
      <c r="AM4" s="13">
        <f t="shared" si="1"/>
        <v>35</v>
      </c>
      <c r="AN4" s="13">
        <f t="shared" si="1"/>
        <v>36</v>
      </c>
      <c r="AO4" s="13">
        <f t="shared" si="1"/>
        <v>37</v>
      </c>
      <c r="AP4" s="13">
        <f t="shared" si="1"/>
        <v>38</v>
      </c>
      <c r="AQ4" s="13">
        <f t="shared" si="1"/>
        <v>39</v>
      </c>
      <c r="AR4" s="13">
        <f t="shared" si="1"/>
        <v>40</v>
      </c>
      <c r="AS4" s="13">
        <f t="shared" si="1"/>
        <v>41</v>
      </c>
      <c r="AT4" s="13">
        <f t="shared" si="1"/>
        <v>42</v>
      </c>
      <c r="AU4" s="13">
        <f t="shared" si="1"/>
        <v>43</v>
      </c>
      <c r="AV4" s="13">
        <f t="shared" si="1"/>
        <v>44</v>
      </c>
      <c r="AW4" s="13">
        <f t="shared" si="1"/>
        <v>45</v>
      </c>
      <c r="AX4" s="13">
        <f t="shared" si="1"/>
        <v>46</v>
      </c>
      <c r="AY4" s="13">
        <f t="shared" si="1"/>
        <v>47</v>
      </c>
      <c r="AZ4" s="13">
        <f t="shared" si="1"/>
        <v>48</v>
      </c>
      <c r="BA4" s="13">
        <f t="shared" si="1"/>
        <v>49</v>
      </c>
      <c r="BB4" s="13">
        <f t="shared" si="1"/>
        <v>50</v>
      </c>
      <c r="BC4" s="13">
        <f t="shared" si="1"/>
        <v>51</v>
      </c>
      <c r="BD4" s="13">
        <f t="shared" si="1"/>
        <v>52</v>
      </c>
      <c r="BE4" s="13">
        <f t="shared" si="1"/>
        <v>53</v>
      </c>
      <c r="BF4" s="13">
        <f t="shared" si="1"/>
        <v>54</v>
      </c>
      <c r="BG4" s="13">
        <f t="shared" si="1"/>
        <v>55</v>
      </c>
      <c r="BH4" s="13">
        <f t="shared" si="1"/>
        <v>56</v>
      </c>
      <c r="BI4" s="13">
        <f t="shared" si="1"/>
        <v>57</v>
      </c>
      <c r="BJ4" s="13">
        <f t="shared" si="1"/>
        <v>58</v>
      </c>
      <c r="BK4" s="13">
        <f t="shared" si="1"/>
        <v>59</v>
      </c>
      <c r="BL4" s="13">
        <f t="shared" si="1"/>
        <v>60</v>
      </c>
    </row>
    <row r="5" spans="2:64" x14ac:dyDescent="0.35">
      <c r="B5" s="3" t="s">
        <v>278</v>
      </c>
      <c r="E5" s="38">
        <f t="shared" ref="E5:AJ5" si="2">DATE(2027,E4,1)</f>
        <v>46388</v>
      </c>
      <c r="F5" s="38">
        <f t="shared" si="2"/>
        <v>46419</v>
      </c>
      <c r="G5" s="38">
        <f t="shared" si="2"/>
        <v>46447</v>
      </c>
      <c r="H5" s="38">
        <f t="shared" si="2"/>
        <v>46478</v>
      </c>
      <c r="I5" s="38">
        <f t="shared" si="2"/>
        <v>46508</v>
      </c>
      <c r="J5" s="38">
        <f t="shared" si="2"/>
        <v>46539</v>
      </c>
      <c r="K5" s="38">
        <f t="shared" si="2"/>
        <v>46569</v>
      </c>
      <c r="L5" s="38">
        <f t="shared" si="2"/>
        <v>46600</v>
      </c>
      <c r="M5" s="38">
        <f t="shared" si="2"/>
        <v>46631</v>
      </c>
      <c r="N5" s="38">
        <f t="shared" si="2"/>
        <v>46661</v>
      </c>
      <c r="O5" s="38">
        <f t="shared" si="2"/>
        <v>46692</v>
      </c>
      <c r="P5" s="38">
        <f t="shared" si="2"/>
        <v>46722</v>
      </c>
      <c r="Q5" s="38">
        <f t="shared" si="2"/>
        <v>46753</v>
      </c>
      <c r="R5" s="38">
        <f t="shared" si="2"/>
        <v>46784</v>
      </c>
      <c r="S5" s="38">
        <f t="shared" si="2"/>
        <v>46813</v>
      </c>
      <c r="T5" s="38">
        <f t="shared" si="2"/>
        <v>46844</v>
      </c>
      <c r="U5" s="38">
        <f t="shared" si="2"/>
        <v>46874</v>
      </c>
      <c r="V5" s="38">
        <f t="shared" si="2"/>
        <v>46905</v>
      </c>
      <c r="W5" s="38">
        <f t="shared" si="2"/>
        <v>46935</v>
      </c>
      <c r="X5" s="38">
        <f t="shared" si="2"/>
        <v>46966</v>
      </c>
      <c r="Y5" s="38">
        <f t="shared" si="2"/>
        <v>46997</v>
      </c>
      <c r="Z5" s="38">
        <f t="shared" si="2"/>
        <v>47027</v>
      </c>
      <c r="AA5" s="38">
        <f t="shared" si="2"/>
        <v>47058</v>
      </c>
      <c r="AB5" s="38">
        <f t="shared" si="2"/>
        <v>47088</v>
      </c>
      <c r="AC5" s="38">
        <f t="shared" si="2"/>
        <v>47119</v>
      </c>
      <c r="AD5" s="38">
        <f t="shared" si="2"/>
        <v>47150</v>
      </c>
      <c r="AE5" s="38">
        <f t="shared" si="2"/>
        <v>47178</v>
      </c>
      <c r="AF5" s="38">
        <f t="shared" si="2"/>
        <v>47209</v>
      </c>
      <c r="AG5" s="38">
        <f t="shared" si="2"/>
        <v>47239</v>
      </c>
      <c r="AH5" s="38">
        <f t="shared" si="2"/>
        <v>47270</v>
      </c>
      <c r="AI5" s="38">
        <f t="shared" si="2"/>
        <v>47300</v>
      </c>
      <c r="AJ5" s="38">
        <f t="shared" si="2"/>
        <v>47331</v>
      </c>
      <c r="AK5" s="38">
        <f t="shared" ref="AK5:BP5" si="3">DATE(2027,AK4,1)</f>
        <v>47362</v>
      </c>
      <c r="AL5" s="38">
        <f t="shared" si="3"/>
        <v>47392</v>
      </c>
      <c r="AM5" s="38">
        <f t="shared" si="3"/>
        <v>47423</v>
      </c>
      <c r="AN5" s="38">
        <f t="shared" si="3"/>
        <v>47453</v>
      </c>
      <c r="AO5" s="38">
        <f t="shared" si="3"/>
        <v>47484</v>
      </c>
      <c r="AP5" s="38">
        <f t="shared" si="3"/>
        <v>47515</v>
      </c>
      <c r="AQ5" s="38">
        <f t="shared" si="3"/>
        <v>47543</v>
      </c>
      <c r="AR5" s="38">
        <f t="shared" si="3"/>
        <v>47574</v>
      </c>
      <c r="AS5" s="38">
        <f t="shared" si="3"/>
        <v>47604</v>
      </c>
      <c r="AT5" s="38">
        <f t="shared" si="3"/>
        <v>47635</v>
      </c>
      <c r="AU5" s="38">
        <f t="shared" si="3"/>
        <v>47665</v>
      </c>
      <c r="AV5" s="38">
        <f t="shared" si="3"/>
        <v>47696</v>
      </c>
      <c r="AW5" s="38">
        <f t="shared" si="3"/>
        <v>47727</v>
      </c>
      <c r="AX5" s="38">
        <f t="shared" si="3"/>
        <v>47757</v>
      </c>
      <c r="AY5" s="38">
        <f t="shared" si="3"/>
        <v>47788</v>
      </c>
      <c r="AZ5" s="38">
        <f t="shared" si="3"/>
        <v>47818</v>
      </c>
      <c r="BA5" s="38">
        <f t="shared" si="3"/>
        <v>47849</v>
      </c>
      <c r="BB5" s="38">
        <f t="shared" si="3"/>
        <v>47880</v>
      </c>
      <c r="BC5" s="38">
        <f t="shared" si="3"/>
        <v>47908</v>
      </c>
      <c r="BD5" s="38">
        <f t="shared" si="3"/>
        <v>47939</v>
      </c>
      <c r="BE5" s="38">
        <f t="shared" si="3"/>
        <v>47969</v>
      </c>
      <c r="BF5" s="38">
        <f t="shared" si="3"/>
        <v>48000</v>
      </c>
      <c r="BG5" s="38">
        <f t="shared" si="3"/>
        <v>48030</v>
      </c>
      <c r="BH5" s="38">
        <f t="shared" si="3"/>
        <v>48061</v>
      </c>
      <c r="BI5" s="38">
        <f t="shared" si="3"/>
        <v>48092</v>
      </c>
      <c r="BJ5" s="38">
        <f t="shared" si="3"/>
        <v>48122</v>
      </c>
      <c r="BK5" s="38">
        <f t="shared" si="3"/>
        <v>48153</v>
      </c>
      <c r="BL5" s="38">
        <f t="shared" si="3"/>
        <v>48183</v>
      </c>
    </row>
    <row r="6" spans="2:64" x14ac:dyDescent="0.35">
      <c r="B6" s="3" t="s">
        <v>279</v>
      </c>
      <c r="E6" s="13">
        <f t="shared" ref="E6:AJ6" si="4">YEAR(E5)</f>
        <v>2027</v>
      </c>
      <c r="F6" s="13">
        <f t="shared" si="4"/>
        <v>2027</v>
      </c>
      <c r="G6" s="13">
        <f t="shared" si="4"/>
        <v>2027</v>
      </c>
      <c r="H6" s="13">
        <f t="shared" si="4"/>
        <v>2027</v>
      </c>
      <c r="I6" s="13">
        <f t="shared" si="4"/>
        <v>2027</v>
      </c>
      <c r="J6" s="13">
        <f t="shared" si="4"/>
        <v>2027</v>
      </c>
      <c r="K6" s="13">
        <f t="shared" si="4"/>
        <v>2027</v>
      </c>
      <c r="L6" s="13">
        <f t="shared" si="4"/>
        <v>2027</v>
      </c>
      <c r="M6" s="13">
        <f t="shared" si="4"/>
        <v>2027</v>
      </c>
      <c r="N6" s="13">
        <f t="shared" si="4"/>
        <v>2027</v>
      </c>
      <c r="O6" s="13">
        <f t="shared" si="4"/>
        <v>2027</v>
      </c>
      <c r="P6" s="13">
        <f t="shared" si="4"/>
        <v>2027</v>
      </c>
      <c r="Q6" s="13">
        <f t="shared" si="4"/>
        <v>2028</v>
      </c>
      <c r="R6" s="13">
        <f t="shared" si="4"/>
        <v>2028</v>
      </c>
      <c r="S6" s="13">
        <f t="shared" si="4"/>
        <v>2028</v>
      </c>
      <c r="T6" s="13">
        <f t="shared" si="4"/>
        <v>2028</v>
      </c>
      <c r="U6" s="13">
        <f t="shared" si="4"/>
        <v>2028</v>
      </c>
      <c r="V6" s="13">
        <f t="shared" si="4"/>
        <v>2028</v>
      </c>
      <c r="W6" s="13">
        <f t="shared" si="4"/>
        <v>2028</v>
      </c>
      <c r="X6" s="13">
        <f t="shared" si="4"/>
        <v>2028</v>
      </c>
      <c r="Y6" s="13">
        <f t="shared" si="4"/>
        <v>2028</v>
      </c>
      <c r="Z6" s="13">
        <f t="shared" si="4"/>
        <v>2028</v>
      </c>
      <c r="AA6" s="13">
        <f t="shared" si="4"/>
        <v>2028</v>
      </c>
      <c r="AB6" s="13">
        <f t="shared" si="4"/>
        <v>2028</v>
      </c>
      <c r="AC6" s="13">
        <f t="shared" si="4"/>
        <v>2029</v>
      </c>
      <c r="AD6" s="13">
        <f t="shared" si="4"/>
        <v>2029</v>
      </c>
      <c r="AE6" s="13">
        <f t="shared" si="4"/>
        <v>2029</v>
      </c>
      <c r="AF6" s="13">
        <f t="shared" si="4"/>
        <v>2029</v>
      </c>
      <c r="AG6" s="13">
        <f t="shared" si="4"/>
        <v>2029</v>
      </c>
      <c r="AH6" s="13">
        <f t="shared" si="4"/>
        <v>2029</v>
      </c>
      <c r="AI6" s="13">
        <f t="shared" si="4"/>
        <v>2029</v>
      </c>
      <c r="AJ6" s="13">
        <f t="shared" si="4"/>
        <v>2029</v>
      </c>
      <c r="AK6" s="13">
        <f t="shared" ref="AK6:BP6" si="5">YEAR(AK5)</f>
        <v>2029</v>
      </c>
      <c r="AL6" s="13">
        <f t="shared" si="5"/>
        <v>2029</v>
      </c>
      <c r="AM6" s="13">
        <f t="shared" si="5"/>
        <v>2029</v>
      </c>
      <c r="AN6" s="13">
        <f t="shared" si="5"/>
        <v>2029</v>
      </c>
      <c r="AO6" s="13">
        <f t="shared" si="5"/>
        <v>2030</v>
      </c>
      <c r="AP6" s="13">
        <f t="shared" si="5"/>
        <v>2030</v>
      </c>
      <c r="AQ6" s="13">
        <f t="shared" si="5"/>
        <v>2030</v>
      </c>
      <c r="AR6" s="13">
        <f t="shared" si="5"/>
        <v>2030</v>
      </c>
      <c r="AS6" s="13">
        <f t="shared" si="5"/>
        <v>2030</v>
      </c>
      <c r="AT6" s="13">
        <f t="shared" si="5"/>
        <v>2030</v>
      </c>
      <c r="AU6" s="13">
        <f t="shared" si="5"/>
        <v>2030</v>
      </c>
      <c r="AV6" s="13">
        <f t="shared" si="5"/>
        <v>2030</v>
      </c>
      <c r="AW6" s="13">
        <f t="shared" si="5"/>
        <v>2030</v>
      </c>
      <c r="AX6" s="13">
        <f t="shared" si="5"/>
        <v>2030</v>
      </c>
      <c r="AY6" s="13">
        <f t="shared" si="5"/>
        <v>2030</v>
      </c>
      <c r="AZ6" s="13">
        <f t="shared" si="5"/>
        <v>2030</v>
      </c>
      <c r="BA6" s="13">
        <f t="shared" si="5"/>
        <v>2031</v>
      </c>
      <c r="BB6" s="13">
        <f t="shared" si="5"/>
        <v>2031</v>
      </c>
      <c r="BC6" s="13">
        <f t="shared" si="5"/>
        <v>2031</v>
      </c>
      <c r="BD6" s="13">
        <f t="shared" si="5"/>
        <v>2031</v>
      </c>
      <c r="BE6" s="13">
        <f t="shared" si="5"/>
        <v>2031</v>
      </c>
      <c r="BF6" s="13">
        <f t="shared" si="5"/>
        <v>2031</v>
      </c>
      <c r="BG6" s="13">
        <f t="shared" si="5"/>
        <v>2031</v>
      </c>
      <c r="BH6" s="13">
        <f t="shared" si="5"/>
        <v>2031</v>
      </c>
      <c r="BI6" s="13">
        <f t="shared" si="5"/>
        <v>2031</v>
      </c>
      <c r="BJ6" s="13">
        <f t="shared" si="5"/>
        <v>2031</v>
      </c>
      <c r="BK6" s="13">
        <f t="shared" si="5"/>
        <v>2031</v>
      </c>
      <c r="BL6" s="13">
        <f t="shared" si="5"/>
        <v>2031</v>
      </c>
    </row>
    <row r="7" spans="2:64" x14ac:dyDescent="0.35">
      <c r="B7" s="3" t="s">
        <v>280</v>
      </c>
      <c r="E7" s="13">
        <f t="shared" ref="E7:AJ7" si="6">MONTH(E5)</f>
        <v>1</v>
      </c>
      <c r="F7" s="13">
        <f t="shared" si="6"/>
        <v>2</v>
      </c>
      <c r="G7" s="13">
        <f t="shared" si="6"/>
        <v>3</v>
      </c>
      <c r="H7" s="13">
        <f t="shared" si="6"/>
        <v>4</v>
      </c>
      <c r="I7" s="13">
        <f t="shared" si="6"/>
        <v>5</v>
      </c>
      <c r="J7" s="13">
        <f t="shared" si="6"/>
        <v>6</v>
      </c>
      <c r="K7" s="13">
        <f t="shared" si="6"/>
        <v>7</v>
      </c>
      <c r="L7" s="13">
        <f t="shared" si="6"/>
        <v>8</v>
      </c>
      <c r="M7" s="13">
        <f t="shared" si="6"/>
        <v>9</v>
      </c>
      <c r="N7" s="13">
        <f t="shared" si="6"/>
        <v>10</v>
      </c>
      <c r="O7" s="13">
        <f t="shared" si="6"/>
        <v>11</v>
      </c>
      <c r="P7" s="13">
        <f t="shared" si="6"/>
        <v>12</v>
      </c>
      <c r="Q7" s="13">
        <f t="shared" si="6"/>
        <v>1</v>
      </c>
      <c r="R7" s="13">
        <f t="shared" si="6"/>
        <v>2</v>
      </c>
      <c r="S7" s="13">
        <f t="shared" si="6"/>
        <v>3</v>
      </c>
      <c r="T7" s="13">
        <f t="shared" si="6"/>
        <v>4</v>
      </c>
      <c r="U7" s="13">
        <f t="shared" si="6"/>
        <v>5</v>
      </c>
      <c r="V7" s="13">
        <f t="shared" si="6"/>
        <v>6</v>
      </c>
      <c r="W7" s="13">
        <f t="shared" si="6"/>
        <v>7</v>
      </c>
      <c r="X7" s="13">
        <f t="shared" si="6"/>
        <v>8</v>
      </c>
      <c r="Y7" s="13">
        <f t="shared" si="6"/>
        <v>9</v>
      </c>
      <c r="Z7" s="13">
        <f t="shared" si="6"/>
        <v>10</v>
      </c>
      <c r="AA7" s="13">
        <f t="shared" si="6"/>
        <v>11</v>
      </c>
      <c r="AB7" s="13">
        <f t="shared" si="6"/>
        <v>12</v>
      </c>
      <c r="AC7" s="13">
        <f t="shared" si="6"/>
        <v>1</v>
      </c>
      <c r="AD7" s="13">
        <f t="shared" si="6"/>
        <v>2</v>
      </c>
      <c r="AE7" s="13">
        <f t="shared" si="6"/>
        <v>3</v>
      </c>
      <c r="AF7" s="13">
        <f t="shared" si="6"/>
        <v>4</v>
      </c>
      <c r="AG7" s="13">
        <f t="shared" si="6"/>
        <v>5</v>
      </c>
      <c r="AH7" s="13">
        <f t="shared" si="6"/>
        <v>6</v>
      </c>
      <c r="AI7" s="13">
        <f t="shared" si="6"/>
        <v>7</v>
      </c>
      <c r="AJ7" s="13">
        <f t="shared" si="6"/>
        <v>8</v>
      </c>
      <c r="AK7" s="13">
        <f t="shared" ref="AK7:BL7" si="7">MONTH(AK5)</f>
        <v>9</v>
      </c>
      <c r="AL7" s="13">
        <f t="shared" si="7"/>
        <v>10</v>
      </c>
      <c r="AM7" s="13">
        <f t="shared" si="7"/>
        <v>11</v>
      </c>
      <c r="AN7" s="13">
        <f t="shared" si="7"/>
        <v>12</v>
      </c>
      <c r="AO7" s="13">
        <f t="shared" si="7"/>
        <v>1</v>
      </c>
      <c r="AP7" s="13">
        <f t="shared" si="7"/>
        <v>2</v>
      </c>
      <c r="AQ7" s="13">
        <f t="shared" si="7"/>
        <v>3</v>
      </c>
      <c r="AR7" s="13">
        <f t="shared" si="7"/>
        <v>4</v>
      </c>
      <c r="AS7" s="13">
        <f t="shared" si="7"/>
        <v>5</v>
      </c>
      <c r="AT7" s="13">
        <f t="shared" si="7"/>
        <v>6</v>
      </c>
      <c r="AU7" s="13">
        <f t="shared" si="7"/>
        <v>7</v>
      </c>
      <c r="AV7" s="13">
        <f t="shared" si="7"/>
        <v>8</v>
      </c>
      <c r="AW7" s="13">
        <f t="shared" si="7"/>
        <v>9</v>
      </c>
      <c r="AX7" s="13">
        <f t="shared" si="7"/>
        <v>10</v>
      </c>
      <c r="AY7" s="13">
        <f t="shared" si="7"/>
        <v>11</v>
      </c>
      <c r="AZ7" s="13">
        <f t="shared" si="7"/>
        <v>12</v>
      </c>
      <c r="BA7" s="13">
        <f t="shared" si="7"/>
        <v>1</v>
      </c>
      <c r="BB7" s="13">
        <f t="shared" si="7"/>
        <v>2</v>
      </c>
      <c r="BC7" s="13">
        <f t="shared" si="7"/>
        <v>3</v>
      </c>
      <c r="BD7" s="13">
        <f t="shared" si="7"/>
        <v>4</v>
      </c>
      <c r="BE7" s="13">
        <f t="shared" si="7"/>
        <v>5</v>
      </c>
      <c r="BF7" s="13">
        <f t="shared" si="7"/>
        <v>6</v>
      </c>
      <c r="BG7" s="13">
        <f t="shared" si="7"/>
        <v>7</v>
      </c>
      <c r="BH7" s="13">
        <f t="shared" si="7"/>
        <v>8</v>
      </c>
      <c r="BI7" s="13">
        <f t="shared" si="7"/>
        <v>9</v>
      </c>
      <c r="BJ7" s="13">
        <f t="shared" si="7"/>
        <v>10</v>
      </c>
      <c r="BK7" s="13">
        <f t="shared" si="7"/>
        <v>11</v>
      </c>
      <c r="BL7" s="13">
        <f t="shared" si="7"/>
        <v>12</v>
      </c>
    </row>
    <row r="8" spans="2:64" ht="26" x14ac:dyDescent="0.35">
      <c r="B8" s="14" t="s">
        <v>281</v>
      </c>
      <c r="C8" s="15" t="s">
        <v>102</v>
      </c>
      <c r="D8" s="15" t="s">
        <v>412</v>
      </c>
      <c r="E8" s="39" t="str">
        <f t="shared" ref="E8:AJ8" si="8">CHOOSE(E7,"Jan","Feb","Mar","Apr","May","Jun","Jul","Aug","Sep","Oct","Nov","Dec")&amp;" "&amp;(E6-2000)</f>
        <v>Jan 27</v>
      </c>
      <c r="F8" s="39" t="str">
        <f t="shared" si="8"/>
        <v>Feb 27</v>
      </c>
      <c r="G8" s="39" t="str">
        <f t="shared" si="8"/>
        <v>Mar 27</v>
      </c>
      <c r="H8" s="39" t="str">
        <f t="shared" si="8"/>
        <v>Apr 27</v>
      </c>
      <c r="I8" s="39" t="str">
        <f t="shared" si="8"/>
        <v>May 27</v>
      </c>
      <c r="J8" s="39" t="str">
        <f t="shared" si="8"/>
        <v>Jun 27</v>
      </c>
      <c r="K8" s="39" t="str">
        <f t="shared" si="8"/>
        <v>Jul 27</v>
      </c>
      <c r="L8" s="39" t="str">
        <f t="shared" si="8"/>
        <v>Aug 27</v>
      </c>
      <c r="M8" s="39" t="str">
        <f t="shared" si="8"/>
        <v>Sep 27</v>
      </c>
      <c r="N8" s="39" t="str">
        <f t="shared" si="8"/>
        <v>Oct 27</v>
      </c>
      <c r="O8" s="39" t="str">
        <f t="shared" si="8"/>
        <v>Nov 27</v>
      </c>
      <c r="P8" s="39" t="str">
        <f t="shared" si="8"/>
        <v>Dec 27</v>
      </c>
      <c r="Q8" s="39" t="str">
        <f t="shared" si="8"/>
        <v>Jan 28</v>
      </c>
      <c r="R8" s="39" t="str">
        <f t="shared" si="8"/>
        <v>Feb 28</v>
      </c>
      <c r="S8" s="39" t="str">
        <f t="shared" si="8"/>
        <v>Mar 28</v>
      </c>
      <c r="T8" s="39" t="str">
        <f t="shared" si="8"/>
        <v>Apr 28</v>
      </c>
      <c r="U8" s="39" t="str">
        <f t="shared" si="8"/>
        <v>May 28</v>
      </c>
      <c r="V8" s="39" t="str">
        <f t="shared" si="8"/>
        <v>Jun 28</v>
      </c>
      <c r="W8" s="39" t="str">
        <f t="shared" si="8"/>
        <v>Jul 28</v>
      </c>
      <c r="X8" s="39" t="str">
        <f t="shared" si="8"/>
        <v>Aug 28</v>
      </c>
      <c r="Y8" s="39" t="str">
        <f t="shared" si="8"/>
        <v>Sep 28</v>
      </c>
      <c r="Z8" s="39" t="str">
        <f t="shared" si="8"/>
        <v>Oct 28</v>
      </c>
      <c r="AA8" s="39" t="str">
        <f t="shared" si="8"/>
        <v>Nov 28</v>
      </c>
      <c r="AB8" s="39" t="str">
        <f t="shared" si="8"/>
        <v>Dec 28</v>
      </c>
      <c r="AC8" s="39" t="str">
        <f t="shared" si="8"/>
        <v>Jan 29</v>
      </c>
      <c r="AD8" s="39" t="str">
        <f t="shared" si="8"/>
        <v>Feb 29</v>
      </c>
      <c r="AE8" s="39" t="str">
        <f t="shared" si="8"/>
        <v>Mar 29</v>
      </c>
      <c r="AF8" s="39" t="str">
        <f t="shared" si="8"/>
        <v>Apr 29</v>
      </c>
      <c r="AG8" s="39" t="str">
        <f t="shared" si="8"/>
        <v>May 29</v>
      </c>
      <c r="AH8" s="39" t="str">
        <f t="shared" si="8"/>
        <v>Jun 29</v>
      </c>
      <c r="AI8" s="39" t="str">
        <f t="shared" si="8"/>
        <v>Jul 29</v>
      </c>
      <c r="AJ8" s="39" t="str">
        <f t="shared" si="8"/>
        <v>Aug 29</v>
      </c>
      <c r="AK8" s="39" t="str">
        <f t="shared" ref="AK8:BP8" si="9">CHOOSE(AK7,"Jan","Feb","Mar","Apr","May","Jun","Jul","Aug","Sep","Oct","Nov","Dec")&amp;" "&amp;(AK6-2000)</f>
        <v>Sep 29</v>
      </c>
      <c r="AL8" s="39" t="str">
        <f t="shared" si="9"/>
        <v>Oct 29</v>
      </c>
      <c r="AM8" s="39" t="str">
        <f t="shared" si="9"/>
        <v>Nov 29</v>
      </c>
      <c r="AN8" s="39" t="str">
        <f t="shared" si="9"/>
        <v>Dec 29</v>
      </c>
      <c r="AO8" s="39" t="str">
        <f t="shared" si="9"/>
        <v>Jan 30</v>
      </c>
      <c r="AP8" s="39" t="str">
        <f t="shared" si="9"/>
        <v>Feb 30</v>
      </c>
      <c r="AQ8" s="39" t="str">
        <f t="shared" si="9"/>
        <v>Mar 30</v>
      </c>
      <c r="AR8" s="39" t="str">
        <f t="shared" si="9"/>
        <v>Apr 30</v>
      </c>
      <c r="AS8" s="39" t="str">
        <f t="shared" si="9"/>
        <v>May 30</v>
      </c>
      <c r="AT8" s="39" t="str">
        <f t="shared" si="9"/>
        <v>Jun 30</v>
      </c>
      <c r="AU8" s="39" t="str">
        <f t="shared" si="9"/>
        <v>Jul 30</v>
      </c>
      <c r="AV8" s="39" t="str">
        <f t="shared" si="9"/>
        <v>Aug 30</v>
      </c>
      <c r="AW8" s="39" t="str">
        <f t="shared" si="9"/>
        <v>Sep 30</v>
      </c>
      <c r="AX8" s="39" t="str">
        <f t="shared" si="9"/>
        <v>Oct 30</v>
      </c>
      <c r="AY8" s="39" t="str">
        <f t="shared" si="9"/>
        <v>Nov 30</v>
      </c>
      <c r="AZ8" s="39" t="str">
        <f t="shared" si="9"/>
        <v>Dec 30</v>
      </c>
      <c r="BA8" s="39" t="str">
        <f t="shared" si="9"/>
        <v>Jan 31</v>
      </c>
      <c r="BB8" s="39" t="str">
        <f t="shared" si="9"/>
        <v>Feb 31</v>
      </c>
      <c r="BC8" s="39" t="str">
        <f t="shared" si="9"/>
        <v>Mar 31</v>
      </c>
      <c r="BD8" s="39" t="str">
        <f t="shared" si="9"/>
        <v>Apr 31</v>
      </c>
      <c r="BE8" s="39" t="str">
        <f t="shared" si="9"/>
        <v>May 31</v>
      </c>
      <c r="BF8" s="39" t="str">
        <f t="shared" si="9"/>
        <v>Jun 31</v>
      </c>
      <c r="BG8" s="39" t="str">
        <f t="shared" si="9"/>
        <v>Jul 31</v>
      </c>
      <c r="BH8" s="39" t="str">
        <f t="shared" si="9"/>
        <v>Aug 31</v>
      </c>
      <c r="BI8" s="39" t="str">
        <f t="shared" si="9"/>
        <v>Sep 31</v>
      </c>
      <c r="BJ8" s="39" t="str">
        <f t="shared" si="9"/>
        <v>Oct 31</v>
      </c>
      <c r="BK8" s="39" t="str">
        <f t="shared" si="9"/>
        <v>Nov 31</v>
      </c>
      <c r="BL8" s="39" t="str">
        <f t="shared" si="9"/>
        <v>Dec 31</v>
      </c>
    </row>
    <row r="9" spans="2:64" x14ac:dyDescent="0.35">
      <c r="B9" s="16" t="s">
        <v>413</v>
      </c>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row>
    <row r="10" spans="2:64" x14ac:dyDescent="0.35">
      <c r="B10" s="3" t="s">
        <v>147</v>
      </c>
      <c r="C10" s="18" t="s">
        <v>111</v>
      </c>
      <c r="D10" s="20">
        <f>SUM(E10:BL10)</f>
        <v>679751.93697962537</v>
      </c>
      <c r="E10" s="40">
        <f>Inputs!$F$10*Ramp!$E$8</f>
        <v>0</v>
      </c>
      <c r="F10" s="40">
        <f>Inputs!$F$10*Ramp!$F$8</f>
        <v>0</v>
      </c>
      <c r="G10" s="40">
        <f>Inputs!$F$10*Ramp!$G$8</f>
        <v>0</v>
      </c>
      <c r="H10" s="40">
        <f>Inputs!$F$10*Ramp!$H$8</f>
        <v>0</v>
      </c>
      <c r="I10" s="40">
        <f>Inputs!$F$10*Ramp!$I$8</f>
        <v>0</v>
      </c>
      <c r="J10" s="40">
        <f>Inputs!$F$10*Ramp!$J$8</f>
        <v>0</v>
      </c>
      <c r="K10" s="40">
        <f>Inputs!$F$10*Ramp!$K$8</f>
        <v>0</v>
      </c>
      <c r="L10" s="40">
        <f>Inputs!$F$10*Ramp!$L$8</f>
        <v>0</v>
      </c>
      <c r="M10" s="40">
        <f>Inputs!$F$10*Ramp!$M$8</f>
        <v>0</v>
      </c>
      <c r="N10" s="40">
        <f>Inputs!$F$10*Ramp!$N$8</f>
        <v>332.53573933999996</v>
      </c>
      <c r="O10" s="40">
        <f>Inputs!$F$10*Ramp!$O$8</f>
        <v>604.70033162999994</v>
      </c>
      <c r="P10" s="40">
        <f>Inputs!$F$10*Ramp!$P$8</f>
        <v>870.55392902999995</v>
      </c>
      <c r="Q10" s="40">
        <f>Inputs!$F$11*Ramp!$E$11</f>
        <v>1296.3973341599999</v>
      </c>
      <c r="R10" s="40">
        <f>Inputs!$F$11*Ramp!$F$11</f>
        <v>1713.23268831</v>
      </c>
      <c r="S10" s="40">
        <f>Inputs!$F$11*Ramp!$G$11</f>
        <v>2120.3674484399999</v>
      </c>
      <c r="T10" s="40">
        <f>Inputs!$F$11*Ramp!$H$11</f>
        <v>2518.0918032599998</v>
      </c>
      <c r="U10" s="40">
        <f>Inputs!$F$11*Ramp!$I$11</f>
        <v>2906.7373970099998</v>
      </c>
      <c r="V10" s="40">
        <f>Inputs!$F$11*Ramp!$J$11</f>
        <v>3286.7602405199996</v>
      </c>
      <c r="W10" s="40">
        <f>Inputs!$F$11*Ramp!$K$11</f>
        <v>3658.74071121</v>
      </c>
      <c r="X10" s="40">
        <f>Inputs!$F$11*Ramp!$L$11</f>
        <v>4063.4710505999997</v>
      </c>
      <c r="Y10" s="40">
        <f>Inputs!$F$11*Ramp!$M$11</f>
        <v>4464.5533033499996</v>
      </c>
      <c r="Z10" s="40">
        <f>Inputs!$F$11*Ramp!$N$11</f>
        <v>4802.2500507300001</v>
      </c>
      <c r="AA10" s="40">
        <f>Inputs!$F$11*Ramp!$O$11</f>
        <v>5143.8850734600001</v>
      </c>
      <c r="AB10" s="40">
        <f>Inputs!$F$11*Ramp!$P$11</f>
        <v>5481.0428989499997</v>
      </c>
      <c r="AC10" s="40">
        <f>IF($D$14=1,Inputs!$F$15*Ramp!$E$14,AB10*(1+Inputs!$F$12)^(1/12))</f>
        <v>5955.5027878352839</v>
      </c>
      <c r="AD10" s="40">
        <f>IF($D$14=1,Inputs!$F$15*Ramp!$F$14,AC10*(1+Inputs!$F$12)^(1/12))</f>
        <v>6471.0337265757262</v>
      </c>
      <c r="AE10" s="40">
        <f>IF($D$14=1,Inputs!$F$15*Ramp!$G$14,AD10*(1+Inputs!$F$12)^(1/12))</f>
        <v>7031.19098122378</v>
      </c>
      <c r="AF10" s="40">
        <f>IF($D$14=1,Inputs!$F$15*Ramp!$H$14,AE10*(1+Inputs!$F$12)^(1/12))</f>
        <v>7639.8375751633612</v>
      </c>
      <c r="AG10" s="40">
        <f>IF($D$14=1,Inputs!$F$15*Ramp!$I$14,AF10*(1+Inputs!$F$12)^(1/12))</f>
        <v>8301.1709297532379</v>
      </c>
      <c r="AH10" s="40">
        <f>IF($D$14=1,Inputs!$F$15*Ramp!$J$14,AG10*(1+Inputs!$F$12)^(1/12))</f>
        <v>9019.7518110856909</v>
      </c>
      <c r="AI10" s="40">
        <f>IF($D$14=1,Inputs!$F$15*Ramp!$K$14,AH10*(1+Inputs!$F$12)^(1/12))</f>
        <v>9800.5357824865314</v>
      </c>
      <c r="AJ10" s="40">
        <f>IF($D$14=1,Inputs!$F$15*Ramp!$L$14,AI10*(1+Inputs!$F$12)^(1/12))</f>
        <v>10648.907379662973</v>
      </c>
      <c r="AK10" s="40">
        <f>IF($D$14=1,Inputs!$F$15*Ramp!$M$14,AJ10*(1+Inputs!$F$12)^(1/12))</f>
        <v>11570.717244182091</v>
      </c>
      <c r="AL10" s="40">
        <f>IF($D$14=1,Inputs!$F$15*Ramp!$N$14,AK10*(1+Inputs!$F$12)^(1/12))</f>
        <v>12572.322471364196</v>
      </c>
      <c r="AM10" s="40">
        <f>IF($D$14=1,Inputs!$F$15*Ramp!$O$14,AL10*(1+Inputs!$F$12)^(1/12))</f>
        <v>13660.630450843089</v>
      </c>
      <c r="AN10" s="40">
        <f>IF($D$14=1,Inputs!$F$15*Ramp!$P$14,AM10*(1+Inputs!$F$12)^(1/12))</f>
        <v>14843.14650213172</v>
      </c>
      <c r="AO10" s="40">
        <f>AN10*(1+Inputs!$F$13)^(1/12)</f>
        <v>15259.094358728966</v>
      </c>
      <c r="AP10" s="40">
        <f>AO10*(1+Inputs!$F$13)^(1/12)</f>
        <v>15686.698276214851</v>
      </c>
      <c r="AQ10" s="40">
        <f>AP10*(1+Inputs!$F$13)^(1/12)</f>
        <v>16126.284891097497</v>
      </c>
      <c r="AR10" s="40">
        <f>AQ10*(1+Inputs!$F$13)^(1/12)</f>
        <v>16578.189993183852</v>
      </c>
      <c r="AS10" s="40">
        <f>AR10*(1+Inputs!$F$13)^(1/12)</f>
        <v>17042.758782081572</v>
      </c>
      <c r="AT10" s="40">
        <f>AS10*(1+Inputs!$F$13)^(1/12)</f>
        <v>17520.346130888825</v>
      </c>
      <c r="AU10" s="40">
        <f>AT10*(1+Inputs!$F$13)^(1/12)</f>
        <v>18011.316857273454</v>
      </c>
      <c r="AV10" s="40">
        <f>AU10*(1+Inputs!$F$13)^(1/12)</f>
        <v>18516.046002148552</v>
      </c>
      <c r="AW10" s="40">
        <f>AV10*(1+Inputs!$F$13)^(1/12)</f>
        <v>19034.91911615734</v>
      </c>
      <c r="AX10" s="40">
        <f>AW10*(1+Inputs!$F$13)^(1/12)</f>
        <v>19568.332554186163</v>
      </c>
      <c r="AY10" s="40">
        <f>AX10*(1+Inputs!$F$13)^(1/12)</f>
        <v>20116.693778130622</v>
      </c>
      <c r="AZ10" s="40">
        <f>AY10*(1+Inputs!$F$13)^(1/12)</f>
        <v>20680.421668146049</v>
      </c>
      <c r="BA10" s="40">
        <f>AZ10*(1+Inputs!$F$14)^(1/12)</f>
        <v>21326.740681609277</v>
      </c>
      <c r="BB10" s="40">
        <f>BA10*(1+Inputs!$F$14)^(1/12)</f>
        <v>21993.258909279415</v>
      </c>
      <c r="BC10" s="40">
        <f>BB10*(1+Inputs!$F$14)^(1/12)</f>
        <v>22680.607631137518</v>
      </c>
      <c r="BD10" s="40">
        <f>BC10*(1+Inputs!$F$14)^(1/12)</f>
        <v>23389.437856368488</v>
      </c>
      <c r="BE10" s="40">
        <f>BD10*(1+Inputs!$F$14)^(1/12)</f>
        <v>24120.420939951946</v>
      </c>
      <c r="BF10" s="40">
        <f>BE10*(1+Inputs!$F$14)^(1/12)</f>
        <v>24874.249218523266</v>
      </c>
      <c r="BG10" s="40">
        <f>BF10*(1+Inputs!$F$14)^(1/12)</f>
        <v>25651.636666106951</v>
      </c>
      <c r="BH10" s="40">
        <f>BG10*(1+Inputs!$F$14)^(1/12)</f>
        <v>26453.319570343483</v>
      </c>
      <c r="BI10" s="40">
        <f>BH10*(1+Inputs!$F$14)^(1/12)</f>
        <v>27280.057229850048</v>
      </c>
      <c r="BJ10" s="40">
        <f>BI10*(1+Inputs!$F$14)^(1/12)</f>
        <v>28132.632673375698</v>
      </c>
      <c r="BK10" s="40">
        <f>BJ10*(1+Inputs!$F$14)^(1/12)</f>
        <v>29011.853401432043</v>
      </c>
      <c r="BL10" s="40">
        <f>BK10*(1+Inputs!$F$14)^(1/12)</f>
        <v>29918.552151101896</v>
      </c>
    </row>
    <row r="11" spans="2:64" x14ac:dyDescent="0.35">
      <c r="B11" s="3" t="s">
        <v>149</v>
      </c>
      <c r="C11" s="18" t="s">
        <v>111</v>
      </c>
      <c r="D11" s="20">
        <f>SUM(E11:BL11)</f>
        <v>1223109.711785476</v>
      </c>
      <c r="E11" s="40">
        <f>Inputs!$F$17*Ramp!$E$17</f>
        <v>0</v>
      </c>
      <c r="F11" s="40">
        <f>Inputs!$F$17*Ramp!$F$17</f>
        <v>0</v>
      </c>
      <c r="G11" s="40">
        <f>Inputs!$F$17*Ramp!$G$17</f>
        <v>0</v>
      </c>
      <c r="H11" s="40">
        <f>Inputs!$F$17*Ramp!$H$17</f>
        <v>0</v>
      </c>
      <c r="I11" s="40">
        <f>Inputs!$F$17*Ramp!$I$17</f>
        <v>0</v>
      </c>
      <c r="J11" s="40">
        <f>Inputs!$F$17*Ramp!$J$17</f>
        <v>0</v>
      </c>
      <c r="K11" s="40">
        <f>Inputs!$F$17*Ramp!$K$17</f>
        <v>0</v>
      </c>
      <c r="L11" s="40">
        <f>Inputs!$F$17*Ramp!$L$17</f>
        <v>0</v>
      </c>
      <c r="M11" s="40">
        <f>Inputs!$F$17*Ramp!$M$17</f>
        <v>0</v>
      </c>
      <c r="N11" s="40">
        <f>Inputs!$F$17*Ramp!$N$17</f>
        <v>0</v>
      </c>
      <c r="O11" s="40">
        <f>Inputs!$F$17*Ramp!$O$17</f>
        <v>0</v>
      </c>
      <c r="P11" s="40">
        <f>Inputs!$F$17*Ramp!$P$17</f>
        <v>0</v>
      </c>
      <c r="Q11" s="40">
        <f>Inputs!$F$18*Ramp!$E$20</f>
        <v>0</v>
      </c>
      <c r="R11" s="40">
        <f>Inputs!$F$18*Ramp!$F$20</f>
        <v>0</v>
      </c>
      <c r="S11" s="40">
        <f>Inputs!$F$18*Ramp!$G$20</f>
        <v>0</v>
      </c>
      <c r="T11" s="40">
        <f>Inputs!$F$18*Ramp!$H$20</f>
        <v>0</v>
      </c>
      <c r="U11" s="40">
        <f>Inputs!$F$18*Ramp!$I$20</f>
        <v>0</v>
      </c>
      <c r="V11" s="40">
        <f>Inputs!$F$18*Ramp!$J$20</f>
        <v>0</v>
      </c>
      <c r="W11" s="40">
        <f>Inputs!$F$18*Ramp!$K$20</f>
        <v>1027.78658576</v>
      </c>
      <c r="X11" s="40">
        <f>Inputs!$F$18*Ramp!$L$20</f>
        <v>2066.3033559200003</v>
      </c>
      <c r="Y11" s="40">
        <f>Inputs!$F$18*Ramp!$M$20</f>
        <v>3031.6072525200002</v>
      </c>
      <c r="Z11" s="40">
        <f>Inputs!$F$18*Ramp!$N$20</f>
        <v>3950.8745310500003</v>
      </c>
      <c r="AA11" s="40">
        <f>Inputs!$F$18*Ramp!$O$20</f>
        <v>4842.8004743300007</v>
      </c>
      <c r="AB11" s="40">
        <f>Inputs!$F$18*Ramp!$P$20</f>
        <v>5715.5978004200006</v>
      </c>
      <c r="AC11" s="40">
        <f>IF($D$15=1,Inputs!$F$22*Ramp!$E$23,AB11*(1+Inputs!$F$19)^(1/12))</f>
        <v>6451.6573405443451</v>
      </c>
      <c r="AD11" s="40">
        <f>IF($D$15=1,Inputs!$F$22*Ramp!$F$23,AC11*(1+Inputs!$F$19)^(1/12))</f>
        <v>7282.50725352667</v>
      </c>
      <c r="AE11" s="40">
        <f>IF($D$15=1,Inputs!$F$22*Ramp!$G$23,AD11*(1+Inputs!$F$19)^(1/12))</f>
        <v>8220.354724107814</v>
      </c>
      <c r="AF11" s="40">
        <f>IF($D$15=1,Inputs!$F$22*Ramp!$H$23,AE11*(1+Inputs!$F$19)^(1/12))</f>
        <v>9278.9789886495146</v>
      </c>
      <c r="AG11" s="40">
        <f>IF($D$15=1,Inputs!$F$22*Ramp!$I$23,AF11*(1+Inputs!$F$19)^(1/12))</f>
        <v>10473.933785277601</v>
      </c>
      <c r="AH11" s="40">
        <f>IF($D$15=1,Inputs!$F$22*Ramp!$J$23,AG11*(1+Inputs!$F$19)^(1/12))</f>
        <v>11822.775875726609</v>
      </c>
      <c r="AI11" s="40">
        <f>IF($D$15=1,Inputs!$F$22*Ramp!$K$23,AH11*(1+Inputs!$F$19)^(1/12))</f>
        <v>13345.322996421675</v>
      </c>
      <c r="AJ11" s="40">
        <f>IF($D$15=1,Inputs!$F$22*Ramp!$L$23,AI11*(1+Inputs!$F$19)^(1/12))</f>
        <v>15063.945028719882</v>
      </c>
      <c r="AK11" s="40">
        <f>IF($D$15=1,Inputs!$F$22*Ramp!$M$23,AJ11*(1+Inputs!$F$19)^(1/12))</f>
        <v>17003.892666302636</v>
      </c>
      <c r="AL11" s="40">
        <f>IF($D$15=1,Inputs!$F$22*Ramp!$N$23,AK11*(1+Inputs!$F$19)^(1/12))</f>
        <v>19193.668408634039</v>
      </c>
      <c r="AM11" s="40">
        <f>IF($D$15=1,Inputs!$F$22*Ramp!$O$23,AL11*(1+Inputs!$F$19)^(1/12))</f>
        <v>21665.445331271982</v>
      </c>
      <c r="AN11" s="40">
        <f>IF($D$15=1,Inputs!$F$22*Ramp!$P$23,AM11*(1+Inputs!$F$19)^(1/12))</f>
        <v>24455.539785775647</v>
      </c>
      <c r="AO11" s="40">
        <f>AN11*(1+Inputs!$F$20)^(1/12)</f>
        <v>25465.710919352568</v>
      </c>
      <c r="AP11" s="40">
        <f>AO11*(1+Inputs!$F$20)^(1/12)</f>
        <v>26517.608619918032</v>
      </c>
      <c r="AQ11" s="40">
        <f>AP11*(1+Inputs!$F$20)^(1/12)</f>
        <v>27612.956463146271</v>
      </c>
      <c r="AR11" s="40">
        <f>AQ11*(1+Inputs!$F$20)^(1/12)</f>
        <v>28753.549219475895</v>
      </c>
      <c r="AS11" s="40">
        <f>AR11*(1+Inputs!$F$20)^(1/12)</f>
        <v>29941.255794911704</v>
      </c>
      <c r="AT11" s="40">
        <f>AS11*(1+Inputs!$F$20)^(1/12)</f>
        <v>31178.022293300535</v>
      </c>
      <c r="AU11" s="40">
        <f>AT11*(1+Inputs!$F$20)^(1/12)</f>
        <v>32465.875205098819</v>
      </c>
      <c r="AV11" s="40">
        <f>AU11*(1+Inputs!$F$20)^(1/12)</f>
        <v>33806.924727856727</v>
      </c>
      <c r="AW11" s="40">
        <f>AV11*(1+Inputs!$F$20)^(1/12)</f>
        <v>35203.368223859718</v>
      </c>
      <c r="AX11" s="40">
        <f>AW11*(1+Inputs!$F$20)^(1/12)</f>
        <v>36657.493820592863</v>
      </c>
      <c r="AY11" s="40">
        <f>AX11*(1+Inputs!$F$20)^(1/12)</f>
        <v>38171.684159927579</v>
      </c>
      <c r="AZ11" s="40">
        <f>AY11*(1+Inputs!$F$20)^(1/12)</f>
        <v>39748.420302173858</v>
      </c>
      <c r="BA11" s="40">
        <f>AZ11*(1+Inputs!$F$21)^(1/12)</f>
        <v>41631.69622750007</v>
      </c>
      <c r="BB11" s="40">
        <f>BA11*(1+Inputs!$F$21)^(1/12)</f>
        <v>43604.201565818053</v>
      </c>
      <c r="BC11" s="40">
        <f>BB11*(1+Inputs!$F$21)^(1/12)</f>
        <v>45670.163997222793</v>
      </c>
      <c r="BD11" s="40">
        <f>BC11*(1+Inputs!$F$21)^(1/12)</f>
        <v>47834.011508842414</v>
      </c>
      <c r="BE11" s="40">
        <f>BD11*(1+Inputs!$F$21)^(1/12)</f>
        <v>50100.381885364099</v>
      </c>
      <c r="BF11" s="40">
        <f>BE11*(1+Inputs!$F$21)^(1/12)</f>
        <v>52474.132649220126</v>
      </c>
      <c r="BG11" s="40">
        <f>BF11*(1+Inputs!$F$21)^(1/12)</f>
        <v>54960.351471738861</v>
      </c>
      <c r="BH11" s="40">
        <f>BG11*(1+Inputs!$F$21)^(1/12)</f>
        <v>57564.367077574949</v>
      </c>
      <c r="BI11" s="40">
        <f>BH11*(1+Inputs!$F$21)^(1/12)</f>
        <v>60291.760665790294</v>
      </c>
      <c r="BJ11" s="40">
        <f>BI11*(1+Inputs!$F$21)^(1/12)</f>
        <v>63148.377872064601</v>
      </c>
      <c r="BK11" s="40">
        <f>BJ11*(1+Inputs!$F$21)^(1/12)</f>
        <v>66140.341297674182</v>
      </c>
      <c r="BL11" s="40">
        <f>BK11*(1+Inputs!$F$21)^(1/12)</f>
        <v>69274.063632092497</v>
      </c>
    </row>
    <row r="12" spans="2:64" x14ac:dyDescent="0.35">
      <c r="B12" s="3" t="s">
        <v>150</v>
      </c>
      <c r="C12" s="18" t="s">
        <v>111</v>
      </c>
      <c r="D12" s="20">
        <f>SUM(E12:BL12)</f>
        <v>947034.18620332656</v>
      </c>
      <c r="E12" s="40">
        <f>Inputs!$F$24*Ramp!$E$26</f>
        <v>0</v>
      </c>
      <c r="F12" s="40">
        <f>Inputs!$F$24*Ramp!$F$26</f>
        <v>0</v>
      </c>
      <c r="G12" s="40">
        <f>Inputs!$F$24*Ramp!$G$26</f>
        <v>0</v>
      </c>
      <c r="H12" s="40">
        <f>Inputs!$F$24*Ramp!$H$26</f>
        <v>0</v>
      </c>
      <c r="I12" s="40">
        <f>Inputs!$F$24*Ramp!$I$26</f>
        <v>0</v>
      </c>
      <c r="J12" s="40">
        <f>Inputs!$F$24*Ramp!$J$26</f>
        <v>0</v>
      </c>
      <c r="K12" s="40">
        <f>Inputs!$F$24*Ramp!$K$26</f>
        <v>0</v>
      </c>
      <c r="L12" s="40">
        <f>Inputs!$F$24*Ramp!$L$26</f>
        <v>0</v>
      </c>
      <c r="M12" s="40">
        <f>Inputs!$F$24*Ramp!$M$26</f>
        <v>0</v>
      </c>
      <c r="N12" s="40">
        <f>Inputs!$F$24*Ramp!$N$26</f>
        <v>0</v>
      </c>
      <c r="O12" s="40">
        <f>Inputs!$F$24*Ramp!$O$26</f>
        <v>0</v>
      </c>
      <c r="P12" s="40">
        <f>Inputs!$F$24*Ramp!$P$26</f>
        <v>0</v>
      </c>
      <c r="Q12" s="40">
        <f>Inputs!$F$25*Ramp!$E$29</f>
        <v>0</v>
      </c>
      <c r="R12" s="40">
        <f>Inputs!$F$25*Ramp!$F$29</f>
        <v>0</v>
      </c>
      <c r="S12" s="40">
        <f>Inputs!$F$25*Ramp!$G$29</f>
        <v>0</v>
      </c>
      <c r="T12" s="40">
        <f>Inputs!$F$25*Ramp!$H$29</f>
        <v>0</v>
      </c>
      <c r="U12" s="40">
        <f>Inputs!$F$25*Ramp!$I$29</f>
        <v>0</v>
      </c>
      <c r="V12" s="40">
        <f>Inputs!$F$25*Ramp!$J$29</f>
        <v>0</v>
      </c>
      <c r="W12" s="40">
        <f>Inputs!$F$25*Ramp!$K$29</f>
        <v>0</v>
      </c>
      <c r="X12" s="40">
        <f>Inputs!$F$25*Ramp!$L$29</f>
        <v>0</v>
      </c>
      <c r="Y12" s="40">
        <f>Inputs!$F$25*Ramp!$M$29</f>
        <v>0</v>
      </c>
      <c r="Z12" s="40">
        <f>Inputs!$F$25*Ramp!$N$29</f>
        <v>0</v>
      </c>
      <c r="AA12" s="40">
        <f>Inputs!$F$25*Ramp!$O$29</f>
        <v>0</v>
      </c>
      <c r="AB12" s="40">
        <f>Inputs!$F$25*Ramp!$P$29</f>
        <v>0</v>
      </c>
      <c r="AC12" s="40">
        <f>IF($D$16=1,Inputs!$F$29*Ramp!$E$32,AB12*(1+Inputs!$F$26)^(1/12))</f>
        <v>983.37070000000006</v>
      </c>
      <c r="AD12" s="40">
        <f>IF($D$16=1,Inputs!$F$29*Ramp!$F$32,AC12*(1+Inputs!$F$26)^(1/12))</f>
        <v>1966.6647</v>
      </c>
      <c r="AE12" s="40">
        <f>IF($D$16=1,Inputs!$F$29*Ramp!$G$32,AD12*(1+Inputs!$F$26)^(1/12))</f>
        <v>2950.0354000000002</v>
      </c>
      <c r="AF12" s="40">
        <f>IF($D$16=1,Inputs!$F$29*Ramp!$H$32,AE12*(1+Inputs!$F$26)^(1/12))</f>
        <v>3933.3294000000001</v>
      </c>
      <c r="AG12" s="40">
        <f>IF($D$16=1,Inputs!$F$29*Ramp!$I$32,AF12*(1+Inputs!$F$26)^(1/12))</f>
        <v>4916.7000999999991</v>
      </c>
      <c r="AH12" s="40">
        <f>IF($D$16=1,Inputs!$F$29*Ramp!$J$32,AG12*(1+Inputs!$F$26)^(1/12))</f>
        <v>5899.9941000000008</v>
      </c>
      <c r="AI12" s="40">
        <f>IF($D$16=1,Inputs!$F$29*Ramp!$K$32,AH12*(1+Inputs!$F$26)^(1/12))</f>
        <v>6883.3648000000003</v>
      </c>
      <c r="AJ12" s="40">
        <f>IF($D$16=1,Inputs!$F$29*Ramp!$L$32,AI12*(1+Inputs!$F$26)^(1/12))</f>
        <v>7866.6588000000002</v>
      </c>
      <c r="AK12" s="40">
        <f>IF($D$16=1,Inputs!$F$29*Ramp!$M$32,AJ12*(1+Inputs!$F$26)^(1/12))</f>
        <v>8850.0295000000006</v>
      </c>
      <c r="AL12" s="40">
        <f>IF($D$16=1,Inputs!$F$29*Ramp!$N$32,AK12*(1+Inputs!$F$26)^(1/12))</f>
        <v>9833.3235000000004</v>
      </c>
      <c r="AM12" s="40">
        <f>IF($D$16=1,Inputs!$F$29*Ramp!$O$32,AL12*(1+Inputs!$F$26)^(1/12))</f>
        <v>10816.694200000002</v>
      </c>
      <c r="AN12" s="40">
        <f>IF($D$16=1,Inputs!$F$29*Ramp!$P$32,AM12*(1+Inputs!$F$26)^(1/12))</f>
        <v>11799.834800000001</v>
      </c>
      <c r="AO12" s="40">
        <f>AN12*(1+Inputs!$F$27)^(1/12)</f>
        <v>13008.619837405844</v>
      </c>
      <c r="AP12" s="40">
        <f>AO12*(1+Inputs!$F$27)^(1/12)</f>
        <v>14341.23383440494</v>
      </c>
      <c r="AQ12" s="40">
        <f>AP12*(1+Inputs!$F$27)^(1/12)</f>
        <v>15810.361934144703</v>
      </c>
      <c r="AR12" s="40">
        <f>AQ12*(1+Inputs!$F$27)^(1/12)</f>
        <v>17429.988756544371</v>
      </c>
      <c r="AS12" s="40">
        <f>AR12*(1+Inputs!$F$27)^(1/12)</f>
        <v>19215.531517792428</v>
      </c>
      <c r="AT12" s="40">
        <f>AS12*(1+Inputs!$F$27)^(1/12)</f>
        <v>21183.986786717709</v>
      </c>
      <c r="AU12" s="40">
        <f>AT12*(1+Inputs!$F$27)^(1/12)</f>
        <v>23354.092275007042</v>
      </c>
      <c r="AV12" s="40">
        <f>AU12*(1+Inputs!$F$27)^(1/12)</f>
        <v>25746.505201349359</v>
      </c>
      <c r="AW12" s="40">
        <f>AV12*(1+Inputs!$F$27)^(1/12)</f>
        <v>28383.998927353288</v>
      </c>
      <c r="AX12" s="40">
        <f>AW12*(1+Inputs!$F$27)^(1/12)</f>
        <v>31291.679737014128</v>
      </c>
      <c r="AY12" s="40">
        <f>AX12*(1+Inputs!$F$27)^(1/12)</f>
        <v>34497.225823252411</v>
      </c>
      <c r="AZ12" s="40">
        <f>AY12*(1+Inputs!$F$27)^(1/12)</f>
        <v>38031.150756435207</v>
      </c>
      <c r="BA12" s="40">
        <f>AZ12*(1+Inputs!$F$28)^(1/12)</f>
        <v>39492.171855476248</v>
      </c>
      <c r="BB12" s="40">
        <f>BA12*(1+Inputs!$F$28)^(1/12)</f>
        <v>41009.320171532461</v>
      </c>
      <c r="BC12" s="40">
        <f>BB12*(1+Inputs!$F$28)^(1/12)</f>
        <v>42584.751911993277</v>
      </c>
      <c r="BD12" s="40">
        <f>BC12*(1+Inputs!$F$28)^(1/12)</f>
        <v>44220.706118041664</v>
      </c>
      <c r="BE12" s="40">
        <f>BD12*(1+Inputs!$F$28)^(1/12)</f>
        <v>45919.507846832894</v>
      </c>
      <c r="BF12" s="40">
        <f>BE12*(1+Inputs!$F$28)^(1/12)</f>
        <v>47683.57147592125</v>
      </c>
      <c r="BG12" s="40">
        <f>BF12*(1+Inputs!$F$28)^(1/12)</f>
        <v>49515.404134631011</v>
      </c>
      <c r="BH12" s="40">
        <f>BG12*(1+Inputs!$F$28)^(1/12)</f>
        <v>51417.609267248481</v>
      </c>
      <c r="BI12" s="40">
        <f>BH12*(1+Inputs!$F$28)^(1/12)</f>
        <v>53392.890333099131</v>
      </c>
      <c r="BJ12" s="40">
        <f>BI12*(1+Inputs!$F$28)^(1/12)</f>
        <v>55444.054648768506</v>
      </c>
      <c r="BK12" s="40">
        <f>BJ12*(1+Inputs!$F$28)^(1/12)</f>
        <v>57574.017377927536</v>
      </c>
      <c r="BL12" s="40">
        <f>BK12*(1+Inputs!$F$28)^(1/12)</f>
        <v>59785.805674432719</v>
      </c>
    </row>
    <row r="13" spans="2:64" x14ac:dyDescent="0.35">
      <c r="B13" s="4" t="s">
        <v>284</v>
      </c>
      <c r="C13" s="18" t="s">
        <v>111</v>
      </c>
      <c r="D13" s="56">
        <f>SUM(E13:BL13)</f>
        <v>2849895.8349684281</v>
      </c>
      <c r="E13" s="56">
        <f t="shared" ref="E13:AJ13" si="10">E10+E11+E12</f>
        <v>0</v>
      </c>
      <c r="F13" s="56">
        <f t="shared" si="10"/>
        <v>0</v>
      </c>
      <c r="G13" s="56">
        <f t="shared" si="10"/>
        <v>0</v>
      </c>
      <c r="H13" s="56">
        <f t="shared" si="10"/>
        <v>0</v>
      </c>
      <c r="I13" s="56">
        <f t="shared" si="10"/>
        <v>0</v>
      </c>
      <c r="J13" s="56">
        <f t="shared" si="10"/>
        <v>0</v>
      </c>
      <c r="K13" s="56">
        <f t="shared" si="10"/>
        <v>0</v>
      </c>
      <c r="L13" s="56">
        <f t="shared" si="10"/>
        <v>0</v>
      </c>
      <c r="M13" s="56">
        <f t="shared" si="10"/>
        <v>0</v>
      </c>
      <c r="N13" s="56">
        <f t="shared" si="10"/>
        <v>332.53573933999996</v>
      </c>
      <c r="O13" s="56">
        <f t="shared" si="10"/>
        <v>604.70033162999994</v>
      </c>
      <c r="P13" s="56">
        <f t="shared" si="10"/>
        <v>870.55392902999995</v>
      </c>
      <c r="Q13" s="56">
        <f t="shared" si="10"/>
        <v>1296.3973341599999</v>
      </c>
      <c r="R13" s="56">
        <f t="shared" si="10"/>
        <v>1713.23268831</v>
      </c>
      <c r="S13" s="56">
        <f t="shared" si="10"/>
        <v>2120.3674484399999</v>
      </c>
      <c r="T13" s="56">
        <f t="shared" si="10"/>
        <v>2518.0918032599998</v>
      </c>
      <c r="U13" s="56">
        <f t="shared" si="10"/>
        <v>2906.7373970099998</v>
      </c>
      <c r="V13" s="56">
        <f t="shared" si="10"/>
        <v>3286.7602405199996</v>
      </c>
      <c r="W13" s="56">
        <f t="shared" si="10"/>
        <v>4686.52729697</v>
      </c>
      <c r="X13" s="56">
        <f t="shared" si="10"/>
        <v>6129.7744065200004</v>
      </c>
      <c r="Y13" s="56">
        <f t="shared" si="10"/>
        <v>7496.1605558699994</v>
      </c>
      <c r="Z13" s="56">
        <f t="shared" si="10"/>
        <v>8753.1245817800009</v>
      </c>
      <c r="AA13" s="56">
        <f t="shared" si="10"/>
        <v>9986.6855477900008</v>
      </c>
      <c r="AB13" s="56">
        <f t="shared" si="10"/>
        <v>11196.64069937</v>
      </c>
      <c r="AC13" s="56">
        <f t="shared" si="10"/>
        <v>13390.530828379629</v>
      </c>
      <c r="AD13" s="56">
        <f t="shared" si="10"/>
        <v>15720.205680102395</v>
      </c>
      <c r="AE13" s="56">
        <f t="shared" si="10"/>
        <v>18201.581105331596</v>
      </c>
      <c r="AF13" s="56">
        <f t="shared" si="10"/>
        <v>20852.145963812876</v>
      </c>
      <c r="AG13" s="56">
        <f t="shared" si="10"/>
        <v>23691.804815030835</v>
      </c>
      <c r="AH13" s="56">
        <f t="shared" si="10"/>
        <v>26742.5217868123</v>
      </c>
      <c r="AI13" s="56">
        <f t="shared" si="10"/>
        <v>30029.223578908208</v>
      </c>
      <c r="AJ13" s="56">
        <f t="shared" si="10"/>
        <v>33579.51120838285</v>
      </c>
      <c r="AK13" s="56">
        <f t="shared" ref="AK13:BP13" si="11">AK10+AK11+AK12</f>
        <v>37424.639410484728</v>
      </c>
      <c r="AL13" s="56">
        <f t="shared" si="11"/>
        <v>41599.314379998235</v>
      </c>
      <c r="AM13" s="56">
        <f t="shared" si="11"/>
        <v>46142.769982115075</v>
      </c>
      <c r="AN13" s="56">
        <f t="shared" si="11"/>
        <v>51098.521087907371</v>
      </c>
      <c r="AO13" s="56">
        <f t="shared" si="11"/>
        <v>53733.425115487378</v>
      </c>
      <c r="AP13" s="56">
        <f t="shared" si="11"/>
        <v>56545.540730537825</v>
      </c>
      <c r="AQ13" s="56">
        <f t="shared" si="11"/>
        <v>59549.603288388476</v>
      </c>
      <c r="AR13" s="56">
        <f t="shared" si="11"/>
        <v>62761.727969204119</v>
      </c>
      <c r="AS13" s="56">
        <f t="shared" si="11"/>
        <v>66199.546094785706</v>
      </c>
      <c r="AT13" s="56">
        <f t="shared" si="11"/>
        <v>69882.355210907073</v>
      </c>
      <c r="AU13" s="56">
        <f t="shared" si="11"/>
        <v>73831.284337379315</v>
      </c>
      <c r="AV13" s="56">
        <f t="shared" si="11"/>
        <v>78069.475931354638</v>
      </c>
      <c r="AW13" s="56">
        <f t="shared" si="11"/>
        <v>82622.286267370349</v>
      </c>
      <c r="AX13" s="56">
        <f t="shared" si="11"/>
        <v>87517.506111793162</v>
      </c>
      <c r="AY13" s="56">
        <f t="shared" si="11"/>
        <v>92785.603761310602</v>
      </c>
      <c r="AZ13" s="56">
        <f t="shared" si="11"/>
        <v>98459.99272675511</v>
      </c>
      <c r="BA13" s="56">
        <f t="shared" si="11"/>
        <v>102450.6087645856</v>
      </c>
      <c r="BB13" s="56">
        <f t="shared" si="11"/>
        <v>106606.78064662992</v>
      </c>
      <c r="BC13" s="56">
        <f t="shared" si="11"/>
        <v>110935.52354035358</v>
      </c>
      <c r="BD13" s="56">
        <f t="shared" si="11"/>
        <v>115444.15548325256</v>
      </c>
      <c r="BE13" s="56">
        <f t="shared" si="11"/>
        <v>120140.31067214895</v>
      </c>
      <c r="BF13" s="56">
        <f t="shared" si="11"/>
        <v>125031.95334366465</v>
      </c>
      <c r="BG13" s="56">
        <f t="shared" si="11"/>
        <v>130127.39227247682</v>
      </c>
      <c r="BH13" s="56">
        <f t="shared" si="11"/>
        <v>135435.29591516691</v>
      </c>
      <c r="BI13" s="56">
        <f t="shared" si="11"/>
        <v>140964.70822873947</v>
      </c>
      <c r="BJ13" s="56">
        <f t="shared" si="11"/>
        <v>146725.06519420882</v>
      </c>
      <c r="BK13" s="56">
        <f t="shared" si="11"/>
        <v>152726.21207703376</v>
      </c>
      <c r="BL13" s="56">
        <f t="shared" si="11"/>
        <v>158978.42145762712</v>
      </c>
    </row>
    <row r="14" spans="2:64" x14ac:dyDescent="0.35">
      <c r="B14" s="3" t="s">
        <v>414</v>
      </c>
      <c r="C14" s="18" t="s">
        <v>415</v>
      </c>
      <c r="D14" s="13">
        <f>IF(AB10=0,1,0)</f>
        <v>0</v>
      </c>
    </row>
    <row r="15" spans="2:64" x14ac:dyDescent="0.35">
      <c r="B15" s="3" t="s">
        <v>416</v>
      </c>
      <c r="C15" s="18" t="s">
        <v>415</v>
      </c>
      <c r="D15" s="13">
        <f>IF(AB11=0,1,0)</f>
        <v>0</v>
      </c>
    </row>
    <row r="16" spans="2:64" x14ac:dyDescent="0.35">
      <c r="B16" s="3" t="s">
        <v>417</v>
      </c>
      <c r="C16" s="18" t="s">
        <v>415</v>
      </c>
      <c r="D16" s="13">
        <f>IF(AB12=0,1,0)</f>
        <v>1</v>
      </c>
    </row>
    <row r="17" spans="2:64" x14ac:dyDescent="0.35">
      <c r="B17" s="16" t="s">
        <v>418</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row>
    <row r="18" spans="2:64" x14ac:dyDescent="0.35">
      <c r="B18" s="3" t="s">
        <v>419</v>
      </c>
      <c r="C18" s="18" t="s">
        <v>111</v>
      </c>
      <c r="D18" s="20">
        <f>SUM(E18:BL18)</f>
        <v>175955.89485363098</v>
      </c>
      <c r="E18" s="40">
        <f>E10*(1-Inputs!$D$34)</f>
        <v>0</v>
      </c>
      <c r="F18" s="40">
        <f>F10*(1-Inputs!$D$34)</f>
        <v>0</v>
      </c>
      <c r="G18" s="40">
        <f>G10*(1-Inputs!$D$34)</f>
        <v>0</v>
      </c>
      <c r="H18" s="40">
        <f>H10*(1-Inputs!$D$34)</f>
        <v>0</v>
      </c>
      <c r="I18" s="40">
        <f>I10*(1-Inputs!$D$34)</f>
        <v>0</v>
      </c>
      <c r="J18" s="40">
        <f>J10*(1-Inputs!$D$34)</f>
        <v>0</v>
      </c>
      <c r="K18" s="40">
        <f>K10*(1-Inputs!$D$34)</f>
        <v>0</v>
      </c>
      <c r="L18" s="40">
        <f>L10*(1-Inputs!$D$34)</f>
        <v>0</v>
      </c>
      <c r="M18" s="40">
        <f>M10*(1-Inputs!$D$34)</f>
        <v>0</v>
      </c>
      <c r="N18" s="40">
        <f>N10*(1-Inputs!$D$34)</f>
        <v>3351.2170351697746</v>
      </c>
      <c r="O18" s="40">
        <f>O10*(1-Inputs!$D$34)</f>
        <v>6094.0278375892058</v>
      </c>
      <c r="P18" s="40">
        <f>P10*(1-Inputs!$D$34)</f>
        <v>8773.237916591017</v>
      </c>
      <c r="Q18" s="40">
        <f>Q10*(1-Inputs!$E$34)</f>
        <v>942.80625766519404</v>
      </c>
      <c r="R18" s="40">
        <f>R10*(1-Inputs!$E$34)</f>
        <v>1245.9501858061358</v>
      </c>
      <c r="S18" s="40">
        <f>S10*(1-Inputs!$E$34)</f>
        <v>1542.0393472454382</v>
      </c>
      <c r="T18" s="40">
        <f>T10*(1-Inputs!$E$34)</f>
        <v>1831.2847820126381</v>
      </c>
      <c r="U18" s="40">
        <f>U10*(1-Inputs!$E$34)</f>
        <v>2113.9276787129193</v>
      </c>
      <c r="V18" s="40">
        <f>V10*(1-Inputs!$E$34)</f>
        <v>2390.29967167841</v>
      </c>
      <c r="W18" s="40">
        <f>W10*(1-Inputs!$E$34)</f>
        <v>2660.8228409681838</v>
      </c>
      <c r="X18" s="40">
        <f>X10*(1-Inputs!$E$34)</f>
        <v>2955.1633850199005</v>
      </c>
      <c r="Y18" s="40">
        <f>Y10*(1-Inputs!$E$34)</f>
        <v>3246.8508544145907</v>
      </c>
      <c r="Z18" s="40">
        <f>Z10*(1-Inputs!$E$34)</f>
        <v>3492.4411516434434</v>
      </c>
      <c r="AA18" s="40">
        <f>AA10*(1-Inputs!$E$34)</f>
        <v>3740.8955635588586</v>
      </c>
      <c r="AB18" s="40">
        <f>AB10*(1-Inputs!$E$34)</f>
        <v>3986.0939293042861</v>
      </c>
      <c r="AC18" s="40">
        <f>AC10*(1-Inputs!$F$34)</f>
        <v>1596.2891452402184</v>
      </c>
      <c r="AD18" s="40">
        <f>AD10*(1-Inputs!$F$34)</f>
        <v>1734.4699959364516</v>
      </c>
      <c r="AE18" s="40">
        <f>AE10*(1-Inputs!$F$34)</f>
        <v>1884.6123058432975</v>
      </c>
      <c r="AF18" s="40">
        <f>AF10*(1-Inputs!$F$34)</f>
        <v>2047.7515042964872</v>
      </c>
      <c r="AG18" s="40">
        <f>AG10*(1-Inputs!$F$34)</f>
        <v>2225.0126513273394</v>
      </c>
      <c r="AH18" s="40">
        <f>AH10*(1-Inputs!$F$34)</f>
        <v>2417.6181964361649</v>
      </c>
      <c r="AI18" s="40">
        <f>AI10*(1-Inputs!$F$34)</f>
        <v>2626.8964089945603</v>
      </c>
      <c r="AJ18" s="40">
        <f>AJ10*(1-Inputs!$F$34)</f>
        <v>2854.2905384153451</v>
      </c>
      <c r="AK18" s="40">
        <f>AK10*(1-Inputs!$F$34)</f>
        <v>3101.3687672615915</v>
      </c>
      <c r="AL18" s="40">
        <f>AL10*(1-Inputs!$F$34)</f>
        <v>3369.8350259345743</v>
      </c>
      <c r="AM18" s="40">
        <f>AM10*(1-Inputs!$F$34)</f>
        <v>3661.5407435221791</v>
      </c>
      <c r="AN18" s="40">
        <f>AN10*(1-Inputs!$F$34)</f>
        <v>3978.4976158453783</v>
      </c>
      <c r="AO18" s="40">
        <f>AO10*(1-Inputs!$G$34)</f>
        <v>3044.0367336228405</v>
      </c>
      <c r="AP18" s="40">
        <f>AP10*(1-Inputs!$G$34)</f>
        <v>3129.3394391221</v>
      </c>
      <c r="AQ18" s="40">
        <f>AQ10*(1-Inputs!$G$34)</f>
        <v>3217.0325729250389</v>
      </c>
      <c r="AR18" s="40">
        <f>AR10*(1-Inputs!$G$34)</f>
        <v>3307.183121740246</v>
      </c>
      <c r="AS18" s="40">
        <f>AS10*(1-Inputs!$G$34)</f>
        <v>3399.8599494374516</v>
      </c>
      <c r="AT18" s="40">
        <f>AT10*(1-Inputs!$G$34)</f>
        <v>3495.1338496510107</v>
      </c>
      <c r="AU18" s="40">
        <f>AU10*(1-Inputs!$G$34)</f>
        <v>3593.0775998574804</v>
      </c>
      <c r="AV18" s="40">
        <f>AV10*(1-Inputs!$G$34)</f>
        <v>3693.7660169686137</v>
      </c>
      <c r="AW18" s="40">
        <f>AW10*(1-Inputs!$G$34)</f>
        <v>3797.2760144822269</v>
      </c>
      <c r="AX18" s="40">
        <f>AX10*(1-Inputs!$G$34)</f>
        <v>3903.6866612345966</v>
      </c>
      <c r="AY18" s="40">
        <f>AY10*(1-Inputs!$G$34)</f>
        <v>4013.0792417992766</v>
      </c>
      <c r="AZ18" s="40">
        <f>AZ10*(1-Inputs!$G$34)</f>
        <v>4125.5373185784547</v>
      </c>
      <c r="BA18" s="40">
        <f>BA10*(1-Inputs!$H$34)</f>
        <v>3733.9923922395615</v>
      </c>
      <c r="BB18" s="40">
        <f>BB10*(1-Inputs!$H$34)</f>
        <v>3850.6897361311876</v>
      </c>
      <c r="BC18" s="40">
        <f>BC10*(1-Inputs!$H$34)</f>
        <v>3971.0341870977136</v>
      </c>
      <c r="BD18" s="40">
        <f>BD10*(1-Inputs!$H$34)</f>
        <v>4095.1397270822777</v>
      </c>
      <c r="BE18" s="40">
        <f>BE10*(1-Inputs!$H$34)</f>
        <v>4223.1239002714874</v>
      </c>
      <c r="BF18" s="40">
        <f>BF10*(1-Inputs!$H$34)</f>
        <v>4355.1079244251468</v>
      </c>
      <c r="BG18" s="40">
        <f>BG10*(1-Inputs!$H$34)</f>
        <v>4491.216805685337</v>
      </c>
      <c r="BH18" s="40">
        <f>BH10*(1-Inputs!$H$34)</f>
        <v>4631.5794569735899</v>
      </c>
      <c r="BI18" s="40">
        <f>BI10*(1-Inputs!$H$34)</f>
        <v>4776.3288200882971</v>
      </c>
      <c r="BJ18" s="40">
        <f>BJ10*(1-Inputs!$H$34)</f>
        <v>4925.6019916179857</v>
      </c>
      <c r="BK18" s="40">
        <f>BK10*(1-Inputs!$H$34)</f>
        <v>5079.5403527897306</v>
      </c>
      <c r="BL18" s="40">
        <f>BL10*(1-Inputs!$H$34)</f>
        <v>5238.2897033756772</v>
      </c>
    </row>
    <row r="19" spans="2:64" x14ac:dyDescent="0.35">
      <c r="B19" s="3" t="s">
        <v>420</v>
      </c>
      <c r="C19" s="18" t="s">
        <v>111</v>
      </c>
      <c r="D19" s="20">
        <f>SUM(E19:BL19)</f>
        <v>805014.62148841901</v>
      </c>
      <c r="E19" s="40">
        <f>E11*(1-Inputs!$D$37)</f>
        <v>0</v>
      </c>
      <c r="F19" s="40">
        <f>F11*(1-Inputs!$D$37)</f>
        <v>0</v>
      </c>
      <c r="G19" s="40">
        <f>G11*(1-Inputs!$D$37)</f>
        <v>0</v>
      </c>
      <c r="H19" s="40">
        <f>H11*(1-Inputs!$D$37)</f>
        <v>0</v>
      </c>
      <c r="I19" s="40">
        <f>I11*(1-Inputs!$D$37)</f>
        <v>0</v>
      </c>
      <c r="J19" s="40">
        <f>J11*(1-Inputs!$D$37)</f>
        <v>0</v>
      </c>
      <c r="K19" s="40">
        <f>K11*(1-Inputs!$D$37)</f>
        <v>0</v>
      </c>
      <c r="L19" s="40">
        <f>L11*(1-Inputs!$D$37)</f>
        <v>0</v>
      </c>
      <c r="M19" s="40">
        <f>M11*(1-Inputs!$D$37)</f>
        <v>0</v>
      </c>
      <c r="N19" s="40">
        <f>N11*(1-Inputs!$D$37)</f>
        <v>0</v>
      </c>
      <c r="O19" s="40">
        <f>O11*(1-Inputs!$D$37)</f>
        <v>0</v>
      </c>
      <c r="P19" s="40">
        <f>P11*(1-Inputs!$D$37)</f>
        <v>0</v>
      </c>
      <c r="Q19" s="40">
        <f>Q11*(1-Inputs!$E$37)</f>
        <v>0</v>
      </c>
      <c r="R19" s="40">
        <f>R11*(1-Inputs!$E$37)</f>
        <v>0</v>
      </c>
      <c r="S19" s="40">
        <f>S11*(1-Inputs!$E$37)</f>
        <v>0</v>
      </c>
      <c r="T19" s="40">
        <f>T11*(1-Inputs!$E$37)</f>
        <v>0</v>
      </c>
      <c r="U19" s="40">
        <f>U11*(1-Inputs!$E$37)</f>
        <v>0</v>
      </c>
      <c r="V19" s="40">
        <f>V11*(1-Inputs!$E$37)</f>
        <v>0</v>
      </c>
      <c r="W19" s="40">
        <f>W11*(1-Inputs!$E$37)</f>
        <v>1217.751352619435</v>
      </c>
      <c r="X19" s="40">
        <f>X11*(1-Inputs!$E$37)</f>
        <v>2448.2161388913378</v>
      </c>
      <c r="Y19" s="40">
        <f>Y11*(1-Inputs!$E$37)</f>
        <v>3591.936189396019</v>
      </c>
      <c r="Z19" s="40">
        <f>Z11*(1-Inputs!$E$37)</f>
        <v>4681.1107197494402</v>
      </c>
      <c r="AA19" s="40">
        <f>AA11*(1-Inputs!$E$37)</f>
        <v>5737.8904431999399</v>
      </c>
      <c r="AB19" s="40">
        <f>AB11*(1-Inputs!$E$37)</f>
        <v>6772.006026273828</v>
      </c>
      <c r="AC19" s="40">
        <f>AC11*(1-Inputs!$F$37)</f>
        <v>4651.3481662948079</v>
      </c>
      <c r="AD19" s="40">
        <f>AD11*(1-Inputs!$F$37)</f>
        <v>5250.3527344590666</v>
      </c>
      <c r="AE19" s="40">
        <f>AE11*(1-Inputs!$F$37)</f>
        <v>5926.4976197644246</v>
      </c>
      <c r="AF19" s="40">
        <f>AF11*(1-Inputs!$F$37)</f>
        <v>6689.717017782822</v>
      </c>
      <c r="AG19" s="40">
        <f>AG11*(1-Inputs!$F$37)</f>
        <v>7551.2244582310268</v>
      </c>
      <c r="AH19" s="40">
        <f>AH11*(1-Inputs!$F$37)</f>
        <v>8523.6775587086013</v>
      </c>
      <c r="AI19" s="40">
        <f>AI11*(1-Inputs!$F$37)</f>
        <v>9621.3639955621929</v>
      </c>
      <c r="AJ19" s="40">
        <f>AJ11*(1-Inputs!$F$37)</f>
        <v>10860.411424235714</v>
      </c>
      <c r="AK19" s="40">
        <f>AK11*(1-Inputs!$F$37)</f>
        <v>12259.02443334155</v>
      </c>
      <c r="AL19" s="40">
        <f>AL11*(1-Inputs!$F$37)</f>
        <v>13837.752013878346</v>
      </c>
      <c r="AM19" s="40">
        <f>AM11*(1-Inputs!$F$37)</f>
        <v>15619.78947336186</v>
      </c>
      <c r="AN19" s="40">
        <f>AN11*(1-Inputs!$F$37)</f>
        <v>17631.319230714096</v>
      </c>
      <c r="AO19" s="40">
        <f>AO11*(1-Inputs!$G$37)</f>
        <v>16625.263907988407</v>
      </c>
      <c r="AP19" s="40">
        <f>AP11*(1-Inputs!$G$37)</f>
        <v>17311.994269904866</v>
      </c>
      <c r="AQ19" s="40">
        <f>AQ11*(1-Inputs!$G$37)</f>
        <v>18027.09101400858</v>
      </c>
      <c r="AR19" s="40">
        <f>AR11*(1-Inputs!$G$37)</f>
        <v>18771.725854385619</v>
      </c>
      <c r="AS19" s="40">
        <f>AS11*(1-Inputs!$G$37)</f>
        <v>19547.118904452313</v>
      </c>
      <c r="AT19" s="40">
        <f>AT11*(1-Inputs!$G$37)</f>
        <v>20354.540676158962</v>
      </c>
      <c r="AU19" s="40">
        <f>AU11*(1-Inputs!$G$37)</f>
        <v>21195.31416177356</v>
      </c>
      <c r="AV19" s="40">
        <f>AV11*(1-Inputs!$G$37)</f>
        <v>22070.817001656538</v>
      </c>
      <c r="AW19" s="40">
        <f>AW11*(1-Inputs!$G$37)</f>
        <v>22982.483741578591</v>
      </c>
      <c r="AX19" s="40">
        <f>AX11*(1-Inputs!$G$37)</f>
        <v>23931.808183280231</v>
      </c>
      <c r="AY19" s="40">
        <f>AY11*(1-Inputs!$G$37)</f>
        <v>24920.34583212456</v>
      </c>
      <c r="AZ19" s="40">
        <f>AZ11*(1-Inputs!$G$37)</f>
        <v>25949.716445853901</v>
      </c>
      <c r="BA19" s="40">
        <f>BA11*(1-Inputs!$H$37)</f>
        <v>26180.633384714376</v>
      </c>
      <c r="BB19" s="40">
        <f>BB11*(1-Inputs!$H$37)</f>
        <v>27421.069009285038</v>
      </c>
      <c r="BC19" s="40">
        <f>BC11*(1-Inputs!$H$37)</f>
        <v>28720.276341785517</v>
      </c>
      <c r="BD19" s="40">
        <f>BD11*(1-Inputs!$H$37)</f>
        <v>30081.039979485166</v>
      </c>
      <c r="BE19" s="40">
        <f>BE11*(1-Inputs!$H$37)</f>
        <v>31506.27645357572</v>
      </c>
      <c r="BF19" s="40">
        <f>BF11*(1-Inputs!$H$37)</f>
        <v>32999.040480186515</v>
      </c>
      <c r="BG19" s="40">
        <f>BG11*(1-Inputs!$H$37)</f>
        <v>34562.531507572116</v>
      </c>
      <c r="BH19" s="40">
        <f>BH11*(1-Inputs!$H$37)</f>
        <v>36200.100573505013</v>
      </c>
      <c r="BI19" s="40">
        <f>BI11*(1-Inputs!$H$37)</f>
        <v>37915.257487570881</v>
      </c>
      <c r="BJ19" s="40">
        <f>BJ11*(1-Inputs!$H$37)</f>
        <v>39711.678353760159</v>
      </c>
      <c r="BK19" s="40">
        <f>BK11*(1-Inputs!$H$37)</f>
        <v>41593.213449479277</v>
      </c>
      <c r="BL19" s="40">
        <f>BL11*(1-Inputs!$H$37)</f>
        <v>43563.89547786858</v>
      </c>
    </row>
    <row r="20" spans="2:64" x14ac:dyDescent="0.35">
      <c r="B20" s="3" t="s">
        <v>421</v>
      </c>
      <c r="C20" s="18" t="s">
        <v>111</v>
      </c>
      <c r="D20" s="20">
        <f>SUM(E20:BL20)</f>
        <v>74084.42316375309</v>
      </c>
      <c r="E20" s="40">
        <f>E12*(1-Inputs!$D$40)</f>
        <v>0</v>
      </c>
      <c r="F20" s="40">
        <f>F12*(1-Inputs!$D$40)</f>
        <v>0</v>
      </c>
      <c r="G20" s="40">
        <f>G12*(1-Inputs!$D$40)</f>
        <v>0</v>
      </c>
      <c r="H20" s="40">
        <f>H12*(1-Inputs!$D$40)</f>
        <v>0</v>
      </c>
      <c r="I20" s="40">
        <f>I12*(1-Inputs!$D$40)</f>
        <v>0</v>
      </c>
      <c r="J20" s="40">
        <f>J12*(1-Inputs!$D$40)</f>
        <v>0</v>
      </c>
      <c r="K20" s="40">
        <f>K12*(1-Inputs!$D$40)</f>
        <v>0</v>
      </c>
      <c r="L20" s="40">
        <f>L12*(1-Inputs!$D$40)</f>
        <v>0</v>
      </c>
      <c r="M20" s="40">
        <f>M12*(1-Inputs!$D$40)</f>
        <v>0</v>
      </c>
      <c r="N20" s="40">
        <f>N12*(1-Inputs!$D$40)</f>
        <v>0</v>
      </c>
      <c r="O20" s="40">
        <f>O12*(1-Inputs!$D$40)</f>
        <v>0</v>
      </c>
      <c r="P20" s="40">
        <f>P12*(1-Inputs!$D$40)</f>
        <v>0</v>
      </c>
      <c r="Q20" s="40">
        <f>Q12*(1-Inputs!$E$40)</f>
        <v>0</v>
      </c>
      <c r="R20" s="40">
        <f>R12*(1-Inputs!$E$40)</f>
        <v>0</v>
      </c>
      <c r="S20" s="40">
        <f>S12*(1-Inputs!$E$40)</f>
        <v>0</v>
      </c>
      <c r="T20" s="40">
        <f>T12*(1-Inputs!$E$40)</f>
        <v>0</v>
      </c>
      <c r="U20" s="40">
        <f>U12*(1-Inputs!$E$40)</f>
        <v>0</v>
      </c>
      <c r="V20" s="40">
        <f>V12*(1-Inputs!$E$40)</f>
        <v>0</v>
      </c>
      <c r="W20" s="40">
        <f>W12*(1-Inputs!$E$40)</f>
        <v>0</v>
      </c>
      <c r="X20" s="40">
        <f>X12*(1-Inputs!$E$40)</f>
        <v>0</v>
      </c>
      <c r="Y20" s="40">
        <f>Y12*(1-Inputs!$E$40)</f>
        <v>0</v>
      </c>
      <c r="Z20" s="40">
        <f>Z12*(1-Inputs!$E$40)</f>
        <v>0</v>
      </c>
      <c r="AA20" s="40">
        <f>AA12*(1-Inputs!$E$40)</f>
        <v>0</v>
      </c>
      <c r="AB20" s="40">
        <f>AB12*(1-Inputs!$E$40)</f>
        <v>0</v>
      </c>
      <c r="AC20" s="40">
        <f>AC12*(1-Inputs!$F$40)</f>
        <v>150.8225143711</v>
      </c>
      <c r="AD20" s="40">
        <f>AD12*(1-Inputs!$F$40)</f>
        <v>301.63326503309997</v>
      </c>
      <c r="AE20" s="40">
        <f>AE12*(1-Inputs!$F$40)</f>
        <v>452.45577940419997</v>
      </c>
      <c r="AF20" s="40">
        <f>AF12*(1-Inputs!$F$40)</f>
        <v>603.26653006619995</v>
      </c>
      <c r="AG20" s="40">
        <f>AG12*(1-Inputs!$F$40)</f>
        <v>754.08904443729978</v>
      </c>
      <c r="AH20" s="40">
        <f>AH12*(1-Inputs!$F$40)</f>
        <v>904.89979509930004</v>
      </c>
      <c r="AI20" s="40">
        <f>AI12*(1-Inputs!$F$40)</f>
        <v>1055.7223094704</v>
      </c>
      <c r="AJ20" s="40">
        <f>AJ12*(1-Inputs!$F$40)</f>
        <v>1206.5330601323999</v>
      </c>
      <c r="AK20" s="40">
        <f>AK12*(1-Inputs!$F$40)</f>
        <v>1357.3555745034998</v>
      </c>
      <c r="AL20" s="40">
        <f>AL12*(1-Inputs!$F$40)</f>
        <v>1508.1663251655</v>
      </c>
      <c r="AM20" s="40">
        <f>AM12*(1-Inputs!$F$40)</f>
        <v>1658.9888395366002</v>
      </c>
      <c r="AN20" s="40">
        <f>AN12*(1-Inputs!$F$40)</f>
        <v>1809.7760627803998</v>
      </c>
      <c r="AO20" s="40">
        <f>AO12*(1-Inputs!$G$40)</f>
        <v>1135.1972101112215</v>
      </c>
      <c r="AP20" s="40">
        <f>AP12*(1-Inputs!$G$40)</f>
        <v>1251.4877705593476</v>
      </c>
      <c r="AQ20" s="40">
        <f>AQ12*(1-Inputs!$G$40)</f>
        <v>1379.691234183138</v>
      </c>
      <c r="AR20" s="40">
        <f>AR12*(1-Inputs!$G$40)</f>
        <v>1521.0279688398452</v>
      </c>
      <c r="AS20" s="40">
        <f>AS12*(1-Inputs!$G$40)</f>
        <v>1676.8433579001569</v>
      </c>
      <c r="AT20" s="40">
        <f>AT12*(1-Inputs!$G$40)</f>
        <v>1848.6206069429218</v>
      </c>
      <c r="AU20" s="40">
        <f>AU12*(1-Inputs!$G$40)</f>
        <v>2037.9948623784903</v>
      </c>
      <c r="AV20" s="40">
        <f>AV12*(1-Inputs!$G$40)</f>
        <v>2246.7687763957529</v>
      </c>
      <c r="AW20" s="40">
        <f>AW12*(1-Inputs!$G$40)</f>
        <v>2476.9296663954856</v>
      </c>
      <c r="AX20" s="40">
        <f>AX12*(1-Inputs!$G$40)</f>
        <v>2730.6684322505389</v>
      </c>
      <c r="AY20" s="40">
        <f>AY12*(1-Inputs!$G$40)</f>
        <v>3010.4004114661229</v>
      </c>
      <c r="AZ20" s="40">
        <f>AZ12*(1-Inputs!$G$40)</f>
        <v>3318.7883707603196</v>
      </c>
      <c r="BA20" s="40">
        <f>BA12*(1-Inputs!$H$40)</f>
        <v>2530.9743098737631</v>
      </c>
      <c r="BB20" s="40">
        <f>BB12*(1-Inputs!$H$40)</f>
        <v>2628.2053111531736</v>
      </c>
      <c r="BC20" s="40">
        <f>BC12*(1-Inputs!$H$40)</f>
        <v>2729.1715805358267</v>
      </c>
      <c r="BD20" s="40">
        <f>BD12*(1-Inputs!$H$40)</f>
        <v>2834.0166136930557</v>
      </c>
      <c r="BE20" s="40">
        <f>BE12*(1-Inputs!$H$40)</f>
        <v>2942.889418887828</v>
      </c>
      <c r="BF20" s="40">
        <f>BF12*(1-Inputs!$H$40)</f>
        <v>3055.9447287488429</v>
      </c>
      <c r="BG20" s="40">
        <f>BG12*(1-Inputs!$H$40)</f>
        <v>3173.3432201802339</v>
      </c>
      <c r="BH20" s="40">
        <f>BH12*(1-Inputs!$H$40)</f>
        <v>3295.2517427194225</v>
      </c>
      <c r="BI20" s="40">
        <f>BI12*(1-Inputs!$H$40)</f>
        <v>3421.8435556676591</v>
      </c>
      <c r="BJ20" s="40">
        <f>BJ12*(1-Inputs!$H$40)</f>
        <v>3553.2985743302779</v>
      </c>
      <c r="BK20" s="40">
        <f>BK12*(1-Inputs!$H$40)</f>
        <v>3689.8036257166218</v>
      </c>
      <c r="BL20" s="40">
        <f>BL12*(1-Inputs!$H$40)</f>
        <v>3831.5527140630461</v>
      </c>
    </row>
    <row r="21" spans="2:64" x14ac:dyDescent="0.35">
      <c r="B21" s="4" t="s">
        <v>285</v>
      </c>
      <c r="C21" s="18" t="s">
        <v>111</v>
      </c>
      <c r="D21" s="56">
        <f>SUM(E21:BL21)</f>
        <v>1055054.9395058032</v>
      </c>
      <c r="E21" s="56">
        <f t="shared" ref="E21:AJ21" si="12">E18+E19+E20</f>
        <v>0</v>
      </c>
      <c r="F21" s="56">
        <f t="shared" si="12"/>
        <v>0</v>
      </c>
      <c r="G21" s="56">
        <f t="shared" si="12"/>
        <v>0</v>
      </c>
      <c r="H21" s="56">
        <f t="shared" si="12"/>
        <v>0</v>
      </c>
      <c r="I21" s="56">
        <f t="shared" si="12"/>
        <v>0</v>
      </c>
      <c r="J21" s="56">
        <f t="shared" si="12"/>
        <v>0</v>
      </c>
      <c r="K21" s="56">
        <f t="shared" si="12"/>
        <v>0</v>
      </c>
      <c r="L21" s="56">
        <f t="shared" si="12"/>
        <v>0</v>
      </c>
      <c r="M21" s="56">
        <f t="shared" si="12"/>
        <v>0</v>
      </c>
      <c r="N21" s="56">
        <f t="shared" si="12"/>
        <v>3351.2170351697746</v>
      </c>
      <c r="O21" s="56">
        <f t="shared" si="12"/>
        <v>6094.0278375892058</v>
      </c>
      <c r="P21" s="56">
        <f t="shared" si="12"/>
        <v>8773.237916591017</v>
      </c>
      <c r="Q21" s="56">
        <f t="shared" si="12"/>
        <v>942.80625766519404</v>
      </c>
      <c r="R21" s="56">
        <f t="shared" si="12"/>
        <v>1245.9501858061358</v>
      </c>
      <c r="S21" s="56">
        <f t="shared" si="12"/>
        <v>1542.0393472454382</v>
      </c>
      <c r="T21" s="56">
        <f t="shared" si="12"/>
        <v>1831.2847820126381</v>
      </c>
      <c r="U21" s="56">
        <f t="shared" si="12"/>
        <v>2113.9276787129193</v>
      </c>
      <c r="V21" s="56">
        <f t="shared" si="12"/>
        <v>2390.29967167841</v>
      </c>
      <c r="W21" s="56">
        <f t="shared" si="12"/>
        <v>3878.5741935876185</v>
      </c>
      <c r="X21" s="56">
        <f t="shared" si="12"/>
        <v>5403.3795239112387</v>
      </c>
      <c r="Y21" s="56">
        <f t="shared" si="12"/>
        <v>6838.7870438106092</v>
      </c>
      <c r="Z21" s="56">
        <f t="shared" si="12"/>
        <v>8173.5518713928832</v>
      </c>
      <c r="AA21" s="56">
        <f t="shared" si="12"/>
        <v>9478.786006758799</v>
      </c>
      <c r="AB21" s="56">
        <f t="shared" si="12"/>
        <v>10758.099955578115</v>
      </c>
      <c r="AC21" s="56">
        <f t="shared" si="12"/>
        <v>6398.4598259061258</v>
      </c>
      <c r="AD21" s="56">
        <f t="shared" si="12"/>
        <v>7286.4559954286178</v>
      </c>
      <c r="AE21" s="56">
        <f t="shared" si="12"/>
        <v>8263.5657050119225</v>
      </c>
      <c r="AF21" s="56">
        <f t="shared" si="12"/>
        <v>9340.7350521455082</v>
      </c>
      <c r="AG21" s="56">
        <f t="shared" si="12"/>
        <v>10530.326153995666</v>
      </c>
      <c r="AH21" s="56">
        <f t="shared" si="12"/>
        <v>11846.195550244065</v>
      </c>
      <c r="AI21" s="56">
        <f t="shared" si="12"/>
        <v>13303.982714027154</v>
      </c>
      <c r="AJ21" s="56">
        <f t="shared" si="12"/>
        <v>14921.235022783459</v>
      </c>
      <c r="AK21" s="56">
        <f t="shared" ref="AK21:BP21" si="13">AK18+AK19+AK20</f>
        <v>16717.748775106644</v>
      </c>
      <c r="AL21" s="56">
        <f t="shared" si="13"/>
        <v>18715.75336497842</v>
      </c>
      <c r="AM21" s="56">
        <f t="shared" si="13"/>
        <v>20940.319056420638</v>
      </c>
      <c r="AN21" s="56">
        <f t="shared" si="13"/>
        <v>23419.592909339874</v>
      </c>
      <c r="AO21" s="56">
        <f t="shared" si="13"/>
        <v>20804.49785172247</v>
      </c>
      <c r="AP21" s="56">
        <f t="shared" si="13"/>
        <v>21692.821479586313</v>
      </c>
      <c r="AQ21" s="56">
        <f t="shared" si="13"/>
        <v>22623.814821116757</v>
      </c>
      <c r="AR21" s="56">
        <f t="shared" si="13"/>
        <v>23599.93694496571</v>
      </c>
      <c r="AS21" s="56">
        <f t="shared" si="13"/>
        <v>24623.82221178992</v>
      </c>
      <c r="AT21" s="56">
        <f t="shared" si="13"/>
        <v>25698.295132752894</v>
      </c>
      <c r="AU21" s="56">
        <f t="shared" si="13"/>
        <v>26826.38662400953</v>
      </c>
      <c r="AV21" s="56">
        <f t="shared" si="13"/>
        <v>28011.351795020906</v>
      </c>
      <c r="AW21" s="56">
        <f t="shared" si="13"/>
        <v>29256.689422456304</v>
      </c>
      <c r="AX21" s="56">
        <f t="shared" si="13"/>
        <v>30566.163276765365</v>
      </c>
      <c r="AY21" s="56">
        <f t="shared" si="13"/>
        <v>31943.82548538996</v>
      </c>
      <c r="AZ21" s="56">
        <f t="shared" si="13"/>
        <v>33394.042135192678</v>
      </c>
      <c r="BA21" s="56">
        <f t="shared" si="13"/>
        <v>32445.600086827701</v>
      </c>
      <c r="BB21" s="56">
        <f t="shared" si="13"/>
        <v>33899.964056569399</v>
      </c>
      <c r="BC21" s="56">
        <f t="shared" si="13"/>
        <v>35420.482109419056</v>
      </c>
      <c r="BD21" s="56">
        <f t="shared" si="13"/>
        <v>37010.196320260497</v>
      </c>
      <c r="BE21" s="56">
        <f t="shared" si="13"/>
        <v>38672.289772735036</v>
      </c>
      <c r="BF21" s="56">
        <f t="shared" si="13"/>
        <v>40410.093133360504</v>
      </c>
      <c r="BG21" s="56">
        <f t="shared" si="13"/>
        <v>42227.091533437691</v>
      </c>
      <c r="BH21" s="56">
        <f t="shared" si="13"/>
        <v>44126.931773198026</v>
      </c>
      <c r="BI21" s="56">
        <f t="shared" si="13"/>
        <v>46113.429863326834</v>
      </c>
      <c r="BJ21" s="56">
        <f t="shared" si="13"/>
        <v>48190.578919708423</v>
      </c>
      <c r="BK21" s="56">
        <f t="shared" si="13"/>
        <v>50362.55742798563</v>
      </c>
      <c r="BL21" s="56">
        <f t="shared" si="13"/>
        <v>52633.737895307298</v>
      </c>
    </row>
    <row r="22" spans="2:64" x14ac:dyDescent="0.35">
      <c r="B22" s="4" t="s">
        <v>286</v>
      </c>
      <c r="C22" s="18" t="s">
        <v>111</v>
      </c>
      <c r="D22" s="56">
        <f>SUM(E22:BL22)</f>
        <v>1794840.895462625</v>
      </c>
      <c r="E22" s="56">
        <f t="shared" ref="E22:AJ22" si="14">E13-E21</f>
        <v>0</v>
      </c>
      <c r="F22" s="56">
        <f t="shared" si="14"/>
        <v>0</v>
      </c>
      <c r="G22" s="56">
        <f t="shared" si="14"/>
        <v>0</v>
      </c>
      <c r="H22" s="56">
        <f t="shared" si="14"/>
        <v>0</v>
      </c>
      <c r="I22" s="56">
        <f t="shared" si="14"/>
        <v>0</v>
      </c>
      <c r="J22" s="56">
        <f t="shared" si="14"/>
        <v>0</v>
      </c>
      <c r="K22" s="56">
        <f t="shared" si="14"/>
        <v>0</v>
      </c>
      <c r="L22" s="56">
        <f t="shared" si="14"/>
        <v>0</v>
      </c>
      <c r="M22" s="56">
        <f t="shared" si="14"/>
        <v>0</v>
      </c>
      <c r="N22" s="56">
        <f t="shared" si="14"/>
        <v>-3018.6812958297746</v>
      </c>
      <c r="O22" s="56">
        <f t="shared" si="14"/>
        <v>-5489.3275059592061</v>
      </c>
      <c r="P22" s="56">
        <f t="shared" si="14"/>
        <v>-7902.6839875610167</v>
      </c>
      <c r="Q22" s="56">
        <f t="shared" si="14"/>
        <v>353.59107649480586</v>
      </c>
      <c r="R22" s="56">
        <f t="shared" si="14"/>
        <v>467.28250250386418</v>
      </c>
      <c r="S22" s="56">
        <f t="shared" si="14"/>
        <v>578.32810119456167</v>
      </c>
      <c r="T22" s="56">
        <f t="shared" si="14"/>
        <v>686.80702124736172</v>
      </c>
      <c r="U22" s="56">
        <f t="shared" si="14"/>
        <v>792.80971829708051</v>
      </c>
      <c r="V22" s="56">
        <f t="shared" si="14"/>
        <v>896.46056884158952</v>
      </c>
      <c r="W22" s="56">
        <f t="shared" si="14"/>
        <v>807.95310338238141</v>
      </c>
      <c r="X22" s="56">
        <f t="shared" si="14"/>
        <v>726.39488260876169</v>
      </c>
      <c r="Y22" s="56">
        <f t="shared" si="14"/>
        <v>657.37351205939012</v>
      </c>
      <c r="Z22" s="56">
        <f t="shared" si="14"/>
        <v>579.5727103871177</v>
      </c>
      <c r="AA22" s="56">
        <f t="shared" si="14"/>
        <v>507.89954103120181</v>
      </c>
      <c r="AB22" s="56">
        <f t="shared" si="14"/>
        <v>438.54074379188569</v>
      </c>
      <c r="AC22" s="56">
        <f t="shared" si="14"/>
        <v>6992.0710024735035</v>
      </c>
      <c r="AD22" s="56">
        <f t="shared" si="14"/>
        <v>8433.7496846737777</v>
      </c>
      <c r="AE22" s="56">
        <f t="shared" si="14"/>
        <v>9938.0154003196731</v>
      </c>
      <c r="AF22" s="56">
        <f t="shared" si="14"/>
        <v>11511.410911667368</v>
      </c>
      <c r="AG22" s="56">
        <f t="shared" si="14"/>
        <v>13161.478661035169</v>
      </c>
      <c r="AH22" s="56">
        <f t="shared" si="14"/>
        <v>14896.326236568235</v>
      </c>
      <c r="AI22" s="56">
        <f t="shared" si="14"/>
        <v>16725.240864881052</v>
      </c>
      <c r="AJ22" s="56">
        <f t="shared" si="14"/>
        <v>18658.276185599389</v>
      </c>
      <c r="AK22" s="56">
        <f t="shared" ref="AK22:BP22" si="15">AK13-AK21</f>
        <v>20706.890635378084</v>
      </c>
      <c r="AL22" s="56">
        <f t="shared" si="15"/>
        <v>22883.561015019815</v>
      </c>
      <c r="AM22" s="56">
        <f t="shared" si="15"/>
        <v>25202.450925694437</v>
      </c>
      <c r="AN22" s="56">
        <f t="shared" si="15"/>
        <v>27678.928178567498</v>
      </c>
      <c r="AO22" s="56">
        <f t="shared" si="15"/>
        <v>32928.927263764912</v>
      </c>
      <c r="AP22" s="56">
        <f t="shared" si="15"/>
        <v>34852.719250951515</v>
      </c>
      <c r="AQ22" s="56">
        <f t="shared" si="15"/>
        <v>36925.788467271719</v>
      </c>
      <c r="AR22" s="56">
        <f t="shared" si="15"/>
        <v>39161.79102423841</v>
      </c>
      <c r="AS22" s="56">
        <f t="shared" si="15"/>
        <v>41575.723882995786</v>
      </c>
      <c r="AT22" s="56">
        <f t="shared" si="15"/>
        <v>44184.06007815418</v>
      </c>
      <c r="AU22" s="56">
        <f t="shared" si="15"/>
        <v>47004.897713369784</v>
      </c>
      <c r="AV22" s="56">
        <f t="shared" si="15"/>
        <v>50058.124136333732</v>
      </c>
      <c r="AW22" s="56">
        <f t="shared" si="15"/>
        <v>53365.596844914049</v>
      </c>
      <c r="AX22" s="56">
        <f t="shared" si="15"/>
        <v>56951.342835027797</v>
      </c>
      <c r="AY22" s="56">
        <f t="shared" si="15"/>
        <v>60841.778275920646</v>
      </c>
      <c r="AZ22" s="56">
        <f t="shared" si="15"/>
        <v>65065.950591562432</v>
      </c>
      <c r="BA22" s="56">
        <f t="shared" si="15"/>
        <v>70005.008677757898</v>
      </c>
      <c r="BB22" s="56">
        <f t="shared" si="15"/>
        <v>72706.816590060524</v>
      </c>
      <c r="BC22" s="56">
        <f t="shared" si="15"/>
        <v>75515.041430934521</v>
      </c>
      <c r="BD22" s="56">
        <f t="shared" si="15"/>
        <v>78433.959162992061</v>
      </c>
      <c r="BE22" s="56">
        <f t="shared" si="15"/>
        <v>81468.02089941391</v>
      </c>
      <c r="BF22" s="56">
        <f t="shared" si="15"/>
        <v>84621.860210304148</v>
      </c>
      <c r="BG22" s="56">
        <f t="shared" si="15"/>
        <v>87900.300739039129</v>
      </c>
      <c r="BH22" s="56">
        <f t="shared" si="15"/>
        <v>91308.364141968879</v>
      </c>
      <c r="BI22" s="56">
        <f t="shared" si="15"/>
        <v>94851.27836541264</v>
      </c>
      <c r="BJ22" s="56">
        <f t="shared" si="15"/>
        <v>98534.486274500392</v>
      </c>
      <c r="BK22" s="56">
        <f t="shared" si="15"/>
        <v>102363.65464904814</v>
      </c>
      <c r="BL22" s="56">
        <f t="shared" si="15"/>
        <v>106344.68356231981</v>
      </c>
    </row>
    <row r="23" spans="2:64" x14ac:dyDescent="0.35">
      <c r="B23" s="16" t="s">
        <v>422</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row>
    <row r="24" spans="2:64" x14ac:dyDescent="0.35">
      <c r="B24" s="3" t="s">
        <v>243</v>
      </c>
      <c r="C24" s="18" t="s">
        <v>111</v>
      </c>
      <c r="D24" s="20">
        <f>SUM(E24:BL24)</f>
        <v>7428617.4300000034</v>
      </c>
      <c r="E24" s="40">
        <f>Inputs!$F$42*Ramp!$E$44</f>
        <v>0</v>
      </c>
      <c r="F24" s="40">
        <f>Inputs!$F$42*Ramp!$F$44</f>
        <v>0</v>
      </c>
      <c r="G24" s="40">
        <f>Inputs!$F$42*Ramp!$G$44</f>
        <v>0</v>
      </c>
      <c r="H24" s="40">
        <f>Inputs!$F$42*Ramp!$H$44</f>
        <v>0</v>
      </c>
      <c r="I24" s="40">
        <f>Inputs!$F$42*Ramp!$I$44</f>
        <v>0</v>
      </c>
      <c r="J24" s="40">
        <f>Inputs!$F$42*Ramp!$J$44</f>
        <v>0</v>
      </c>
      <c r="K24" s="40">
        <f>Inputs!$F$42*Ramp!$K$44</f>
        <v>0</v>
      </c>
      <c r="L24" s="40">
        <f>Inputs!$F$42*Ramp!$L$44</f>
        <v>4999.9912679999998</v>
      </c>
      <c r="M24" s="40">
        <f>Inputs!$F$42*Ramp!$M$44</f>
        <v>4999.9912679999998</v>
      </c>
      <c r="N24" s="40">
        <f>Inputs!$F$42*Ramp!$N$44</f>
        <v>60000.085293600008</v>
      </c>
      <c r="O24" s="40">
        <f>Inputs!$F$42*Ramp!$O$44</f>
        <v>60030.687787199997</v>
      </c>
      <c r="P24" s="40">
        <f>Inputs!$F$42*Ramp!$P$44</f>
        <v>60046.844383199998</v>
      </c>
      <c r="Q24" s="40">
        <f>Inputs!$F$43*Ramp!$E$47</f>
        <v>95062.247297499998</v>
      </c>
      <c r="R24" s="40">
        <f>Inputs!$F$43*Ramp!$F$47</f>
        <v>95090.801378749995</v>
      </c>
      <c r="S24" s="40">
        <f>Inputs!$F$43*Ramp!$G$47</f>
        <v>95114.786806999997</v>
      </c>
      <c r="T24" s="40">
        <f>Inputs!$F$43*Ramp!$H$47</f>
        <v>95135.345745500003</v>
      </c>
      <c r="U24" s="40">
        <f>Inputs!$F$43*Ramp!$I$47</f>
        <v>95155.904683999994</v>
      </c>
      <c r="V24" s="40">
        <f>Inputs!$F$43*Ramp!$J$47</f>
        <v>95174.179296000002</v>
      </c>
      <c r="W24" s="40">
        <f>Inputs!$F$43*Ramp!$K$47</f>
        <v>95192.453907999996</v>
      </c>
      <c r="X24" s="40">
        <f>Inputs!$F$43*Ramp!$L$47</f>
        <v>95209.586356750006</v>
      </c>
      <c r="Y24" s="40">
        <f>Inputs!$F$43*Ramp!$M$47</f>
        <v>95229.003132000013</v>
      </c>
      <c r="Z24" s="40">
        <f>Inputs!$F$43*Ramp!$N$47</f>
        <v>95248.419907249991</v>
      </c>
      <c r="AA24" s="40">
        <f>Inputs!$F$43*Ramp!$O$47</f>
        <v>95266.694519249999</v>
      </c>
      <c r="AB24" s="40">
        <f>Inputs!$F$43*Ramp!$P$47</f>
        <v>95283.826967999994</v>
      </c>
      <c r="AC24" s="40">
        <f>Inputs!$F$44/12</f>
        <v>145525.86083333334</v>
      </c>
      <c r="AD24" s="40">
        <f>Inputs!$F$44/12</f>
        <v>145525.86083333334</v>
      </c>
      <c r="AE24" s="40">
        <f>Inputs!$F$44/12</f>
        <v>145525.86083333334</v>
      </c>
      <c r="AF24" s="40">
        <f>Inputs!$F$44/12</f>
        <v>145525.86083333334</v>
      </c>
      <c r="AG24" s="40">
        <f>Inputs!$F$44/12</f>
        <v>145525.86083333334</v>
      </c>
      <c r="AH24" s="40">
        <f>Inputs!$F$44/12</f>
        <v>145525.86083333334</v>
      </c>
      <c r="AI24" s="40">
        <f>Inputs!$F$44/12</f>
        <v>145525.86083333334</v>
      </c>
      <c r="AJ24" s="40">
        <f>Inputs!$F$44/12</f>
        <v>145525.86083333334</v>
      </c>
      <c r="AK24" s="40">
        <f>Inputs!$F$44/12</f>
        <v>145525.86083333334</v>
      </c>
      <c r="AL24" s="40">
        <f>Inputs!$F$44/12</f>
        <v>145525.86083333334</v>
      </c>
      <c r="AM24" s="40">
        <f>Inputs!$F$44/12</f>
        <v>145525.86083333334</v>
      </c>
      <c r="AN24" s="40">
        <f>Inputs!$F$44/12</f>
        <v>145525.86083333334</v>
      </c>
      <c r="AO24" s="40">
        <f>Inputs!$F$45/12</f>
        <v>181003.54249999998</v>
      </c>
      <c r="AP24" s="40">
        <f>Inputs!$F$45/12</f>
        <v>181003.54249999998</v>
      </c>
      <c r="AQ24" s="40">
        <f>Inputs!$F$45/12</f>
        <v>181003.54249999998</v>
      </c>
      <c r="AR24" s="40">
        <f>Inputs!$F$45/12</f>
        <v>181003.54249999998</v>
      </c>
      <c r="AS24" s="40">
        <f>Inputs!$F$45/12</f>
        <v>181003.54249999998</v>
      </c>
      <c r="AT24" s="40">
        <f>Inputs!$F$45/12</f>
        <v>181003.54249999998</v>
      </c>
      <c r="AU24" s="40">
        <f>Inputs!$F$45/12</f>
        <v>181003.54249999998</v>
      </c>
      <c r="AV24" s="40">
        <f>Inputs!$F$45/12</f>
        <v>181003.54249999998</v>
      </c>
      <c r="AW24" s="40">
        <f>Inputs!$F$45/12</f>
        <v>181003.54249999998</v>
      </c>
      <c r="AX24" s="40">
        <f>Inputs!$F$45/12</f>
        <v>181003.54249999998</v>
      </c>
      <c r="AY24" s="40">
        <f>Inputs!$F$45/12</f>
        <v>181003.54249999998</v>
      </c>
      <c r="AZ24" s="40">
        <f>Inputs!$F$45/12</f>
        <v>181003.54249999998</v>
      </c>
      <c r="BA24" s="40">
        <f>Inputs!$F$46/12</f>
        <v>181501.97833333336</v>
      </c>
      <c r="BB24" s="40">
        <f>Inputs!$F$46/12</f>
        <v>181501.97833333336</v>
      </c>
      <c r="BC24" s="40">
        <f>Inputs!$F$46/12</f>
        <v>181501.97833333336</v>
      </c>
      <c r="BD24" s="40">
        <f>Inputs!$F$46/12</f>
        <v>181501.97833333336</v>
      </c>
      <c r="BE24" s="40">
        <f>Inputs!$F$46/12</f>
        <v>181501.97833333336</v>
      </c>
      <c r="BF24" s="40">
        <f>Inputs!$F$46/12</f>
        <v>181501.97833333336</v>
      </c>
      <c r="BG24" s="40">
        <f>Inputs!$F$46/12</f>
        <v>181501.97833333336</v>
      </c>
      <c r="BH24" s="40">
        <f>Inputs!$F$46/12</f>
        <v>181501.97833333336</v>
      </c>
      <c r="BI24" s="40">
        <f>Inputs!$F$46/12</f>
        <v>181501.97833333336</v>
      </c>
      <c r="BJ24" s="40">
        <f>Inputs!$F$46/12</f>
        <v>181501.97833333336</v>
      </c>
      <c r="BK24" s="40">
        <f>Inputs!$F$46/12</f>
        <v>181501.97833333336</v>
      </c>
      <c r="BL24" s="40">
        <f>Inputs!$F$46/12</f>
        <v>181501.97833333336</v>
      </c>
    </row>
    <row r="25" spans="2:64" x14ac:dyDescent="0.35">
      <c r="B25" s="3" t="s">
        <v>160</v>
      </c>
      <c r="C25" s="18" t="s">
        <v>160</v>
      </c>
      <c r="D25" s="25">
        <f>AVERAGE(E25:BL25)</f>
        <v>14.25</v>
      </c>
      <c r="E25" s="42">
        <f>Inputs!$F$47*12*Ramp!$E$38</f>
        <v>2.9999841153840001</v>
      </c>
      <c r="F25" s="42">
        <f>Inputs!$F$47*12*Ramp!$F$38</f>
        <v>4.0000481538480006</v>
      </c>
      <c r="G25" s="42">
        <f>Inputs!$F$47*12*Ramp!$G$38</f>
        <v>5.000008192308</v>
      </c>
      <c r="H25" s="42">
        <f>Inputs!$F$47*12*Ramp!$H$38</f>
        <v>7.0000322692320012</v>
      </c>
      <c r="I25" s="42">
        <f>Inputs!$F$47*12*Ramp!$I$38</f>
        <v>7.9999923076920005</v>
      </c>
      <c r="J25" s="42">
        <f>Inputs!$F$47*12*Ramp!$J$38</f>
        <v>7.9999923076920005</v>
      </c>
      <c r="K25" s="42">
        <f>Inputs!$F$47*12*Ramp!$K$38</f>
        <v>7.9999923076920005</v>
      </c>
      <c r="L25" s="42">
        <f>Inputs!$F$47*12*Ramp!$L$38</f>
        <v>10.000016384616</v>
      </c>
      <c r="M25" s="42">
        <f>Inputs!$F$47*12*Ramp!$M$38</f>
        <v>12.000040461540001</v>
      </c>
      <c r="N25" s="42">
        <f>Inputs!$F$47*12*Ramp!$N$38</f>
        <v>13.000000500000001</v>
      </c>
      <c r="O25" s="42">
        <f>Inputs!$F$47*12*Ramp!$O$38</f>
        <v>13.000000500000001</v>
      </c>
      <c r="P25" s="42">
        <f>Inputs!$F$47*12*Ramp!$P$38</f>
        <v>12.999896499996</v>
      </c>
      <c r="Q25" s="42">
        <f>Inputs!$F$48*12*Ramp!$E$41</f>
        <v>13.999999680000002</v>
      </c>
      <c r="R25" s="42">
        <f>Inputs!$F$48*12*Ramp!$F$41</f>
        <v>13.999999680000002</v>
      </c>
      <c r="S25" s="42">
        <f>Inputs!$F$48*12*Ramp!$G$41</f>
        <v>13.999999680000002</v>
      </c>
      <c r="T25" s="42">
        <f>Inputs!$F$48*12*Ramp!$H$41</f>
        <v>13.999999680000002</v>
      </c>
      <c r="U25" s="42">
        <f>Inputs!$F$48*12*Ramp!$I$41</f>
        <v>13.999999680000002</v>
      </c>
      <c r="V25" s="42">
        <f>Inputs!$F$48*12*Ramp!$J$41</f>
        <v>13.999999680000002</v>
      </c>
      <c r="W25" s="42">
        <f>Inputs!$F$48*12*Ramp!$K$41</f>
        <v>14.999949657144001</v>
      </c>
      <c r="X25" s="42">
        <f>Inputs!$F$48*12*Ramp!$L$41</f>
        <v>14.999949657144001</v>
      </c>
      <c r="Y25" s="42">
        <f>Inputs!$F$48*12*Ramp!$M$41</f>
        <v>14.999949657144001</v>
      </c>
      <c r="Z25" s="42">
        <f>Inputs!$F$48*12*Ramp!$N$41</f>
        <v>14.999949657144001</v>
      </c>
      <c r="AA25" s="42">
        <f>Inputs!$F$48*12*Ramp!$O$41</f>
        <v>14.999949657144001</v>
      </c>
      <c r="AB25" s="42">
        <f>Inputs!$F$48*12*Ramp!$P$41</f>
        <v>16.000249634279999</v>
      </c>
      <c r="AC25" s="42">
        <f>Inputs!$F$49</f>
        <v>16</v>
      </c>
      <c r="AD25" s="42">
        <f>Inputs!$F$49</f>
        <v>16</v>
      </c>
      <c r="AE25" s="42">
        <f>Inputs!$F$49</f>
        <v>16</v>
      </c>
      <c r="AF25" s="42">
        <f>Inputs!$F$49</f>
        <v>16</v>
      </c>
      <c r="AG25" s="42">
        <f>Inputs!$F$49</f>
        <v>16</v>
      </c>
      <c r="AH25" s="42">
        <f>Inputs!$F$49</f>
        <v>16</v>
      </c>
      <c r="AI25" s="42">
        <f>Inputs!$F$49</f>
        <v>16</v>
      </c>
      <c r="AJ25" s="42">
        <f>Inputs!$F$49</f>
        <v>16</v>
      </c>
      <c r="AK25" s="42">
        <f>Inputs!$F$49</f>
        <v>16</v>
      </c>
      <c r="AL25" s="42">
        <f>Inputs!$F$49</f>
        <v>16</v>
      </c>
      <c r="AM25" s="42">
        <f>Inputs!$F$49</f>
        <v>16</v>
      </c>
      <c r="AN25" s="42">
        <f>Inputs!$F$49</f>
        <v>16</v>
      </c>
      <c r="AO25" s="42">
        <f>Inputs!$F$50</f>
        <v>16</v>
      </c>
      <c r="AP25" s="42">
        <f>Inputs!$F$50</f>
        <v>16</v>
      </c>
      <c r="AQ25" s="42">
        <f>Inputs!$F$50</f>
        <v>16</v>
      </c>
      <c r="AR25" s="42">
        <f>Inputs!$F$50</f>
        <v>16</v>
      </c>
      <c r="AS25" s="42">
        <f>Inputs!$F$50</f>
        <v>16</v>
      </c>
      <c r="AT25" s="42">
        <f>Inputs!$F$50</f>
        <v>16</v>
      </c>
      <c r="AU25" s="42">
        <f>Inputs!$F$50</f>
        <v>16</v>
      </c>
      <c r="AV25" s="42">
        <f>Inputs!$F$50</f>
        <v>16</v>
      </c>
      <c r="AW25" s="42">
        <f>Inputs!$F$50</f>
        <v>16</v>
      </c>
      <c r="AX25" s="42">
        <f>Inputs!$F$50</f>
        <v>16</v>
      </c>
      <c r="AY25" s="42">
        <f>Inputs!$F$50</f>
        <v>16</v>
      </c>
      <c r="AZ25" s="42">
        <f>Inputs!$F$50</f>
        <v>16</v>
      </c>
      <c r="BA25" s="42">
        <f>Inputs!$F$51</f>
        <v>16</v>
      </c>
      <c r="BB25" s="42">
        <f>Inputs!$F$51</f>
        <v>16</v>
      </c>
      <c r="BC25" s="42">
        <f>Inputs!$F$51</f>
        <v>16</v>
      </c>
      <c r="BD25" s="42">
        <f>Inputs!$F$51</f>
        <v>16</v>
      </c>
      <c r="BE25" s="42">
        <f>Inputs!$F$51</f>
        <v>16</v>
      </c>
      <c r="BF25" s="42">
        <f>Inputs!$F$51</f>
        <v>16</v>
      </c>
      <c r="BG25" s="42">
        <f>Inputs!$F$51</f>
        <v>16</v>
      </c>
      <c r="BH25" s="42">
        <f>Inputs!$F$51</f>
        <v>16</v>
      </c>
      <c r="BI25" s="42">
        <f>Inputs!$F$51</f>
        <v>16</v>
      </c>
      <c r="BJ25" s="42">
        <f>Inputs!$F$51</f>
        <v>16</v>
      </c>
      <c r="BK25" s="42">
        <f>Inputs!$F$51</f>
        <v>16</v>
      </c>
      <c r="BL25" s="42">
        <f>Inputs!$F$51</f>
        <v>16</v>
      </c>
    </row>
    <row r="26" spans="2:64" x14ac:dyDescent="0.35">
      <c r="B26" s="3" t="s">
        <v>287</v>
      </c>
      <c r="C26" s="18" t="s">
        <v>111</v>
      </c>
      <c r="D26" s="20">
        <f>SUM(E26:BL26)</f>
        <v>7618299.7443952924</v>
      </c>
      <c r="E26" s="40">
        <f>E25*Inputs!$F$52*(1+Inputs!$F$53)^(E$6-2027)/12</f>
        <v>23662.822207721842</v>
      </c>
      <c r="F26" s="40">
        <f>F25*Inputs!$F$52*(1+Inputs!$F$53)^(F$6-2027)/12</f>
        <v>31550.976487325719</v>
      </c>
      <c r="G26" s="40">
        <f>G25*Inputs!$F$52*(1+Inputs!$F$53)^(G$6-2027)/12</f>
        <v>39438.310451384699</v>
      </c>
      <c r="H26" s="40">
        <f>H25*Inputs!$F$52*(1+Inputs!$F$53)^(H$6-2027)/12</f>
        <v>55213.798695047568</v>
      </c>
      <c r="I26" s="40">
        <f>I25*Inputs!$F$52*(1+Inputs!$F$53)^(I$6-2027)/12</f>
        <v>63101.132659106544</v>
      </c>
      <c r="J26" s="40">
        <f>J25*Inputs!$F$52*(1+Inputs!$F$53)^(J$6-2027)/12</f>
        <v>63101.132659106544</v>
      </c>
      <c r="K26" s="40">
        <f>K25*Inputs!$F$52*(1+Inputs!$F$53)^(K$6-2027)/12</f>
        <v>63101.132659106544</v>
      </c>
      <c r="L26" s="40">
        <f>L25*Inputs!$F$52*(1+Inputs!$F$53)^(L$6-2027)/12</f>
        <v>78876.620902769399</v>
      </c>
      <c r="M26" s="40">
        <f>M25*Inputs!$F$52*(1+Inputs!$F$53)^(M$6-2027)/12</f>
        <v>94652.109146432267</v>
      </c>
      <c r="N26" s="40">
        <f>N25*Inputs!$F$52*(1+Inputs!$F$53)^(N$6-2027)/12</f>
        <v>102539.44311049125</v>
      </c>
      <c r="O26" s="40">
        <f>O25*Inputs!$F$52*(1+Inputs!$F$53)^(O$6-2027)/12</f>
        <v>102539.44311049125</v>
      </c>
      <c r="P26" s="40">
        <f>P25*Inputs!$F$52*(1+Inputs!$F$53)^(P$6-2027)/12</f>
        <v>102538.62279494636</v>
      </c>
      <c r="Q26" s="40">
        <f>Q25*Inputs!$F$52*(1+Inputs!$F$53)^(Q$6-2027)/12</f>
        <v>116511.87553248719</v>
      </c>
      <c r="R26" s="40">
        <f>R25*Inputs!$F$52*(1+Inputs!$F$53)^(R$6-2027)/12</f>
        <v>116511.87553248719</v>
      </c>
      <c r="S26" s="40">
        <f>S25*Inputs!$F$52*(1+Inputs!$F$53)^(S$6-2027)/12</f>
        <v>116511.87553248719</v>
      </c>
      <c r="T26" s="40">
        <f>T25*Inputs!$F$52*(1+Inputs!$F$53)^(T$6-2027)/12</f>
        <v>116511.87553248719</v>
      </c>
      <c r="U26" s="40">
        <f>U25*Inputs!$F$52*(1+Inputs!$F$53)^(U$6-2027)/12</f>
        <v>116511.87553248719</v>
      </c>
      <c r="V26" s="40">
        <f>V25*Inputs!$F$52*(1+Inputs!$F$53)^(V$6-2027)/12</f>
        <v>116511.87553248719</v>
      </c>
      <c r="W26" s="40">
        <f>W25*Inputs!$F$52*(1+Inputs!$F$53)^(W$6-2027)/12</f>
        <v>124833.73624239507</v>
      </c>
      <c r="X26" s="40">
        <f>X25*Inputs!$F$52*(1+Inputs!$F$53)^(X$6-2027)/12</f>
        <v>124833.73624239507</v>
      </c>
      <c r="Y26" s="40">
        <f>Y25*Inputs!$F$52*(1+Inputs!$F$53)^(Y$6-2027)/12</f>
        <v>124833.73624239507</v>
      </c>
      <c r="Z26" s="40">
        <f>Z25*Inputs!$F$52*(1+Inputs!$F$53)^(Z$6-2027)/12</f>
        <v>124833.73624239507</v>
      </c>
      <c r="AA26" s="40">
        <f>AA25*Inputs!$F$52*(1+Inputs!$F$53)^(AA$6-2027)/12</f>
        <v>124833.73624239507</v>
      </c>
      <c r="AB26" s="40">
        <f>AB25*Inputs!$F$52*(1+Inputs!$F$53)^(AB$6-2027)/12</f>
        <v>133158.50974919126</v>
      </c>
      <c r="AC26" s="40">
        <f>AC25*Inputs!$F$52*(1+Inputs!$F$53)^(AC$6-2027)/12</f>
        <v>140493.66189356623</v>
      </c>
      <c r="AD26" s="40">
        <f>AD25*Inputs!$F$52*(1+Inputs!$F$53)^(AD$6-2027)/12</f>
        <v>140493.66189356623</v>
      </c>
      <c r="AE26" s="40">
        <f>AE25*Inputs!$F$52*(1+Inputs!$F$53)^(AE$6-2027)/12</f>
        <v>140493.66189356623</v>
      </c>
      <c r="AF26" s="40">
        <f>AF25*Inputs!$F$52*(1+Inputs!$F$53)^(AF$6-2027)/12</f>
        <v>140493.66189356623</v>
      </c>
      <c r="AG26" s="40">
        <f>AG25*Inputs!$F$52*(1+Inputs!$F$53)^(AG$6-2027)/12</f>
        <v>140493.66189356623</v>
      </c>
      <c r="AH26" s="40">
        <f>AH25*Inputs!$F$52*(1+Inputs!$F$53)^(AH$6-2027)/12</f>
        <v>140493.66189356623</v>
      </c>
      <c r="AI26" s="40">
        <f>AI25*Inputs!$F$52*(1+Inputs!$F$53)^(AI$6-2027)/12</f>
        <v>140493.66189356623</v>
      </c>
      <c r="AJ26" s="40">
        <f>AJ25*Inputs!$F$52*(1+Inputs!$F$53)^(AJ$6-2027)/12</f>
        <v>140493.66189356623</v>
      </c>
      <c r="AK26" s="40">
        <f>AK25*Inputs!$F$52*(1+Inputs!$F$53)^(AK$6-2027)/12</f>
        <v>140493.66189356623</v>
      </c>
      <c r="AL26" s="40">
        <f>AL25*Inputs!$F$52*(1+Inputs!$F$53)^(AL$6-2027)/12</f>
        <v>140493.66189356623</v>
      </c>
      <c r="AM26" s="40">
        <f>AM25*Inputs!$F$52*(1+Inputs!$F$53)^(AM$6-2027)/12</f>
        <v>140493.66189356623</v>
      </c>
      <c r="AN26" s="40">
        <f>AN25*Inputs!$F$52*(1+Inputs!$F$53)^(AN$6-2027)/12</f>
        <v>140493.66189356623</v>
      </c>
      <c r="AO26" s="40">
        <f>AO25*Inputs!$F$52*(1+Inputs!$F$53)^(AO$6-2027)/12</f>
        <v>148235.19001413393</v>
      </c>
      <c r="AP26" s="40">
        <f>AP25*Inputs!$F$52*(1+Inputs!$F$53)^(AP$6-2027)/12</f>
        <v>148235.19001413393</v>
      </c>
      <c r="AQ26" s="40">
        <f>AQ25*Inputs!$F$52*(1+Inputs!$F$53)^(AQ$6-2027)/12</f>
        <v>148235.19001413393</v>
      </c>
      <c r="AR26" s="40">
        <f>AR25*Inputs!$F$52*(1+Inputs!$F$53)^(AR$6-2027)/12</f>
        <v>148235.19001413393</v>
      </c>
      <c r="AS26" s="40">
        <f>AS25*Inputs!$F$52*(1+Inputs!$F$53)^(AS$6-2027)/12</f>
        <v>148235.19001413393</v>
      </c>
      <c r="AT26" s="40">
        <f>AT25*Inputs!$F$52*(1+Inputs!$F$53)^(AT$6-2027)/12</f>
        <v>148235.19001413393</v>
      </c>
      <c r="AU26" s="40">
        <f>AU25*Inputs!$F$52*(1+Inputs!$F$53)^(AU$6-2027)/12</f>
        <v>148235.19001413393</v>
      </c>
      <c r="AV26" s="40">
        <f>AV25*Inputs!$F$52*(1+Inputs!$F$53)^(AV$6-2027)/12</f>
        <v>148235.19001413393</v>
      </c>
      <c r="AW26" s="40">
        <f>AW25*Inputs!$F$52*(1+Inputs!$F$53)^(AW$6-2027)/12</f>
        <v>148235.19001413393</v>
      </c>
      <c r="AX26" s="40">
        <f>AX25*Inputs!$F$52*(1+Inputs!$F$53)^(AX$6-2027)/12</f>
        <v>148235.19001413393</v>
      </c>
      <c r="AY26" s="40">
        <f>AY25*Inputs!$F$52*(1+Inputs!$F$53)^(AY$6-2027)/12</f>
        <v>148235.19001413393</v>
      </c>
      <c r="AZ26" s="40">
        <f>AZ25*Inputs!$F$52*(1+Inputs!$F$53)^(AZ$6-2027)/12</f>
        <v>148235.19001413393</v>
      </c>
      <c r="BA26" s="40">
        <f>BA25*Inputs!$F$52*(1+Inputs!$F$53)^(BA$6-2027)/12</f>
        <v>156403.29437190545</v>
      </c>
      <c r="BB26" s="40">
        <f>BB25*Inputs!$F$52*(1+Inputs!$F$53)^(BB$6-2027)/12</f>
        <v>156403.29437190545</v>
      </c>
      <c r="BC26" s="40">
        <f>BC25*Inputs!$F$52*(1+Inputs!$F$53)^(BC$6-2027)/12</f>
        <v>156403.29437190545</v>
      </c>
      <c r="BD26" s="40">
        <f>BD25*Inputs!$F$52*(1+Inputs!$F$53)^(BD$6-2027)/12</f>
        <v>156403.29437190545</v>
      </c>
      <c r="BE26" s="40">
        <f>BE25*Inputs!$F$52*(1+Inputs!$F$53)^(BE$6-2027)/12</f>
        <v>156403.29437190545</v>
      </c>
      <c r="BF26" s="40">
        <f>BF25*Inputs!$F$52*(1+Inputs!$F$53)^(BF$6-2027)/12</f>
        <v>156403.29437190545</v>
      </c>
      <c r="BG26" s="40">
        <f>BG25*Inputs!$F$52*(1+Inputs!$F$53)^(BG$6-2027)/12</f>
        <v>156403.29437190545</v>
      </c>
      <c r="BH26" s="40">
        <f>BH25*Inputs!$F$52*(1+Inputs!$F$53)^(BH$6-2027)/12</f>
        <v>156403.29437190545</v>
      </c>
      <c r="BI26" s="40">
        <f>BI25*Inputs!$F$52*(1+Inputs!$F$53)^(BI$6-2027)/12</f>
        <v>156403.29437190545</v>
      </c>
      <c r="BJ26" s="40">
        <f>BJ25*Inputs!$F$52*(1+Inputs!$F$53)^(BJ$6-2027)/12</f>
        <v>156403.29437190545</v>
      </c>
      <c r="BK26" s="40">
        <f>BK25*Inputs!$F$52*(1+Inputs!$F$53)^(BK$6-2027)/12</f>
        <v>156403.29437190545</v>
      </c>
      <c r="BL26" s="40">
        <f>BL25*Inputs!$F$52*(1+Inputs!$F$53)^(BL$6-2027)/12</f>
        <v>156403.29437190545</v>
      </c>
    </row>
    <row r="27" spans="2:64" x14ac:dyDescent="0.35">
      <c r="B27" s="3" t="s">
        <v>288</v>
      </c>
      <c r="C27" s="18" t="s">
        <v>111</v>
      </c>
      <c r="D27" s="20">
        <f>SUM(E27:BL27)</f>
        <v>3486186.9600000037</v>
      </c>
      <c r="E27" s="40">
        <f>Inputs!$F$54*Ramp!$E$50+Inputs!$F$59*E13</f>
        <v>29677.643700799999</v>
      </c>
      <c r="F27" s="40">
        <f>Inputs!$F$54*Ramp!$F$50+Inputs!$F$59*F13</f>
        <v>29393.474062300003</v>
      </c>
      <c r="G27" s="40">
        <f>Inputs!$F$54*Ramp!$G$50+Inputs!$F$59*G13</f>
        <v>29119.637865200002</v>
      </c>
      <c r="H27" s="40">
        <f>Inputs!$F$54*Ramp!$H$50+Inputs!$F$59*H13</f>
        <v>50865.331947359999</v>
      </c>
      <c r="I27" s="40">
        <f>Inputs!$F$54*Ramp!$I$50+Inputs!$F$59*I13</f>
        <v>42668.84622888</v>
      </c>
      <c r="J27" s="40">
        <f>Inputs!$F$54*Ramp!$J$50+Inputs!$F$59*J13</f>
        <v>33659.63534429</v>
      </c>
      <c r="K27" s="40">
        <f>Inputs!$F$54*Ramp!$K$50+Inputs!$F$59*K13</f>
        <v>33659.63534429</v>
      </c>
      <c r="L27" s="40">
        <f>Inputs!$F$54*Ramp!$L$50+Inputs!$F$59*L13</f>
        <v>88294.606714369991</v>
      </c>
      <c r="M27" s="40">
        <f>Inputs!$F$54*Ramp!$M$50+Inputs!$F$59*M13</f>
        <v>56232.521410519999</v>
      </c>
      <c r="N27" s="40">
        <f>Inputs!$F$54*Ramp!$N$50+Inputs!$F$59*N13</f>
        <v>42928.73228009</v>
      </c>
      <c r="O27" s="40">
        <f>Inputs!$F$54*Ramp!$O$50+Inputs!$F$59*O13</f>
        <v>37723.261174839994</v>
      </c>
      <c r="P27" s="40">
        <f>Inputs!$F$54*Ramp!$P$50+Inputs!$F$59*P13</f>
        <v>42448.743927060001</v>
      </c>
      <c r="Q27" s="40">
        <f>Inputs!$F$55*Ramp!$E$53+Inputs!$F$59*Q13</f>
        <v>29288.755924939996</v>
      </c>
      <c r="R27" s="40">
        <f>Inputs!$F$55*Ramp!$F$53+Inputs!$F$59*R13</f>
        <v>21100.056880699998</v>
      </c>
      <c r="S27" s="40">
        <f>Inputs!$F$55*Ramp!$G$53+Inputs!$F$59*S13</f>
        <v>21100.056880699998</v>
      </c>
      <c r="T27" s="40">
        <f>Inputs!$F$55*Ramp!$H$53+Inputs!$F$59*T13</f>
        <v>21100.056880699998</v>
      </c>
      <c r="U27" s="40">
        <f>Inputs!$F$55*Ramp!$I$53+Inputs!$F$59*U13</f>
        <v>21100.056880699998</v>
      </c>
      <c r="V27" s="40">
        <f>Inputs!$F$55*Ramp!$J$53+Inputs!$F$59*V13</f>
        <v>21100.056880699998</v>
      </c>
      <c r="W27" s="40">
        <f>Inputs!$F$55*Ramp!$K$53+Inputs!$F$59*W13</f>
        <v>262056.66196404997</v>
      </c>
      <c r="X27" s="40">
        <f>Inputs!$F$55*Ramp!$L$53+Inputs!$F$59*X13</f>
        <v>76119.270408519995</v>
      </c>
      <c r="Y27" s="40">
        <f>Inputs!$F$55*Ramp!$M$53+Inputs!$F$59*Y13</f>
        <v>76119.270408519995</v>
      </c>
      <c r="Z27" s="40">
        <f>Inputs!$F$55*Ramp!$N$53+Inputs!$F$59*Z13</f>
        <v>76119.270408519995</v>
      </c>
      <c r="AA27" s="40">
        <f>Inputs!$F$55*Ramp!$O$53+Inputs!$F$59*AA13</f>
        <v>76119.270408519995</v>
      </c>
      <c r="AB27" s="40">
        <f>Inputs!$F$55*Ramp!$P$53+Inputs!$F$59*AB13</f>
        <v>94005.406073429986</v>
      </c>
      <c r="AC27" s="40">
        <f>Inputs!$F$56/12+Inputs!$F$59*AC13</f>
        <v>60394.075000000004</v>
      </c>
      <c r="AD27" s="40">
        <f>Inputs!$F$56/12+Inputs!$F$59*AD13</f>
        <v>60394.075000000004</v>
      </c>
      <c r="AE27" s="40">
        <f>Inputs!$F$56/12+Inputs!$F$59*AE13</f>
        <v>60394.075000000004</v>
      </c>
      <c r="AF27" s="40">
        <f>Inputs!$F$56/12+Inputs!$F$59*AF13</f>
        <v>60394.075000000004</v>
      </c>
      <c r="AG27" s="40">
        <f>Inputs!$F$56/12+Inputs!$F$59*AG13</f>
        <v>60394.075000000004</v>
      </c>
      <c r="AH27" s="40">
        <f>Inputs!$F$56/12+Inputs!$F$59*AH13</f>
        <v>60394.075000000004</v>
      </c>
      <c r="AI27" s="40">
        <f>Inputs!$F$56/12+Inputs!$F$59*AI13</f>
        <v>60394.075000000004</v>
      </c>
      <c r="AJ27" s="40">
        <f>Inputs!$F$56/12+Inputs!$F$59*AJ13</f>
        <v>60394.075000000004</v>
      </c>
      <c r="AK27" s="40">
        <f>Inputs!$F$56/12+Inputs!$F$59*AK13</f>
        <v>60394.075000000004</v>
      </c>
      <c r="AL27" s="40">
        <f>Inputs!$F$56/12+Inputs!$F$59*AL13</f>
        <v>60394.075000000004</v>
      </c>
      <c r="AM27" s="40">
        <f>Inputs!$F$56/12+Inputs!$F$59*AM13</f>
        <v>60394.075000000004</v>
      </c>
      <c r="AN27" s="40">
        <f>Inputs!$F$56/12+Inputs!$F$59*AN13</f>
        <v>60394.075000000004</v>
      </c>
      <c r="AO27" s="40">
        <f>Inputs!$F$57/12+Inputs!$F$59*AO13</f>
        <v>60394.075000000004</v>
      </c>
      <c r="AP27" s="40">
        <f>Inputs!$F$57/12+Inputs!$F$59*AP13</f>
        <v>60394.075000000004</v>
      </c>
      <c r="AQ27" s="40">
        <f>Inputs!$F$57/12+Inputs!$F$59*AQ13</f>
        <v>60394.075000000004</v>
      </c>
      <c r="AR27" s="40">
        <f>Inputs!$F$57/12+Inputs!$F$59*AR13</f>
        <v>60394.075000000004</v>
      </c>
      <c r="AS27" s="40">
        <f>Inputs!$F$57/12+Inputs!$F$59*AS13</f>
        <v>60394.075000000004</v>
      </c>
      <c r="AT27" s="40">
        <f>Inputs!$F$57/12+Inputs!$F$59*AT13</f>
        <v>60394.075000000004</v>
      </c>
      <c r="AU27" s="40">
        <f>Inputs!$F$57/12+Inputs!$F$59*AU13</f>
        <v>60394.075000000004</v>
      </c>
      <c r="AV27" s="40">
        <f>Inputs!$F$57/12+Inputs!$F$59*AV13</f>
        <v>60394.075000000004</v>
      </c>
      <c r="AW27" s="40">
        <f>Inputs!$F$57/12+Inputs!$F$59*AW13</f>
        <v>60394.075000000004</v>
      </c>
      <c r="AX27" s="40">
        <f>Inputs!$F$57/12+Inputs!$F$59*AX13</f>
        <v>60394.075000000004</v>
      </c>
      <c r="AY27" s="40">
        <f>Inputs!$F$57/12+Inputs!$F$59*AY13</f>
        <v>60394.075000000004</v>
      </c>
      <c r="AZ27" s="40">
        <f>Inputs!$F$57/12+Inputs!$F$59*AZ13</f>
        <v>60394.075000000004</v>
      </c>
      <c r="BA27" s="40">
        <f>Inputs!$F$58/12+Inputs!$F$59*BA13</f>
        <v>60394.075000000004</v>
      </c>
      <c r="BB27" s="40">
        <f>Inputs!$F$58/12+Inputs!$F$59*BB13</f>
        <v>60394.075000000004</v>
      </c>
      <c r="BC27" s="40">
        <f>Inputs!$F$58/12+Inputs!$F$59*BC13</f>
        <v>60394.075000000004</v>
      </c>
      <c r="BD27" s="40">
        <f>Inputs!$F$58/12+Inputs!$F$59*BD13</f>
        <v>60394.075000000004</v>
      </c>
      <c r="BE27" s="40">
        <f>Inputs!$F$58/12+Inputs!$F$59*BE13</f>
        <v>60394.075000000004</v>
      </c>
      <c r="BF27" s="40">
        <f>Inputs!$F$58/12+Inputs!$F$59*BF13</f>
        <v>60394.075000000004</v>
      </c>
      <c r="BG27" s="40">
        <f>Inputs!$F$58/12+Inputs!$F$59*BG13</f>
        <v>60394.075000000004</v>
      </c>
      <c r="BH27" s="40">
        <f>Inputs!$F$58/12+Inputs!$F$59*BH13</f>
        <v>60394.075000000004</v>
      </c>
      <c r="BI27" s="40">
        <f>Inputs!$F$58/12+Inputs!$F$59*BI13</f>
        <v>60394.075000000004</v>
      </c>
      <c r="BJ27" s="40">
        <f>Inputs!$F$58/12+Inputs!$F$59*BJ13</f>
        <v>60394.075000000004</v>
      </c>
      <c r="BK27" s="40">
        <f>Inputs!$F$58/12+Inputs!$F$59*BK13</f>
        <v>60394.075000000004</v>
      </c>
      <c r="BL27" s="40">
        <f>Inputs!$F$58/12+Inputs!$F$59*BL13</f>
        <v>60394.075000000004</v>
      </c>
    </row>
    <row r="28" spans="2:64" x14ac:dyDescent="0.35">
      <c r="B28" s="4" t="s">
        <v>289</v>
      </c>
      <c r="C28" s="18" t="s">
        <v>111</v>
      </c>
      <c r="D28" s="56">
        <f>SUM(E28:BL28)</f>
        <v>-16738263.238932656</v>
      </c>
      <c r="E28" s="56">
        <f t="shared" ref="E28:AJ28" si="16">E22-E24-E26-E27</f>
        <v>-53340.465908521845</v>
      </c>
      <c r="F28" s="56">
        <f t="shared" si="16"/>
        <v>-60944.450549625719</v>
      </c>
      <c r="G28" s="56">
        <f t="shared" si="16"/>
        <v>-68557.948316584705</v>
      </c>
      <c r="H28" s="56">
        <f t="shared" si="16"/>
        <v>-106079.13064240757</v>
      </c>
      <c r="I28" s="56">
        <f t="shared" si="16"/>
        <v>-105769.97888798654</v>
      </c>
      <c r="J28" s="56">
        <f t="shared" si="16"/>
        <v>-96760.768003396544</v>
      </c>
      <c r="K28" s="56">
        <f t="shared" si="16"/>
        <v>-96760.768003396544</v>
      </c>
      <c r="L28" s="56">
        <f t="shared" si="16"/>
        <v>-172171.21888513939</v>
      </c>
      <c r="M28" s="56">
        <f t="shared" si="16"/>
        <v>-155884.62182495225</v>
      </c>
      <c r="N28" s="56">
        <f t="shared" si="16"/>
        <v>-208486.941980011</v>
      </c>
      <c r="O28" s="56">
        <f t="shared" si="16"/>
        <v>-205782.71957849042</v>
      </c>
      <c r="P28" s="56">
        <f t="shared" si="16"/>
        <v>-212936.89509276737</v>
      </c>
      <c r="Q28" s="56">
        <f t="shared" si="16"/>
        <v>-240509.28767843236</v>
      </c>
      <c r="R28" s="56">
        <f t="shared" si="16"/>
        <v>-232235.45128943332</v>
      </c>
      <c r="S28" s="56">
        <f t="shared" si="16"/>
        <v>-232148.39111899261</v>
      </c>
      <c r="T28" s="56">
        <f t="shared" si="16"/>
        <v>-232060.47113743983</v>
      </c>
      <c r="U28" s="56">
        <f t="shared" si="16"/>
        <v>-231975.02737889008</v>
      </c>
      <c r="V28" s="56">
        <f t="shared" si="16"/>
        <v>-231889.65114034561</v>
      </c>
      <c r="W28" s="56">
        <f t="shared" si="16"/>
        <v>-481274.89901106263</v>
      </c>
      <c r="X28" s="56">
        <f t="shared" si="16"/>
        <v>-295436.19812505634</v>
      </c>
      <c r="Y28" s="56">
        <f t="shared" si="16"/>
        <v>-295524.63627085567</v>
      </c>
      <c r="Z28" s="56">
        <f t="shared" si="16"/>
        <v>-295621.85384777794</v>
      </c>
      <c r="AA28" s="56">
        <f t="shared" si="16"/>
        <v>-295711.80162913387</v>
      </c>
      <c r="AB28" s="56">
        <f t="shared" si="16"/>
        <v>-322009.20204682933</v>
      </c>
      <c r="AC28" s="56">
        <f t="shared" si="16"/>
        <v>-339421.52672442608</v>
      </c>
      <c r="AD28" s="56">
        <f t="shared" si="16"/>
        <v>-337979.84804222576</v>
      </c>
      <c r="AE28" s="56">
        <f t="shared" si="16"/>
        <v>-336475.5823265799</v>
      </c>
      <c r="AF28" s="56">
        <f t="shared" si="16"/>
        <v>-334902.18681523221</v>
      </c>
      <c r="AG28" s="56">
        <f t="shared" si="16"/>
        <v>-333252.11906586442</v>
      </c>
      <c r="AH28" s="56">
        <f t="shared" si="16"/>
        <v>-331517.27149033133</v>
      </c>
      <c r="AI28" s="56">
        <f t="shared" si="16"/>
        <v>-329688.35686201853</v>
      </c>
      <c r="AJ28" s="56">
        <f t="shared" si="16"/>
        <v>-327755.32154130022</v>
      </c>
      <c r="AK28" s="56">
        <f t="shared" ref="AK28:BP28" si="17">AK22-AK24-AK26-AK27</f>
        <v>-325706.70709152153</v>
      </c>
      <c r="AL28" s="56">
        <f t="shared" si="17"/>
        <v>-323530.03671187977</v>
      </c>
      <c r="AM28" s="56">
        <f t="shared" si="17"/>
        <v>-321211.14680120512</v>
      </c>
      <c r="AN28" s="56">
        <f t="shared" si="17"/>
        <v>-318734.66954833205</v>
      </c>
      <c r="AO28" s="56">
        <f t="shared" si="17"/>
        <v>-356703.88025036902</v>
      </c>
      <c r="AP28" s="56">
        <f t="shared" si="17"/>
        <v>-354780.08826318238</v>
      </c>
      <c r="AQ28" s="56">
        <f t="shared" si="17"/>
        <v>-352707.0190468622</v>
      </c>
      <c r="AR28" s="56">
        <f t="shared" si="17"/>
        <v>-350471.01648989553</v>
      </c>
      <c r="AS28" s="56">
        <f t="shared" si="17"/>
        <v>-348057.08363113814</v>
      </c>
      <c r="AT28" s="56">
        <f t="shared" si="17"/>
        <v>-345448.74743597972</v>
      </c>
      <c r="AU28" s="56">
        <f t="shared" si="17"/>
        <v>-342627.90980076412</v>
      </c>
      <c r="AV28" s="56">
        <f t="shared" si="17"/>
        <v>-339574.68337780022</v>
      </c>
      <c r="AW28" s="56">
        <f t="shared" si="17"/>
        <v>-336267.2106692199</v>
      </c>
      <c r="AX28" s="56">
        <f t="shared" si="17"/>
        <v>-332681.46467910614</v>
      </c>
      <c r="AY28" s="56">
        <f t="shared" si="17"/>
        <v>-328791.02923821326</v>
      </c>
      <c r="AZ28" s="56">
        <f t="shared" si="17"/>
        <v>-324566.85692257149</v>
      </c>
      <c r="BA28" s="56">
        <f t="shared" si="17"/>
        <v>-328294.33902748092</v>
      </c>
      <c r="BB28" s="56">
        <f t="shared" si="17"/>
        <v>-325592.53111517831</v>
      </c>
      <c r="BC28" s="56">
        <f t="shared" si="17"/>
        <v>-322784.30627430428</v>
      </c>
      <c r="BD28" s="56">
        <f t="shared" si="17"/>
        <v>-319865.38854224677</v>
      </c>
      <c r="BE28" s="56">
        <f t="shared" si="17"/>
        <v>-316831.32680582488</v>
      </c>
      <c r="BF28" s="56">
        <f t="shared" si="17"/>
        <v>-313677.48749493464</v>
      </c>
      <c r="BG28" s="56">
        <f t="shared" si="17"/>
        <v>-310399.0469661997</v>
      </c>
      <c r="BH28" s="56">
        <f t="shared" si="17"/>
        <v>-306990.98356326995</v>
      </c>
      <c r="BI28" s="56">
        <f t="shared" si="17"/>
        <v>-303448.06933982618</v>
      </c>
      <c r="BJ28" s="56">
        <f t="shared" si="17"/>
        <v>-299764.86143073841</v>
      </c>
      <c r="BK28" s="56">
        <f t="shared" si="17"/>
        <v>-295935.69305619068</v>
      </c>
      <c r="BL28" s="56">
        <f t="shared" si="17"/>
        <v>-291954.66414291901</v>
      </c>
    </row>
    <row r="29" spans="2:64" x14ac:dyDescent="0.35">
      <c r="B29" s="16" t="s">
        <v>423</v>
      </c>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row>
    <row r="30" spans="2:64" x14ac:dyDescent="0.35">
      <c r="B30" s="3" t="s">
        <v>317</v>
      </c>
      <c r="C30" s="18" t="s">
        <v>111</v>
      </c>
      <c r="D30" s="20">
        <f>SUM(E30:BL30)</f>
        <v>72500.000000000015</v>
      </c>
      <c r="E30" s="40">
        <f>Inputs!$F$61/12</f>
        <v>2708.3333333333335</v>
      </c>
      <c r="F30" s="40">
        <f>Inputs!$F$61/12</f>
        <v>2708.3333333333335</v>
      </c>
      <c r="G30" s="40">
        <f>Inputs!$F$61/12</f>
        <v>2708.3333333333335</v>
      </c>
      <c r="H30" s="40">
        <f>Inputs!$F$61/12</f>
        <v>2708.3333333333335</v>
      </c>
      <c r="I30" s="40">
        <f>Inputs!$F$61/12</f>
        <v>2708.3333333333335</v>
      </c>
      <c r="J30" s="40">
        <f>Inputs!$F$61/12</f>
        <v>2708.3333333333335</v>
      </c>
      <c r="K30" s="40">
        <f>Inputs!$F$61/12</f>
        <v>2708.3333333333335</v>
      </c>
      <c r="L30" s="40">
        <f>Inputs!$F$61/12</f>
        <v>2708.3333333333335</v>
      </c>
      <c r="M30" s="40">
        <f>Inputs!$F$61/12</f>
        <v>2708.3333333333335</v>
      </c>
      <c r="N30" s="40">
        <f>Inputs!$F$61/12</f>
        <v>2708.3333333333335</v>
      </c>
      <c r="O30" s="40">
        <f>Inputs!$F$61/12</f>
        <v>2708.3333333333335</v>
      </c>
      <c r="P30" s="40">
        <f>Inputs!$F$61/12</f>
        <v>2708.3333333333335</v>
      </c>
      <c r="Q30" s="40">
        <f>Inputs!$F$62/12</f>
        <v>625</v>
      </c>
      <c r="R30" s="40">
        <f>Inputs!$F$62/12</f>
        <v>625</v>
      </c>
      <c r="S30" s="40">
        <f>Inputs!$F$62/12</f>
        <v>625</v>
      </c>
      <c r="T30" s="40">
        <f>Inputs!$F$62/12</f>
        <v>625</v>
      </c>
      <c r="U30" s="40">
        <f>Inputs!$F$62/12</f>
        <v>625</v>
      </c>
      <c r="V30" s="40">
        <f>Inputs!$F$62/12</f>
        <v>625</v>
      </c>
      <c r="W30" s="40">
        <f>Inputs!$F$62/12</f>
        <v>625</v>
      </c>
      <c r="X30" s="40">
        <f>Inputs!$F$62/12</f>
        <v>625</v>
      </c>
      <c r="Y30" s="40">
        <f>Inputs!$F$62/12</f>
        <v>625</v>
      </c>
      <c r="Z30" s="40">
        <f>Inputs!$F$62/12</f>
        <v>625</v>
      </c>
      <c r="AA30" s="40">
        <f>Inputs!$F$62/12</f>
        <v>625</v>
      </c>
      <c r="AB30" s="40">
        <f>Inputs!$F$62/12</f>
        <v>625</v>
      </c>
      <c r="AC30" s="40">
        <f>Inputs!$F$63/12</f>
        <v>0</v>
      </c>
      <c r="AD30" s="40">
        <f>Inputs!$F$63/12</f>
        <v>0</v>
      </c>
      <c r="AE30" s="40">
        <f>Inputs!$F$63/12</f>
        <v>0</v>
      </c>
      <c r="AF30" s="40">
        <f>Inputs!$F$63/12</f>
        <v>0</v>
      </c>
      <c r="AG30" s="40">
        <f>Inputs!$F$63/12</f>
        <v>0</v>
      </c>
      <c r="AH30" s="40">
        <f>Inputs!$F$63/12</f>
        <v>0</v>
      </c>
      <c r="AI30" s="40">
        <f>Inputs!$F$63/12</f>
        <v>0</v>
      </c>
      <c r="AJ30" s="40">
        <f>Inputs!$F$63/12</f>
        <v>0</v>
      </c>
      <c r="AK30" s="40">
        <f>Inputs!$F$63/12</f>
        <v>0</v>
      </c>
      <c r="AL30" s="40">
        <f>Inputs!$F$63/12</f>
        <v>0</v>
      </c>
      <c r="AM30" s="40">
        <f>Inputs!$F$63/12</f>
        <v>0</v>
      </c>
      <c r="AN30" s="40">
        <f>Inputs!$F$63/12</f>
        <v>0</v>
      </c>
      <c r="AO30" s="40">
        <f>Inputs!$F$64/12</f>
        <v>0</v>
      </c>
      <c r="AP30" s="40">
        <f>Inputs!$F$64/12</f>
        <v>0</v>
      </c>
      <c r="AQ30" s="40">
        <f>Inputs!$F$64/12</f>
        <v>0</v>
      </c>
      <c r="AR30" s="40">
        <f>Inputs!$F$64/12</f>
        <v>0</v>
      </c>
      <c r="AS30" s="40">
        <f>Inputs!$F$64/12</f>
        <v>0</v>
      </c>
      <c r="AT30" s="40">
        <f>Inputs!$F$64/12</f>
        <v>0</v>
      </c>
      <c r="AU30" s="40">
        <f>Inputs!$F$64/12</f>
        <v>0</v>
      </c>
      <c r="AV30" s="40">
        <f>Inputs!$F$64/12</f>
        <v>0</v>
      </c>
      <c r="AW30" s="40">
        <f>Inputs!$F$64/12</f>
        <v>0</v>
      </c>
      <c r="AX30" s="40">
        <f>Inputs!$F$64/12</f>
        <v>0</v>
      </c>
      <c r="AY30" s="40">
        <f>Inputs!$F$64/12</f>
        <v>0</v>
      </c>
      <c r="AZ30" s="40">
        <f>Inputs!$F$64/12</f>
        <v>0</v>
      </c>
      <c r="BA30" s="40">
        <f>Inputs!$F$65/12</f>
        <v>2708.3333333333335</v>
      </c>
      <c r="BB30" s="40">
        <f>Inputs!$F$65/12</f>
        <v>2708.3333333333335</v>
      </c>
      <c r="BC30" s="40">
        <f>Inputs!$F$65/12</f>
        <v>2708.3333333333335</v>
      </c>
      <c r="BD30" s="40">
        <f>Inputs!$F$65/12</f>
        <v>2708.3333333333335</v>
      </c>
      <c r="BE30" s="40">
        <f>Inputs!$F$65/12</f>
        <v>2708.3333333333335</v>
      </c>
      <c r="BF30" s="40">
        <f>Inputs!$F$65/12</f>
        <v>2708.3333333333335</v>
      </c>
      <c r="BG30" s="40">
        <f>Inputs!$F$65/12</f>
        <v>2708.3333333333335</v>
      </c>
      <c r="BH30" s="40">
        <f>Inputs!$F$65/12</f>
        <v>2708.3333333333335</v>
      </c>
      <c r="BI30" s="40">
        <f>Inputs!$F$65/12</f>
        <v>2708.3333333333335</v>
      </c>
      <c r="BJ30" s="40">
        <f>Inputs!$F$65/12</f>
        <v>2708.3333333333335</v>
      </c>
      <c r="BK30" s="40">
        <f>Inputs!$F$65/12</f>
        <v>2708.3333333333335</v>
      </c>
      <c r="BL30" s="40">
        <f>Inputs!$F$65/12</f>
        <v>2708.3333333333335</v>
      </c>
    </row>
    <row r="31" spans="2:64" x14ac:dyDescent="0.35">
      <c r="B31" s="3" t="s">
        <v>424</v>
      </c>
      <c r="C31" s="18" t="s">
        <v>111</v>
      </c>
      <c r="D31" s="20">
        <f>BL31</f>
        <v>72500.000000000015</v>
      </c>
      <c r="E31" s="20">
        <f>E30</f>
        <v>2708.3333333333335</v>
      </c>
      <c r="F31" s="20">
        <f t="shared" ref="F31:AK31" si="18">E31+F30</f>
        <v>5416.666666666667</v>
      </c>
      <c r="G31" s="20">
        <f t="shared" si="18"/>
        <v>8125</v>
      </c>
      <c r="H31" s="20">
        <f t="shared" si="18"/>
        <v>10833.333333333334</v>
      </c>
      <c r="I31" s="20">
        <f t="shared" si="18"/>
        <v>13541.666666666668</v>
      </c>
      <c r="J31" s="20">
        <f t="shared" si="18"/>
        <v>16250.000000000002</v>
      </c>
      <c r="K31" s="20">
        <f t="shared" si="18"/>
        <v>18958.333333333336</v>
      </c>
      <c r="L31" s="20">
        <f t="shared" si="18"/>
        <v>21666.666666666668</v>
      </c>
      <c r="M31" s="20">
        <f t="shared" si="18"/>
        <v>24375</v>
      </c>
      <c r="N31" s="20">
        <f t="shared" si="18"/>
        <v>27083.333333333332</v>
      </c>
      <c r="O31" s="20">
        <f t="shared" si="18"/>
        <v>29791.666666666664</v>
      </c>
      <c r="P31" s="20">
        <f t="shared" si="18"/>
        <v>32499.999999999996</v>
      </c>
      <c r="Q31" s="20">
        <f t="shared" si="18"/>
        <v>33125</v>
      </c>
      <c r="R31" s="20">
        <f t="shared" si="18"/>
        <v>33750</v>
      </c>
      <c r="S31" s="20">
        <f t="shared" si="18"/>
        <v>34375</v>
      </c>
      <c r="T31" s="20">
        <f t="shared" si="18"/>
        <v>35000</v>
      </c>
      <c r="U31" s="20">
        <f t="shared" si="18"/>
        <v>35625</v>
      </c>
      <c r="V31" s="20">
        <f t="shared" si="18"/>
        <v>36250</v>
      </c>
      <c r="W31" s="20">
        <f t="shared" si="18"/>
        <v>36875</v>
      </c>
      <c r="X31" s="20">
        <f t="shared" si="18"/>
        <v>37500</v>
      </c>
      <c r="Y31" s="20">
        <f t="shared" si="18"/>
        <v>38125</v>
      </c>
      <c r="Z31" s="20">
        <f t="shared" si="18"/>
        <v>38750</v>
      </c>
      <c r="AA31" s="20">
        <f t="shared" si="18"/>
        <v>39375</v>
      </c>
      <c r="AB31" s="20">
        <f t="shared" si="18"/>
        <v>40000</v>
      </c>
      <c r="AC31" s="20">
        <f t="shared" si="18"/>
        <v>40000</v>
      </c>
      <c r="AD31" s="20">
        <f t="shared" si="18"/>
        <v>40000</v>
      </c>
      <c r="AE31" s="20">
        <f t="shared" si="18"/>
        <v>40000</v>
      </c>
      <c r="AF31" s="20">
        <f t="shared" si="18"/>
        <v>40000</v>
      </c>
      <c r="AG31" s="20">
        <f t="shared" si="18"/>
        <v>40000</v>
      </c>
      <c r="AH31" s="20">
        <f t="shared" si="18"/>
        <v>40000</v>
      </c>
      <c r="AI31" s="20">
        <f t="shared" si="18"/>
        <v>40000</v>
      </c>
      <c r="AJ31" s="20">
        <f t="shared" si="18"/>
        <v>40000</v>
      </c>
      <c r="AK31" s="20">
        <f t="shared" si="18"/>
        <v>40000</v>
      </c>
      <c r="AL31" s="20">
        <f t="shared" ref="AL31:BQ31" si="19">AK31+AL30</f>
        <v>40000</v>
      </c>
      <c r="AM31" s="20">
        <f t="shared" si="19"/>
        <v>40000</v>
      </c>
      <c r="AN31" s="20">
        <f t="shared" si="19"/>
        <v>40000</v>
      </c>
      <c r="AO31" s="20">
        <f t="shared" si="19"/>
        <v>40000</v>
      </c>
      <c r="AP31" s="20">
        <f t="shared" si="19"/>
        <v>40000</v>
      </c>
      <c r="AQ31" s="20">
        <f t="shared" si="19"/>
        <v>40000</v>
      </c>
      <c r="AR31" s="20">
        <f t="shared" si="19"/>
        <v>40000</v>
      </c>
      <c r="AS31" s="20">
        <f t="shared" si="19"/>
        <v>40000</v>
      </c>
      <c r="AT31" s="20">
        <f t="shared" si="19"/>
        <v>40000</v>
      </c>
      <c r="AU31" s="20">
        <f t="shared" si="19"/>
        <v>40000</v>
      </c>
      <c r="AV31" s="20">
        <f t="shared" si="19"/>
        <v>40000</v>
      </c>
      <c r="AW31" s="20">
        <f t="shared" si="19"/>
        <v>40000</v>
      </c>
      <c r="AX31" s="20">
        <f t="shared" si="19"/>
        <v>40000</v>
      </c>
      <c r="AY31" s="20">
        <f t="shared" si="19"/>
        <v>40000</v>
      </c>
      <c r="AZ31" s="20">
        <f t="shared" si="19"/>
        <v>40000</v>
      </c>
      <c r="BA31" s="20">
        <f t="shared" si="19"/>
        <v>42708.333333333336</v>
      </c>
      <c r="BB31" s="20">
        <f t="shared" si="19"/>
        <v>45416.666666666672</v>
      </c>
      <c r="BC31" s="20">
        <f t="shared" si="19"/>
        <v>48125.000000000007</v>
      </c>
      <c r="BD31" s="20">
        <f t="shared" si="19"/>
        <v>50833.333333333343</v>
      </c>
      <c r="BE31" s="20">
        <f t="shared" si="19"/>
        <v>53541.666666666679</v>
      </c>
      <c r="BF31" s="20">
        <f t="shared" si="19"/>
        <v>56250.000000000015</v>
      </c>
      <c r="BG31" s="20">
        <f t="shared" si="19"/>
        <v>58958.33333333335</v>
      </c>
      <c r="BH31" s="20">
        <f t="shared" si="19"/>
        <v>61666.666666666686</v>
      </c>
      <c r="BI31" s="20">
        <f t="shared" si="19"/>
        <v>64375.000000000022</v>
      </c>
      <c r="BJ31" s="20">
        <f t="shared" si="19"/>
        <v>67083.333333333358</v>
      </c>
      <c r="BK31" s="20">
        <f t="shared" si="19"/>
        <v>69791.666666666686</v>
      </c>
      <c r="BL31" s="20">
        <f t="shared" si="19"/>
        <v>72500.000000000015</v>
      </c>
    </row>
    <row r="32" spans="2:64" x14ac:dyDescent="0.35">
      <c r="B32" s="3" t="s">
        <v>425</v>
      </c>
      <c r="C32" s="18" t="s">
        <v>306</v>
      </c>
      <c r="D32" s="58">
        <f>ROUND(12*Inputs!$F$66,0)</f>
        <v>36</v>
      </c>
    </row>
    <row r="33" spans="2:64" x14ac:dyDescent="0.35">
      <c r="B33" s="3" t="s">
        <v>290</v>
      </c>
      <c r="C33" s="18" t="s">
        <v>111</v>
      </c>
      <c r="D33" s="20">
        <f>SUM(E33:BL33)</f>
        <v>45868.055555555533</v>
      </c>
      <c r="E33" s="20">
        <f t="shared" ref="E33:AJ33" si="20">IF($D$32&gt;0,(E31-IF(E$4&gt;$D$32,INDEX($E$31:$BL$31,1,E$4-$D$32),0))/$D$32,0)</f>
        <v>75.231481481481481</v>
      </c>
      <c r="F33" s="20">
        <f t="shared" si="20"/>
        <v>150.46296296296296</v>
      </c>
      <c r="G33" s="20">
        <f t="shared" si="20"/>
        <v>225.69444444444446</v>
      </c>
      <c r="H33" s="20">
        <f t="shared" si="20"/>
        <v>300.92592592592592</v>
      </c>
      <c r="I33" s="20">
        <f t="shared" si="20"/>
        <v>376.15740740740745</v>
      </c>
      <c r="J33" s="20">
        <f t="shared" si="20"/>
        <v>451.38888888888891</v>
      </c>
      <c r="K33" s="20">
        <f t="shared" si="20"/>
        <v>526.62037037037044</v>
      </c>
      <c r="L33" s="20">
        <f t="shared" si="20"/>
        <v>601.85185185185185</v>
      </c>
      <c r="M33" s="20">
        <f t="shared" si="20"/>
        <v>677.08333333333337</v>
      </c>
      <c r="N33" s="20">
        <f t="shared" si="20"/>
        <v>752.31481481481478</v>
      </c>
      <c r="O33" s="20">
        <f t="shared" si="20"/>
        <v>827.54629629629619</v>
      </c>
      <c r="P33" s="20">
        <f t="shared" si="20"/>
        <v>902.77777777777771</v>
      </c>
      <c r="Q33" s="20">
        <f t="shared" si="20"/>
        <v>920.13888888888891</v>
      </c>
      <c r="R33" s="20">
        <f t="shared" si="20"/>
        <v>937.5</v>
      </c>
      <c r="S33" s="20">
        <f t="shared" si="20"/>
        <v>954.86111111111109</v>
      </c>
      <c r="T33" s="20">
        <f t="shared" si="20"/>
        <v>972.22222222222217</v>
      </c>
      <c r="U33" s="20">
        <f t="shared" si="20"/>
        <v>989.58333333333337</v>
      </c>
      <c r="V33" s="20">
        <f t="shared" si="20"/>
        <v>1006.9444444444445</v>
      </c>
      <c r="W33" s="20">
        <f t="shared" si="20"/>
        <v>1024.3055555555557</v>
      </c>
      <c r="X33" s="20">
        <f t="shared" si="20"/>
        <v>1041.6666666666667</v>
      </c>
      <c r="Y33" s="20">
        <f t="shared" si="20"/>
        <v>1059.0277777777778</v>
      </c>
      <c r="Z33" s="20">
        <f t="shared" si="20"/>
        <v>1076.3888888888889</v>
      </c>
      <c r="AA33" s="20">
        <f t="shared" si="20"/>
        <v>1093.75</v>
      </c>
      <c r="AB33" s="20">
        <f t="shared" si="20"/>
        <v>1111.1111111111111</v>
      </c>
      <c r="AC33" s="20">
        <f t="shared" si="20"/>
        <v>1111.1111111111111</v>
      </c>
      <c r="AD33" s="20">
        <f t="shared" si="20"/>
        <v>1111.1111111111111</v>
      </c>
      <c r="AE33" s="20">
        <f t="shared" si="20"/>
        <v>1111.1111111111111</v>
      </c>
      <c r="AF33" s="20">
        <f t="shared" si="20"/>
        <v>1111.1111111111111</v>
      </c>
      <c r="AG33" s="20">
        <f t="shared" si="20"/>
        <v>1111.1111111111111</v>
      </c>
      <c r="AH33" s="20">
        <f t="shared" si="20"/>
        <v>1111.1111111111111</v>
      </c>
      <c r="AI33" s="20">
        <f t="shared" si="20"/>
        <v>1111.1111111111111</v>
      </c>
      <c r="AJ33" s="20">
        <f t="shared" si="20"/>
        <v>1111.1111111111111</v>
      </c>
      <c r="AK33" s="20">
        <f t="shared" ref="AK33:BL33" si="21">IF($D$32&gt;0,(AK31-IF(AK$4&gt;$D$32,INDEX($E$31:$BL$31,1,AK$4-$D$32),0))/$D$32,0)</f>
        <v>1111.1111111111111</v>
      </c>
      <c r="AL33" s="20">
        <f t="shared" si="21"/>
        <v>1111.1111111111111</v>
      </c>
      <c r="AM33" s="20">
        <f t="shared" si="21"/>
        <v>1111.1111111111111</v>
      </c>
      <c r="AN33" s="20">
        <f t="shared" si="21"/>
        <v>1111.1111111111111</v>
      </c>
      <c r="AO33" s="20">
        <f t="shared" si="21"/>
        <v>1035.8796296296296</v>
      </c>
      <c r="AP33" s="20">
        <f t="shared" si="21"/>
        <v>960.64814814814827</v>
      </c>
      <c r="AQ33" s="20">
        <f t="shared" si="21"/>
        <v>885.41666666666663</v>
      </c>
      <c r="AR33" s="20">
        <f t="shared" si="21"/>
        <v>810.18518518518511</v>
      </c>
      <c r="AS33" s="20">
        <f t="shared" si="21"/>
        <v>734.9537037037037</v>
      </c>
      <c r="AT33" s="20">
        <f t="shared" si="21"/>
        <v>659.72222222222217</v>
      </c>
      <c r="AU33" s="20">
        <f t="shared" si="21"/>
        <v>584.49074074074065</v>
      </c>
      <c r="AV33" s="20">
        <f t="shared" si="21"/>
        <v>509.25925925925924</v>
      </c>
      <c r="AW33" s="20">
        <f t="shared" si="21"/>
        <v>434.02777777777777</v>
      </c>
      <c r="AX33" s="20">
        <f t="shared" si="21"/>
        <v>358.7962962962963</v>
      </c>
      <c r="AY33" s="20">
        <f t="shared" si="21"/>
        <v>283.56481481481489</v>
      </c>
      <c r="AZ33" s="20">
        <f t="shared" si="21"/>
        <v>208.33333333333343</v>
      </c>
      <c r="BA33" s="20">
        <f t="shared" si="21"/>
        <v>266.20370370370375</v>
      </c>
      <c r="BB33" s="20">
        <f t="shared" si="21"/>
        <v>324.07407407407419</v>
      </c>
      <c r="BC33" s="20">
        <f t="shared" si="21"/>
        <v>381.94444444444463</v>
      </c>
      <c r="BD33" s="20">
        <f t="shared" si="21"/>
        <v>439.81481481481507</v>
      </c>
      <c r="BE33" s="20">
        <f t="shared" si="21"/>
        <v>497.6851851851855</v>
      </c>
      <c r="BF33" s="20">
        <f t="shared" si="21"/>
        <v>555.555555555556</v>
      </c>
      <c r="BG33" s="20">
        <f t="shared" si="21"/>
        <v>613.42592592592644</v>
      </c>
      <c r="BH33" s="20">
        <f t="shared" si="21"/>
        <v>671.29629629629687</v>
      </c>
      <c r="BI33" s="20">
        <f t="shared" si="21"/>
        <v>729.16666666666731</v>
      </c>
      <c r="BJ33" s="20">
        <f t="shared" si="21"/>
        <v>787.03703703703775</v>
      </c>
      <c r="BK33" s="20">
        <f t="shared" si="21"/>
        <v>844.90740740740796</v>
      </c>
      <c r="BL33" s="20">
        <f t="shared" si="21"/>
        <v>902.77777777777817</v>
      </c>
    </row>
    <row r="34" spans="2:64" x14ac:dyDescent="0.35">
      <c r="B34" s="3" t="s">
        <v>291</v>
      </c>
      <c r="C34" s="18" t="s">
        <v>111</v>
      </c>
      <c r="D34" s="20">
        <f>SUM(E34:BL34)</f>
        <v>-16784131.294488218</v>
      </c>
      <c r="E34" s="20">
        <f t="shared" ref="E34:AJ34" si="22">E28-E33</f>
        <v>-53415.697390003326</v>
      </c>
      <c r="F34" s="20">
        <f t="shared" si="22"/>
        <v>-61094.913512588682</v>
      </c>
      <c r="G34" s="20">
        <f t="shared" si="22"/>
        <v>-68783.642761029143</v>
      </c>
      <c r="H34" s="20">
        <f t="shared" si="22"/>
        <v>-106380.0565683335</v>
      </c>
      <c r="I34" s="20">
        <f t="shared" si="22"/>
        <v>-106146.13629539394</v>
      </c>
      <c r="J34" s="20">
        <f t="shared" si="22"/>
        <v>-97212.156892285435</v>
      </c>
      <c r="K34" s="20">
        <f t="shared" si="22"/>
        <v>-97287.388373766909</v>
      </c>
      <c r="L34" s="20">
        <f t="shared" si="22"/>
        <v>-172773.07073699124</v>
      </c>
      <c r="M34" s="20">
        <f t="shared" si="22"/>
        <v>-156561.70515828559</v>
      </c>
      <c r="N34" s="20">
        <f t="shared" si="22"/>
        <v>-209239.25679482581</v>
      </c>
      <c r="O34" s="20">
        <f t="shared" si="22"/>
        <v>-206610.26587478671</v>
      </c>
      <c r="P34" s="20">
        <f t="shared" si="22"/>
        <v>-213839.67287054515</v>
      </c>
      <c r="Q34" s="20">
        <f t="shared" si="22"/>
        <v>-241429.42656732124</v>
      </c>
      <c r="R34" s="20">
        <f t="shared" si="22"/>
        <v>-233172.95128943332</v>
      </c>
      <c r="S34" s="20">
        <f t="shared" si="22"/>
        <v>-233103.25223010374</v>
      </c>
      <c r="T34" s="20">
        <f t="shared" si="22"/>
        <v>-233032.69335966205</v>
      </c>
      <c r="U34" s="20">
        <f t="shared" si="22"/>
        <v>-232964.61071222342</v>
      </c>
      <c r="V34" s="20">
        <f t="shared" si="22"/>
        <v>-232896.59558479005</v>
      </c>
      <c r="W34" s="20">
        <f t="shared" si="22"/>
        <v>-482299.20456661819</v>
      </c>
      <c r="X34" s="20">
        <f t="shared" si="22"/>
        <v>-296477.86479172303</v>
      </c>
      <c r="Y34" s="20">
        <f t="shared" si="22"/>
        <v>-296583.66404863342</v>
      </c>
      <c r="Z34" s="20">
        <f t="shared" si="22"/>
        <v>-296698.24273666681</v>
      </c>
      <c r="AA34" s="20">
        <f t="shared" si="22"/>
        <v>-296805.55162913387</v>
      </c>
      <c r="AB34" s="20">
        <f t="shared" si="22"/>
        <v>-323120.31315794046</v>
      </c>
      <c r="AC34" s="20">
        <f t="shared" si="22"/>
        <v>-340532.6378355372</v>
      </c>
      <c r="AD34" s="20">
        <f t="shared" si="22"/>
        <v>-339090.95915333688</v>
      </c>
      <c r="AE34" s="20">
        <f t="shared" si="22"/>
        <v>-337586.69343769102</v>
      </c>
      <c r="AF34" s="20">
        <f t="shared" si="22"/>
        <v>-336013.29792634334</v>
      </c>
      <c r="AG34" s="20">
        <f t="shared" si="22"/>
        <v>-334363.23017697554</v>
      </c>
      <c r="AH34" s="20">
        <f t="shared" si="22"/>
        <v>-332628.38260144246</v>
      </c>
      <c r="AI34" s="20">
        <f t="shared" si="22"/>
        <v>-330799.46797312965</v>
      </c>
      <c r="AJ34" s="20">
        <f t="shared" si="22"/>
        <v>-328866.43265241134</v>
      </c>
      <c r="AK34" s="20">
        <f t="shared" ref="AK34:BP34" si="23">AK28-AK33</f>
        <v>-326817.81820263265</v>
      </c>
      <c r="AL34" s="20">
        <f t="shared" si="23"/>
        <v>-324641.1478229909</v>
      </c>
      <c r="AM34" s="20">
        <f t="shared" si="23"/>
        <v>-322322.25791231624</v>
      </c>
      <c r="AN34" s="20">
        <f t="shared" si="23"/>
        <v>-319845.78065944317</v>
      </c>
      <c r="AO34" s="20">
        <f t="shared" si="23"/>
        <v>-357739.75987999863</v>
      </c>
      <c r="AP34" s="20">
        <f t="shared" si="23"/>
        <v>-355740.73641133052</v>
      </c>
      <c r="AQ34" s="20">
        <f t="shared" si="23"/>
        <v>-353592.43571352889</v>
      </c>
      <c r="AR34" s="20">
        <f t="shared" si="23"/>
        <v>-351281.20167508069</v>
      </c>
      <c r="AS34" s="20">
        <f t="shared" si="23"/>
        <v>-348792.03733484185</v>
      </c>
      <c r="AT34" s="20">
        <f t="shared" si="23"/>
        <v>-346108.46965820197</v>
      </c>
      <c r="AU34" s="20">
        <f t="shared" si="23"/>
        <v>-343212.40054150485</v>
      </c>
      <c r="AV34" s="20">
        <f t="shared" si="23"/>
        <v>-340083.94263705949</v>
      </c>
      <c r="AW34" s="20">
        <f t="shared" si="23"/>
        <v>-336701.23844699765</v>
      </c>
      <c r="AX34" s="20">
        <f t="shared" si="23"/>
        <v>-333040.26097540243</v>
      </c>
      <c r="AY34" s="20">
        <f t="shared" si="23"/>
        <v>-329074.59405302809</v>
      </c>
      <c r="AZ34" s="20">
        <f t="shared" si="23"/>
        <v>-324775.1902559048</v>
      </c>
      <c r="BA34" s="20">
        <f t="shared" si="23"/>
        <v>-328560.54273118463</v>
      </c>
      <c r="BB34" s="20">
        <f t="shared" si="23"/>
        <v>-325916.60518925241</v>
      </c>
      <c r="BC34" s="20">
        <f t="shared" si="23"/>
        <v>-323166.25071874872</v>
      </c>
      <c r="BD34" s="20">
        <f t="shared" si="23"/>
        <v>-320305.2033570616</v>
      </c>
      <c r="BE34" s="20">
        <f t="shared" si="23"/>
        <v>-317329.01199101005</v>
      </c>
      <c r="BF34" s="20">
        <f t="shared" si="23"/>
        <v>-314233.0430504902</v>
      </c>
      <c r="BG34" s="20">
        <f t="shared" si="23"/>
        <v>-311012.4728921256</v>
      </c>
      <c r="BH34" s="20">
        <f t="shared" si="23"/>
        <v>-307662.27985956625</v>
      </c>
      <c r="BI34" s="20">
        <f t="shared" si="23"/>
        <v>-304177.23600649287</v>
      </c>
      <c r="BJ34" s="20">
        <f t="shared" si="23"/>
        <v>-300551.89846777543</v>
      </c>
      <c r="BK34" s="20">
        <f t="shared" si="23"/>
        <v>-296780.60046359809</v>
      </c>
      <c r="BL34" s="20">
        <f t="shared" si="23"/>
        <v>-292857.44192069676</v>
      </c>
    </row>
    <row r="35" spans="2:64" x14ac:dyDescent="0.35">
      <c r="B35" s="3" t="s">
        <v>292</v>
      </c>
      <c r="C35" s="18" t="s">
        <v>111</v>
      </c>
      <c r="D35" s="20">
        <f>SUM(E35:BL35)</f>
        <v>425594.06527465931</v>
      </c>
      <c r="E35" s="40">
        <f>Inputs!$F$70/12*MAX(E47,0)</f>
        <v>31.25</v>
      </c>
      <c r="F35" s="40">
        <f>Inputs!$F$70/12*MAX(F47,0)</f>
        <v>1211.2280634476811</v>
      </c>
      <c r="G35" s="40">
        <f>Inputs!$F$70/12*MAX(G47,0)</f>
        <v>1133.1761186732917</v>
      </c>
      <c r="H35" s="40">
        <f>Inputs!$F$70/12*MAX(H47,0)</f>
        <v>1045.5097367592359</v>
      </c>
      <c r="I35" s="40">
        <f>Inputs!$F$70/12*MAX(I47,0)</f>
        <v>910.83229396050865</v>
      </c>
      <c r="J35" s="40">
        <f>Inputs!$F$70/12*MAX(J47,0)</f>
        <v>776.37294405130945</v>
      </c>
      <c r="K35" s="40">
        <f>Inputs!$F$70/12*MAX(K47,0)</f>
        <v>653.00703356046131</v>
      </c>
      <c r="L35" s="40">
        <f>Inputs!$F$70/12*MAX(L47,0)</f>
        <v>529.48691568149957</v>
      </c>
      <c r="M35" s="40">
        <f>Inputs!$F$70/12*MAX(M47,0)</f>
        <v>5311.5493340530111</v>
      </c>
      <c r="N35" s="40">
        <f>Inputs!$F$70/12*MAX(N47,0)</f>
        <v>5119.9475767727199</v>
      </c>
      <c r="O35" s="40">
        <f>Inputs!$F$70/12*MAX(O47,0)</f>
        <v>4862.3534171020065</v>
      </c>
      <c r="P35" s="40">
        <f>Inputs!$F$70/12*MAX(P47,0)</f>
        <v>4607.8175427336037</v>
      </c>
      <c r="Q35" s="40">
        <f>Inputs!$F$70/12*MAX(Q47,0)</f>
        <v>4344.0207791293951</v>
      </c>
      <c r="R35" s="40">
        <f>Inputs!$F$70/12*MAX(R47,0)</f>
        <v>4048.0329455052661</v>
      </c>
      <c r="S35" s="40">
        <f>Inputs!$F$70/12*MAX(S47,0)</f>
        <v>3762.0174225753558</v>
      </c>
      <c r="T35" s="40">
        <f>Inputs!$F$70/12*MAX(T47,0)</f>
        <v>3475.7532054548346</v>
      </c>
      <c r="U35" s="40">
        <f>Inputs!$F$70/12*MAX(U47,0)</f>
        <v>3189.2410580398532</v>
      </c>
      <c r="V35" s="40">
        <f>Inputs!$F$70/12*MAX(V47,0)</f>
        <v>2902.4775751387906</v>
      </c>
      <c r="W35" s="40">
        <f>Inputs!$F$70/12*MAX(W47,0)</f>
        <v>2615.4623581822821</v>
      </c>
      <c r="X35" s="40">
        <f>Inputs!$F$70/12*MAX(X47,0)</f>
        <v>17016.356812366183</v>
      </c>
      <c r="Y35" s="40">
        <f>Inputs!$F$70/12*MAX(Y47,0)</f>
        <v>16667.55076072532</v>
      </c>
      <c r="Z35" s="40">
        <f>Inputs!$F$70/12*MAX(Z47,0)</f>
        <v>16318.198153837657</v>
      </c>
      <c r="AA35" s="40">
        <f>Inputs!$F$70/12*MAX(AA47,0)</f>
        <v>15968.287334220231</v>
      </c>
      <c r="AB35" s="40">
        <f>Inputs!$F$70/12*MAX(AB47,0)</f>
        <v>15617.826691351589</v>
      </c>
      <c r="AC35" s="40">
        <f>Inputs!$F$70/12*MAX(AC47,0)</f>
        <v>15234.056222157242</v>
      </c>
      <c r="AD35" s="40">
        <f>Inputs!$F$70/12*MAX(AD47,0)</f>
        <v>14828.821884029405</v>
      </c>
      <c r="AE35" s="40">
        <f>Inputs!$F$70/12*MAX(AE47,0)</f>
        <v>14424.883101331659</v>
      </c>
      <c r="AF35" s="40">
        <f>Inputs!$F$70/12*MAX(AF47,0)</f>
        <v>14022.319727300099</v>
      </c>
      <c r="AG35" s="40">
        <f>Inputs!$F$70/12*MAX(AG47,0)</f>
        <v>13621.219893440182</v>
      </c>
      <c r="AH35" s="40">
        <f>Inputs!$F$70/12*MAX(AH47,0)</f>
        <v>13221.681269474653</v>
      </c>
      <c r="AI35" s="40">
        <f>Inputs!$F$70/12*MAX(AI47,0)</f>
        <v>12823.811781698581</v>
      </c>
      <c r="AJ35" s="40">
        <f>Inputs!$F$70/12*MAX(AJ47,0)</f>
        <v>12427.731100348183</v>
      </c>
      <c r="AK35" s="40">
        <f>Inputs!$F$70/12*MAX(AK47,0)</f>
        <v>12033.571612296993</v>
      </c>
      <c r="AL35" s="40">
        <f>Inputs!$F$70/12*MAX(AL47,0)</f>
        <v>11641.480192947964</v>
      </c>
      <c r="AM35" s="40">
        <f>Inputs!$F$70/12*MAX(AM47,0)</f>
        <v>11251.6194972993</v>
      </c>
      <c r="AN35" s="40">
        <f>Inputs!$F$70/12*MAX(AN47,0)</f>
        <v>10864.170088169416</v>
      </c>
      <c r="AO35" s="40">
        <f>Inputs!$F$70/12*MAX(AO47,0)</f>
        <v>10479.331963844214</v>
      </c>
      <c r="AP35" s="40">
        <f>Inputs!$F$70/12*MAX(AP47,0)</f>
        <v>10046.551278486058</v>
      </c>
      <c r="AQ35" s="40">
        <f>Inputs!$F$70/12*MAX(AQ47,0)</f>
        <v>9615.6343572551868</v>
      </c>
      <c r="AR35" s="40">
        <f>Inputs!$F$70/12*MAX(AR47,0)</f>
        <v>9186.7701263931795</v>
      </c>
      <c r="AS35" s="40">
        <f>Inputs!$F$70/12*MAX(AS47,0)</f>
        <v>8760.1648184388014</v>
      </c>
      <c r="AT35" s="40">
        <f>Inputs!$F$70/12*MAX(AT47,0)</f>
        <v>8336.0436699229267</v>
      </c>
      <c r="AU35" s="40">
        <f>Inputs!$F$70/12*MAX(AU47,0)</f>
        <v>7914.6527902153557</v>
      </c>
      <c r="AV35" s="40">
        <f>Inputs!$F$70/12*MAX(AV47,0)</f>
        <v>7496.2612189521697</v>
      </c>
      <c r="AW35" s="40">
        <f>Inputs!$F$70/12*MAX(AW47,0)</f>
        <v>7081.1631912536104</v>
      </c>
      <c r="AX35" s="40">
        <f>Inputs!$F$70/12*MAX(AX47,0)</f>
        <v>6669.6806319061525</v>
      </c>
      <c r="AY35" s="40">
        <f>Inputs!$F$70/12*MAX(AY47,0)</f>
        <v>6262.1659018471528</v>
      </c>
      <c r="AZ35" s="40">
        <f>Inputs!$F$70/12*MAX(AZ47,0)</f>
        <v>5859.0048226766939</v>
      </c>
      <c r="BA35" s="40">
        <f>Inputs!$F$70/12*MAX(BA47,0)</f>
        <v>5460.6200075518263</v>
      </c>
      <c r="BB35" s="40">
        <f>Inputs!$F$70/12*MAX(BB47,0)</f>
        <v>5053.6924421102476</v>
      </c>
      <c r="BC35" s="40">
        <f>Inputs!$F$70/12*MAX(BC47,0)</f>
        <v>4649.6334771022466</v>
      </c>
      <c r="BD35" s="40">
        <f>Inputs!$F$70/12*MAX(BD47,0)</f>
        <v>4248.5797194390771</v>
      </c>
      <c r="BE35" s="40">
        <f>Inputs!$F$70/12*MAX(BE47,0)</f>
        <v>3850.6732917439012</v>
      </c>
      <c r="BF35" s="40">
        <f>Inputs!$F$70/12*MAX(BF47,0)</f>
        <v>3456.0620581846338</v>
      </c>
      <c r="BG35" s="40">
        <f>Inputs!$F$70/12*MAX(BG47,0)</f>
        <v>3064.8998597220298</v>
      </c>
      <c r="BH35" s="40">
        <f>Inputs!$F$70/12*MAX(BH47,0)</f>
        <v>2677.346759172266</v>
      </c>
      <c r="BI35" s="40">
        <f>Inputs!$F$70/12*MAX(BI47,0)</f>
        <v>2293.5692965004773</v>
      </c>
      <c r="BJ35" s="40">
        <f>Inputs!$F$70/12*MAX(BJ47,0)</f>
        <v>1913.7407547796533</v>
      </c>
      <c r="BK35" s="40">
        <f>Inputs!$F$70/12*MAX(BK47,0)</f>
        <v>1538.0414372680384</v>
      </c>
      <c r="BL35" s="40">
        <f>Inputs!$F$70/12*MAX(BL47,0)</f>
        <v>1166.6589560777184</v>
      </c>
    </row>
    <row r="36" spans="2:64" x14ac:dyDescent="0.35">
      <c r="B36" s="3" t="s">
        <v>293</v>
      </c>
      <c r="C36" s="18" t="s">
        <v>111</v>
      </c>
      <c r="D36" s="20">
        <f>SUM(E36:BL36)</f>
        <v>-16358537.22921356</v>
      </c>
      <c r="E36" s="20">
        <f t="shared" ref="E36:AJ36" si="24">E34+E35</f>
        <v>-53384.447390003326</v>
      </c>
      <c r="F36" s="20">
        <f t="shared" si="24"/>
        <v>-59883.685449141005</v>
      </c>
      <c r="G36" s="20">
        <f t="shared" si="24"/>
        <v>-67650.466642355852</v>
      </c>
      <c r="H36" s="20">
        <f t="shared" si="24"/>
        <v>-105334.54683157426</v>
      </c>
      <c r="I36" s="20">
        <f t="shared" si="24"/>
        <v>-105235.30400143343</v>
      </c>
      <c r="J36" s="20">
        <f t="shared" si="24"/>
        <v>-96435.783948234122</v>
      </c>
      <c r="K36" s="20">
        <f t="shared" si="24"/>
        <v>-96634.381340206455</v>
      </c>
      <c r="L36" s="20">
        <f t="shared" si="24"/>
        <v>-172243.58382130973</v>
      </c>
      <c r="M36" s="20">
        <f t="shared" si="24"/>
        <v>-151250.15582423258</v>
      </c>
      <c r="N36" s="20">
        <f t="shared" si="24"/>
        <v>-204119.30921805309</v>
      </c>
      <c r="O36" s="20">
        <f t="shared" si="24"/>
        <v>-201747.9124576847</v>
      </c>
      <c r="P36" s="20">
        <f t="shared" si="24"/>
        <v>-209231.85532781156</v>
      </c>
      <c r="Q36" s="20">
        <f t="shared" si="24"/>
        <v>-237085.40578819183</v>
      </c>
      <c r="R36" s="20">
        <f t="shared" si="24"/>
        <v>-229124.91834392806</v>
      </c>
      <c r="S36" s="20">
        <f t="shared" si="24"/>
        <v>-229341.23480752838</v>
      </c>
      <c r="T36" s="20">
        <f t="shared" si="24"/>
        <v>-229556.94015420723</v>
      </c>
      <c r="U36" s="20">
        <f t="shared" si="24"/>
        <v>-229775.36965418357</v>
      </c>
      <c r="V36" s="20">
        <f t="shared" si="24"/>
        <v>-229994.11800965125</v>
      </c>
      <c r="W36" s="20">
        <f t="shared" si="24"/>
        <v>-479683.7422084359</v>
      </c>
      <c r="X36" s="20">
        <f t="shared" si="24"/>
        <v>-279461.50797935686</v>
      </c>
      <c r="Y36" s="20">
        <f t="shared" si="24"/>
        <v>-279916.11328790808</v>
      </c>
      <c r="Z36" s="20">
        <f t="shared" si="24"/>
        <v>-280380.04458282917</v>
      </c>
      <c r="AA36" s="20">
        <f t="shared" si="24"/>
        <v>-280837.26429491362</v>
      </c>
      <c r="AB36" s="20">
        <f t="shared" si="24"/>
        <v>-307502.48646658886</v>
      </c>
      <c r="AC36" s="20">
        <f t="shared" si="24"/>
        <v>-325298.58161337994</v>
      </c>
      <c r="AD36" s="20">
        <f t="shared" si="24"/>
        <v>-324262.13726930745</v>
      </c>
      <c r="AE36" s="20">
        <f t="shared" si="24"/>
        <v>-323161.81033635937</v>
      </c>
      <c r="AF36" s="20">
        <f t="shared" si="24"/>
        <v>-321990.97819904325</v>
      </c>
      <c r="AG36" s="20">
        <f t="shared" si="24"/>
        <v>-320742.01028353535</v>
      </c>
      <c r="AH36" s="20">
        <f t="shared" si="24"/>
        <v>-319406.70133196778</v>
      </c>
      <c r="AI36" s="20">
        <f t="shared" si="24"/>
        <v>-317975.65619143104</v>
      </c>
      <c r="AJ36" s="20">
        <f t="shared" si="24"/>
        <v>-316438.70155206317</v>
      </c>
      <c r="AK36" s="20">
        <f t="shared" ref="AK36:BP36" si="25">AK34+AK35</f>
        <v>-314784.24659033568</v>
      </c>
      <c r="AL36" s="20">
        <f t="shared" si="25"/>
        <v>-312999.66763004294</v>
      </c>
      <c r="AM36" s="20">
        <f t="shared" si="25"/>
        <v>-311070.63841501693</v>
      </c>
      <c r="AN36" s="20">
        <f t="shared" si="25"/>
        <v>-308981.61057127378</v>
      </c>
      <c r="AO36" s="20">
        <f t="shared" si="25"/>
        <v>-347260.42791615444</v>
      </c>
      <c r="AP36" s="20">
        <f t="shared" si="25"/>
        <v>-345694.18513284449</v>
      </c>
      <c r="AQ36" s="20">
        <f t="shared" si="25"/>
        <v>-343976.8013562737</v>
      </c>
      <c r="AR36" s="20">
        <f t="shared" si="25"/>
        <v>-342094.43154868751</v>
      </c>
      <c r="AS36" s="20">
        <f t="shared" si="25"/>
        <v>-340031.87251640303</v>
      </c>
      <c r="AT36" s="20">
        <f t="shared" si="25"/>
        <v>-337772.42598827905</v>
      </c>
      <c r="AU36" s="20">
        <f t="shared" si="25"/>
        <v>-335297.74775128951</v>
      </c>
      <c r="AV36" s="20">
        <f t="shared" si="25"/>
        <v>-332587.6814181073</v>
      </c>
      <c r="AW36" s="20">
        <f t="shared" si="25"/>
        <v>-329620.07525574404</v>
      </c>
      <c r="AX36" s="20">
        <f t="shared" si="25"/>
        <v>-326370.58034349629</v>
      </c>
      <c r="AY36" s="20">
        <f t="shared" si="25"/>
        <v>-322812.42815118097</v>
      </c>
      <c r="AZ36" s="20">
        <f t="shared" si="25"/>
        <v>-318916.18543322809</v>
      </c>
      <c r="BA36" s="20">
        <f t="shared" si="25"/>
        <v>-323099.92272363283</v>
      </c>
      <c r="BB36" s="20">
        <f t="shared" si="25"/>
        <v>-320862.91274714214</v>
      </c>
      <c r="BC36" s="20">
        <f t="shared" si="25"/>
        <v>-318516.61724164645</v>
      </c>
      <c r="BD36" s="20">
        <f t="shared" si="25"/>
        <v>-316056.62363762251</v>
      </c>
      <c r="BE36" s="20">
        <f t="shared" si="25"/>
        <v>-313478.33869926614</v>
      </c>
      <c r="BF36" s="20">
        <f t="shared" si="25"/>
        <v>-310776.98099230556</v>
      </c>
      <c r="BG36" s="20">
        <f t="shared" si="25"/>
        <v>-307947.5730324036</v>
      </c>
      <c r="BH36" s="20">
        <f t="shared" si="25"/>
        <v>-304984.93310039397</v>
      </c>
      <c r="BI36" s="20">
        <f t="shared" si="25"/>
        <v>-301883.66670999239</v>
      </c>
      <c r="BJ36" s="20">
        <f t="shared" si="25"/>
        <v>-298638.15771299577</v>
      </c>
      <c r="BK36" s="20">
        <f t="shared" si="25"/>
        <v>-295242.55902633007</v>
      </c>
      <c r="BL36" s="20">
        <f t="shared" si="25"/>
        <v>-291690.78296461905</v>
      </c>
    </row>
    <row r="37" spans="2:64" x14ac:dyDescent="0.35">
      <c r="B37" s="3" t="s">
        <v>426</v>
      </c>
      <c r="C37" s="18" t="s">
        <v>111</v>
      </c>
      <c r="D37" s="20">
        <f>SUM(E37:BL37)</f>
        <v>-16358537.229213558</v>
      </c>
      <c r="E37" s="20">
        <f>IF(E$7=12,SUM(E36:E36),0)</f>
        <v>0</v>
      </c>
      <c r="F37" s="20">
        <f>IF(F$7=12,SUM(E36:F36),0)</f>
        <v>0</v>
      </c>
      <c r="G37" s="20">
        <f>IF(G$7=12,SUM(E36:G36),0)</f>
        <v>0</v>
      </c>
      <c r="H37" s="20">
        <f>IF(H$7=12,SUM(E36:H36),0)</f>
        <v>0</v>
      </c>
      <c r="I37" s="20">
        <f>IF(I$7=12,SUM(E36:I36),0)</f>
        <v>0</v>
      </c>
      <c r="J37" s="20">
        <f>IF(J$7=12,SUM(E36:J36),0)</f>
        <v>0</v>
      </c>
      <c r="K37" s="20">
        <f>IF(K$7=12,SUM(E36:K36),0)</f>
        <v>0</v>
      </c>
      <c r="L37" s="20">
        <f>IF(L$7=12,SUM(E36:L36),0)</f>
        <v>0</v>
      </c>
      <c r="M37" s="20">
        <f>IF(M$7=12,SUM(E36:M36),0)</f>
        <v>0</v>
      </c>
      <c r="N37" s="20">
        <f>IF(N$7=12,SUM(E36:N36),0)</f>
        <v>0</v>
      </c>
      <c r="O37" s="20">
        <f>IF(O$7=12,SUM(E36:O36),0)</f>
        <v>0</v>
      </c>
      <c r="P37" s="20">
        <f>IF(P$7=12,SUM(E36:P36),0)</f>
        <v>-1523151.4322520401</v>
      </c>
      <c r="Q37" s="20">
        <f>IF(Q$7=12,SUM(Q36:Q36),0)</f>
        <v>0</v>
      </c>
      <c r="R37" s="20">
        <f>IF(R$7=12,SUM(Q36:R36),0)</f>
        <v>0</v>
      </c>
      <c r="S37" s="20">
        <f>IF(S$7=12,SUM(Q36:S36),0)</f>
        <v>0</v>
      </c>
      <c r="T37" s="20">
        <f>IF(T$7=12,SUM(Q36:T36),0)</f>
        <v>0</v>
      </c>
      <c r="U37" s="20">
        <f>IF(U$7=12,SUM(Q36:U36),0)</f>
        <v>0</v>
      </c>
      <c r="V37" s="20">
        <f>IF(V$7=12,SUM(Q36:V36),0)</f>
        <v>0</v>
      </c>
      <c r="W37" s="20">
        <f>IF(W$7=12,SUM(Q36:W36),0)</f>
        <v>0</v>
      </c>
      <c r="X37" s="20">
        <f>IF(X$7=12,SUM(Q36:X36),0)</f>
        <v>0</v>
      </c>
      <c r="Y37" s="20">
        <f>IF(Y$7=12,SUM(Q36:Y36),0)</f>
        <v>0</v>
      </c>
      <c r="Z37" s="20">
        <f>IF(Z$7=12,SUM(Q36:Z36),0)</f>
        <v>0</v>
      </c>
      <c r="AA37" s="20">
        <f>IF(AA$7=12,SUM(Q36:AA36),0)</f>
        <v>0</v>
      </c>
      <c r="AB37" s="20">
        <f>IF(AB$7=12,SUM(Q36:AB36),0)</f>
        <v>-3292659.1455777227</v>
      </c>
      <c r="AC37" s="20">
        <f>IF(AC$7=12,SUM(AC36:AC36),0)</f>
        <v>0</v>
      </c>
      <c r="AD37" s="20">
        <f>IF(AD$7=12,SUM(AC36:AD36),0)</f>
        <v>0</v>
      </c>
      <c r="AE37" s="20">
        <f>IF(AE$7=12,SUM(AC36:AE36),0)</f>
        <v>0</v>
      </c>
      <c r="AF37" s="20">
        <f>IF(AF$7=12,SUM(AC36:AF36),0)</f>
        <v>0</v>
      </c>
      <c r="AG37" s="20">
        <f>IF(AG$7=12,SUM(AC36:AG36),0)</f>
        <v>0</v>
      </c>
      <c r="AH37" s="20">
        <f>IF(AH$7=12,SUM(AC36:AH36),0)</f>
        <v>0</v>
      </c>
      <c r="AI37" s="20">
        <f>IF(AI$7=12,SUM(AC36:AI36),0)</f>
        <v>0</v>
      </c>
      <c r="AJ37" s="20">
        <f>IF(AJ$7=12,SUM(AC36:AJ36),0)</f>
        <v>0</v>
      </c>
      <c r="AK37" s="20">
        <f>IF(AK$7=12,SUM(AC36:AK36),0)</f>
        <v>0</v>
      </c>
      <c r="AL37" s="20">
        <f>IF(AL$7=12,SUM(AC36:AL36),0)</f>
        <v>0</v>
      </c>
      <c r="AM37" s="20">
        <f>IF(AM$7=12,SUM(AC36:AM36),0)</f>
        <v>0</v>
      </c>
      <c r="AN37" s="20">
        <f>IF(AN$7=12,SUM(AC36:AN36),0)</f>
        <v>-3817112.739983757</v>
      </c>
      <c r="AO37" s="20">
        <f>IF(AO$7=12,SUM(AO36:AO36),0)</f>
        <v>0</v>
      </c>
      <c r="AP37" s="20">
        <f>IF(AP$7=12,SUM(AO36:AP36),0)</f>
        <v>0</v>
      </c>
      <c r="AQ37" s="20">
        <f>IF(AQ$7=12,SUM(AO36:AQ36),0)</f>
        <v>0</v>
      </c>
      <c r="AR37" s="20">
        <f>IF(AR$7=12,SUM(AO36:AR36),0)</f>
        <v>0</v>
      </c>
      <c r="AS37" s="20">
        <f>IF(AS$7=12,SUM(AO36:AS36),0)</f>
        <v>0</v>
      </c>
      <c r="AT37" s="20">
        <f>IF(AT$7=12,SUM(AO36:AT36),0)</f>
        <v>0</v>
      </c>
      <c r="AU37" s="20">
        <f>IF(AU$7=12,SUM(AO36:AU36),0)</f>
        <v>0</v>
      </c>
      <c r="AV37" s="20">
        <f>IF(AV$7=12,SUM(AO36:AV36),0)</f>
        <v>0</v>
      </c>
      <c r="AW37" s="20">
        <f>IF(AW$7=12,SUM(AO36:AW36),0)</f>
        <v>0</v>
      </c>
      <c r="AX37" s="20">
        <f>IF(AX$7=12,SUM(AO36:AX36),0)</f>
        <v>0</v>
      </c>
      <c r="AY37" s="20">
        <f>IF(AY$7=12,SUM(AO36:AY36),0)</f>
        <v>0</v>
      </c>
      <c r="AZ37" s="20">
        <f>IF(AZ$7=12,SUM(AO36:AZ36),0)</f>
        <v>-4022434.8428116883</v>
      </c>
      <c r="BA37" s="20">
        <f>IF(BA$7=12,SUM(BA36:BA36),0)</f>
        <v>0</v>
      </c>
      <c r="BB37" s="20">
        <f>IF(BB$7=12,SUM(BA36:BB36),0)</f>
        <v>0</v>
      </c>
      <c r="BC37" s="20">
        <f>IF(BC$7=12,SUM(BA36:BC36),0)</f>
        <v>0</v>
      </c>
      <c r="BD37" s="20">
        <f>IF(BD$7=12,SUM(BA36:BD36),0)</f>
        <v>0</v>
      </c>
      <c r="BE37" s="20">
        <f>IF(BE$7=12,SUM(BA36:BE36),0)</f>
        <v>0</v>
      </c>
      <c r="BF37" s="20">
        <f>IF(BF$7=12,SUM(BA36:BF36),0)</f>
        <v>0</v>
      </c>
      <c r="BG37" s="20">
        <f>IF(BG$7=12,SUM(BA36:BG36),0)</f>
        <v>0</v>
      </c>
      <c r="BH37" s="20">
        <f>IF(BH$7=12,SUM(BA36:BH36),0)</f>
        <v>0</v>
      </c>
      <c r="BI37" s="20">
        <f>IF(BI$7=12,SUM(BA36:BI36),0)</f>
        <v>0</v>
      </c>
      <c r="BJ37" s="20">
        <f>IF(BJ$7=12,SUM(BA36:BJ36),0)</f>
        <v>0</v>
      </c>
      <c r="BK37" s="20">
        <f>IF(BK$7=12,SUM(BA36:BK36),0)</f>
        <v>0</v>
      </c>
      <c r="BL37" s="20">
        <f>IF(BL$7=12,SUM(BA36:BL36),0)</f>
        <v>-3703179.0685883504</v>
      </c>
    </row>
    <row r="38" spans="2:64" x14ac:dyDescent="0.35">
      <c r="B38" s="3" t="s">
        <v>427</v>
      </c>
      <c r="C38" s="18" t="s">
        <v>111</v>
      </c>
      <c r="D38" s="20">
        <f>BL38</f>
        <v>16358537.229213558</v>
      </c>
      <c r="E38" s="20">
        <f>IF(E$7=12,MAX(0,0-MAX(0,E37))+MAX(0,-E37),0)</f>
        <v>0</v>
      </c>
      <c r="F38" s="20">
        <f t="shared" ref="F38:AK38" si="26">IF(F$7=12,MAX(0,E38-MAX(0,F37))+MAX(0,-F37),E38)</f>
        <v>0</v>
      </c>
      <c r="G38" s="20">
        <f t="shared" si="26"/>
        <v>0</v>
      </c>
      <c r="H38" s="20">
        <f t="shared" si="26"/>
        <v>0</v>
      </c>
      <c r="I38" s="20">
        <f t="shared" si="26"/>
        <v>0</v>
      </c>
      <c r="J38" s="20">
        <f t="shared" si="26"/>
        <v>0</v>
      </c>
      <c r="K38" s="20">
        <f t="shared" si="26"/>
        <v>0</v>
      </c>
      <c r="L38" s="20">
        <f t="shared" si="26"/>
        <v>0</v>
      </c>
      <c r="M38" s="20">
        <f t="shared" si="26"/>
        <v>0</v>
      </c>
      <c r="N38" s="20">
        <f t="shared" si="26"/>
        <v>0</v>
      </c>
      <c r="O38" s="20">
        <f t="shared" si="26"/>
        <v>0</v>
      </c>
      <c r="P38" s="20">
        <f t="shared" si="26"/>
        <v>1523151.4322520401</v>
      </c>
      <c r="Q38" s="20">
        <f t="shared" si="26"/>
        <v>1523151.4322520401</v>
      </c>
      <c r="R38" s="20">
        <f t="shared" si="26"/>
        <v>1523151.4322520401</v>
      </c>
      <c r="S38" s="20">
        <f t="shared" si="26"/>
        <v>1523151.4322520401</v>
      </c>
      <c r="T38" s="20">
        <f t="shared" si="26"/>
        <v>1523151.4322520401</v>
      </c>
      <c r="U38" s="20">
        <f t="shared" si="26"/>
        <v>1523151.4322520401</v>
      </c>
      <c r="V38" s="20">
        <f t="shared" si="26"/>
        <v>1523151.4322520401</v>
      </c>
      <c r="W38" s="20">
        <f t="shared" si="26"/>
        <v>1523151.4322520401</v>
      </c>
      <c r="X38" s="20">
        <f t="shared" si="26"/>
        <v>1523151.4322520401</v>
      </c>
      <c r="Y38" s="20">
        <f t="shared" si="26"/>
        <v>1523151.4322520401</v>
      </c>
      <c r="Z38" s="20">
        <f t="shared" si="26"/>
        <v>1523151.4322520401</v>
      </c>
      <c r="AA38" s="20">
        <f t="shared" si="26"/>
        <v>1523151.4322520401</v>
      </c>
      <c r="AB38" s="20">
        <f t="shared" si="26"/>
        <v>4815810.5778297633</v>
      </c>
      <c r="AC38" s="20">
        <f t="shared" si="26"/>
        <v>4815810.5778297633</v>
      </c>
      <c r="AD38" s="20">
        <f t="shared" si="26"/>
        <v>4815810.5778297633</v>
      </c>
      <c r="AE38" s="20">
        <f t="shared" si="26"/>
        <v>4815810.5778297633</v>
      </c>
      <c r="AF38" s="20">
        <f t="shared" si="26"/>
        <v>4815810.5778297633</v>
      </c>
      <c r="AG38" s="20">
        <f t="shared" si="26"/>
        <v>4815810.5778297633</v>
      </c>
      <c r="AH38" s="20">
        <f t="shared" si="26"/>
        <v>4815810.5778297633</v>
      </c>
      <c r="AI38" s="20">
        <f t="shared" si="26"/>
        <v>4815810.5778297633</v>
      </c>
      <c r="AJ38" s="20">
        <f t="shared" si="26"/>
        <v>4815810.5778297633</v>
      </c>
      <c r="AK38" s="20">
        <f t="shared" si="26"/>
        <v>4815810.5778297633</v>
      </c>
      <c r="AL38" s="20">
        <f t="shared" ref="AL38:BQ38" si="27">IF(AL$7=12,MAX(0,AK38-MAX(0,AL37))+MAX(0,-AL37),AK38)</f>
        <v>4815810.5778297633</v>
      </c>
      <c r="AM38" s="20">
        <f t="shared" si="27"/>
        <v>4815810.5778297633</v>
      </c>
      <c r="AN38" s="20">
        <f t="shared" si="27"/>
        <v>8632923.3178135194</v>
      </c>
      <c r="AO38" s="20">
        <f t="shared" si="27"/>
        <v>8632923.3178135194</v>
      </c>
      <c r="AP38" s="20">
        <f t="shared" si="27"/>
        <v>8632923.3178135194</v>
      </c>
      <c r="AQ38" s="20">
        <f t="shared" si="27"/>
        <v>8632923.3178135194</v>
      </c>
      <c r="AR38" s="20">
        <f t="shared" si="27"/>
        <v>8632923.3178135194</v>
      </c>
      <c r="AS38" s="20">
        <f t="shared" si="27"/>
        <v>8632923.3178135194</v>
      </c>
      <c r="AT38" s="20">
        <f t="shared" si="27"/>
        <v>8632923.3178135194</v>
      </c>
      <c r="AU38" s="20">
        <f t="shared" si="27"/>
        <v>8632923.3178135194</v>
      </c>
      <c r="AV38" s="20">
        <f t="shared" si="27"/>
        <v>8632923.3178135194</v>
      </c>
      <c r="AW38" s="20">
        <f t="shared" si="27"/>
        <v>8632923.3178135194</v>
      </c>
      <c r="AX38" s="20">
        <f t="shared" si="27"/>
        <v>8632923.3178135194</v>
      </c>
      <c r="AY38" s="20">
        <f t="shared" si="27"/>
        <v>8632923.3178135194</v>
      </c>
      <c r="AZ38" s="20">
        <f t="shared" si="27"/>
        <v>12655358.160625208</v>
      </c>
      <c r="BA38" s="20">
        <f t="shared" si="27"/>
        <v>12655358.160625208</v>
      </c>
      <c r="BB38" s="20">
        <f t="shared" si="27"/>
        <v>12655358.160625208</v>
      </c>
      <c r="BC38" s="20">
        <f t="shared" si="27"/>
        <v>12655358.160625208</v>
      </c>
      <c r="BD38" s="20">
        <f t="shared" si="27"/>
        <v>12655358.160625208</v>
      </c>
      <c r="BE38" s="20">
        <f t="shared" si="27"/>
        <v>12655358.160625208</v>
      </c>
      <c r="BF38" s="20">
        <f t="shared" si="27"/>
        <v>12655358.160625208</v>
      </c>
      <c r="BG38" s="20">
        <f t="shared" si="27"/>
        <v>12655358.160625208</v>
      </c>
      <c r="BH38" s="20">
        <f t="shared" si="27"/>
        <v>12655358.160625208</v>
      </c>
      <c r="BI38" s="20">
        <f t="shared" si="27"/>
        <v>12655358.160625208</v>
      </c>
      <c r="BJ38" s="20">
        <f t="shared" si="27"/>
        <v>12655358.160625208</v>
      </c>
      <c r="BK38" s="20">
        <f t="shared" si="27"/>
        <v>12655358.160625208</v>
      </c>
      <c r="BL38" s="20">
        <f t="shared" si="27"/>
        <v>16358537.229213558</v>
      </c>
    </row>
    <row r="39" spans="2:64" x14ac:dyDescent="0.35">
      <c r="B39" s="3" t="s">
        <v>428</v>
      </c>
      <c r="C39" s="18" t="s">
        <v>111</v>
      </c>
      <c r="D39" s="20">
        <f>SUM(E39:BL39)</f>
        <v>0</v>
      </c>
      <c r="E39" s="20">
        <f>IF(E$7=12,MAX(0,E37-0),0)</f>
        <v>0</v>
      </c>
      <c r="F39" s="20">
        <f t="shared" ref="F39:AK39" si="28">IF(F$7=12,MAX(0,F37-E38),0)</f>
        <v>0</v>
      </c>
      <c r="G39" s="20">
        <f t="shared" si="28"/>
        <v>0</v>
      </c>
      <c r="H39" s="20">
        <f t="shared" si="28"/>
        <v>0</v>
      </c>
      <c r="I39" s="20">
        <f t="shared" si="28"/>
        <v>0</v>
      </c>
      <c r="J39" s="20">
        <f t="shared" si="28"/>
        <v>0</v>
      </c>
      <c r="K39" s="20">
        <f t="shared" si="28"/>
        <v>0</v>
      </c>
      <c r="L39" s="20">
        <f t="shared" si="28"/>
        <v>0</v>
      </c>
      <c r="M39" s="20">
        <f t="shared" si="28"/>
        <v>0</v>
      </c>
      <c r="N39" s="20">
        <f t="shared" si="28"/>
        <v>0</v>
      </c>
      <c r="O39" s="20">
        <f t="shared" si="28"/>
        <v>0</v>
      </c>
      <c r="P39" s="20">
        <f t="shared" si="28"/>
        <v>0</v>
      </c>
      <c r="Q39" s="20">
        <f t="shared" si="28"/>
        <v>0</v>
      </c>
      <c r="R39" s="20">
        <f t="shared" si="28"/>
        <v>0</v>
      </c>
      <c r="S39" s="20">
        <f t="shared" si="28"/>
        <v>0</v>
      </c>
      <c r="T39" s="20">
        <f t="shared" si="28"/>
        <v>0</v>
      </c>
      <c r="U39" s="20">
        <f t="shared" si="28"/>
        <v>0</v>
      </c>
      <c r="V39" s="20">
        <f t="shared" si="28"/>
        <v>0</v>
      </c>
      <c r="W39" s="20">
        <f t="shared" si="28"/>
        <v>0</v>
      </c>
      <c r="X39" s="20">
        <f t="shared" si="28"/>
        <v>0</v>
      </c>
      <c r="Y39" s="20">
        <f t="shared" si="28"/>
        <v>0</v>
      </c>
      <c r="Z39" s="20">
        <f t="shared" si="28"/>
        <v>0</v>
      </c>
      <c r="AA39" s="20">
        <f t="shared" si="28"/>
        <v>0</v>
      </c>
      <c r="AB39" s="20">
        <f t="shared" si="28"/>
        <v>0</v>
      </c>
      <c r="AC39" s="20">
        <f t="shared" si="28"/>
        <v>0</v>
      </c>
      <c r="AD39" s="20">
        <f t="shared" si="28"/>
        <v>0</v>
      </c>
      <c r="AE39" s="20">
        <f t="shared" si="28"/>
        <v>0</v>
      </c>
      <c r="AF39" s="20">
        <f t="shared" si="28"/>
        <v>0</v>
      </c>
      <c r="AG39" s="20">
        <f t="shared" si="28"/>
        <v>0</v>
      </c>
      <c r="AH39" s="20">
        <f t="shared" si="28"/>
        <v>0</v>
      </c>
      <c r="AI39" s="20">
        <f t="shared" si="28"/>
        <v>0</v>
      </c>
      <c r="AJ39" s="20">
        <f t="shared" si="28"/>
        <v>0</v>
      </c>
      <c r="AK39" s="20">
        <f t="shared" si="28"/>
        <v>0</v>
      </c>
      <c r="AL39" s="20">
        <f t="shared" ref="AL39:BL39" si="29">IF(AL$7=12,MAX(0,AL37-AK38),0)</f>
        <v>0</v>
      </c>
      <c r="AM39" s="20">
        <f t="shared" si="29"/>
        <v>0</v>
      </c>
      <c r="AN39" s="20">
        <f t="shared" si="29"/>
        <v>0</v>
      </c>
      <c r="AO39" s="20">
        <f t="shared" si="29"/>
        <v>0</v>
      </c>
      <c r="AP39" s="20">
        <f t="shared" si="29"/>
        <v>0</v>
      </c>
      <c r="AQ39" s="20">
        <f t="shared" si="29"/>
        <v>0</v>
      </c>
      <c r="AR39" s="20">
        <f t="shared" si="29"/>
        <v>0</v>
      </c>
      <c r="AS39" s="20">
        <f t="shared" si="29"/>
        <v>0</v>
      </c>
      <c r="AT39" s="20">
        <f t="shared" si="29"/>
        <v>0</v>
      </c>
      <c r="AU39" s="20">
        <f t="shared" si="29"/>
        <v>0</v>
      </c>
      <c r="AV39" s="20">
        <f t="shared" si="29"/>
        <v>0</v>
      </c>
      <c r="AW39" s="20">
        <f t="shared" si="29"/>
        <v>0</v>
      </c>
      <c r="AX39" s="20">
        <f t="shared" si="29"/>
        <v>0</v>
      </c>
      <c r="AY39" s="20">
        <f t="shared" si="29"/>
        <v>0</v>
      </c>
      <c r="AZ39" s="20">
        <f t="shared" si="29"/>
        <v>0</v>
      </c>
      <c r="BA39" s="20">
        <f t="shared" si="29"/>
        <v>0</v>
      </c>
      <c r="BB39" s="20">
        <f t="shared" si="29"/>
        <v>0</v>
      </c>
      <c r="BC39" s="20">
        <f t="shared" si="29"/>
        <v>0</v>
      </c>
      <c r="BD39" s="20">
        <f t="shared" si="29"/>
        <v>0</v>
      </c>
      <c r="BE39" s="20">
        <f t="shared" si="29"/>
        <v>0</v>
      </c>
      <c r="BF39" s="20">
        <f t="shared" si="29"/>
        <v>0</v>
      </c>
      <c r="BG39" s="20">
        <f t="shared" si="29"/>
        <v>0</v>
      </c>
      <c r="BH39" s="20">
        <f t="shared" si="29"/>
        <v>0</v>
      </c>
      <c r="BI39" s="20">
        <f t="shared" si="29"/>
        <v>0</v>
      </c>
      <c r="BJ39" s="20">
        <f t="shared" si="29"/>
        <v>0</v>
      </c>
      <c r="BK39" s="20">
        <f t="shared" si="29"/>
        <v>0</v>
      </c>
      <c r="BL39" s="20">
        <f t="shared" si="29"/>
        <v>0</v>
      </c>
    </row>
    <row r="40" spans="2:64" x14ac:dyDescent="0.35">
      <c r="B40" s="3" t="s">
        <v>294</v>
      </c>
      <c r="C40" s="18" t="s">
        <v>111</v>
      </c>
      <c r="D40" s="20">
        <f>SUM(E40:BL40)</f>
        <v>0</v>
      </c>
      <c r="E40" s="40">
        <f>Inputs!$F$71*E39</f>
        <v>0</v>
      </c>
      <c r="F40" s="40">
        <f>Inputs!$F$71*F39</f>
        <v>0</v>
      </c>
      <c r="G40" s="40">
        <f>Inputs!$F$71*G39</f>
        <v>0</v>
      </c>
      <c r="H40" s="40">
        <f>Inputs!$F$71*H39</f>
        <v>0</v>
      </c>
      <c r="I40" s="40">
        <f>Inputs!$F$71*I39</f>
        <v>0</v>
      </c>
      <c r="J40" s="40">
        <f>Inputs!$F$71*J39</f>
        <v>0</v>
      </c>
      <c r="K40" s="40">
        <f>Inputs!$F$71*K39</f>
        <v>0</v>
      </c>
      <c r="L40" s="40">
        <f>Inputs!$F$71*L39</f>
        <v>0</v>
      </c>
      <c r="M40" s="40">
        <f>Inputs!$F$71*M39</f>
        <v>0</v>
      </c>
      <c r="N40" s="40">
        <f>Inputs!$F$71*N39</f>
        <v>0</v>
      </c>
      <c r="O40" s="40">
        <f>Inputs!$F$71*O39</f>
        <v>0</v>
      </c>
      <c r="P40" s="40">
        <f>Inputs!$F$71*P39</f>
        <v>0</v>
      </c>
      <c r="Q40" s="40">
        <f>Inputs!$F$71*Q39</f>
        <v>0</v>
      </c>
      <c r="R40" s="40">
        <f>Inputs!$F$71*R39</f>
        <v>0</v>
      </c>
      <c r="S40" s="40">
        <f>Inputs!$F$71*S39</f>
        <v>0</v>
      </c>
      <c r="T40" s="40">
        <f>Inputs!$F$71*T39</f>
        <v>0</v>
      </c>
      <c r="U40" s="40">
        <f>Inputs!$F$71*U39</f>
        <v>0</v>
      </c>
      <c r="V40" s="40">
        <f>Inputs!$F$71*V39</f>
        <v>0</v>
      </c>
      <c r="W40" s="40">
        <f>Inputs!$F$71*W39</f>
        <v>0</v>
      </c>
      <c r="X40" s="40">
        <f>Inputs!$F$71*X39</f>
        <v>0</v>
      </c>
      <c r="Y40" s="40">
        <f>Inputs!$F$71*Y39</f>
        <v>0</v>
      </c>
      <c r="Z40" s="40">
        <f>Inputs!$F$71*Z39</f>
        <v>0</v>
      </c>
      <c r="AA40" s="40">
        <f>Inputs!$F$71*AA39</f>
        <v>0</v>
      </c>
      <c r="AB40" s="40">
        <f>Inputs!$F$71*AB39</f>
        <v>0</v>
      </c>
      <c r="AC40" s="40">
        <f>Inputs!$F$71*AC39</f>
        <v>0</v>
      </c>
      <c r="AD40" s="40">
        <f>Inputs!$F$71*AD39</f>
        <v>0</v>
      </c>
      <c r="AE40" s="40">
        <f>Inputs!$F$71*AE39</f>
        <v>0</v>
      </c>
      <c r="AF40" s="40">
        <f>Inputs!$F$71*AF39</f>
        <v>0</v>
      </c>
      <c r="AG40" s="40">
        <f>Inputs!$F$71*AG39</f>
        <v>0</v>
      </c>
      <c r="AH40" s="40">
        <f>Inputs!$F$71*AH39</f>
        <v>0</v>
      </c>
      <c r="AI40" s="40">
        <f>Inputs!$F$71*AI39</f>
        <v>0</v>
      </c>
      <c r="AJ40" s="40">
        <f>Inputs!$F$71*AJ39</f>
        <v>0</v>
      </c>
      <c r="AK40" s="40">
        <f>Inputs!$F$71*AK39</f>
        <v>0</v>
      </c>
      <c r="AL40" s="40">
        <f>Inputs!$F$71*AL39</f>
        <v>0</v>
      </c>
      <c r="AM40" s="40">
        <f>Inputs!$F$71*AM39</f>
        <v>0</v>
      </c>
      <c r="AN40" s="40">
        <f>Inputs!$F$71*AN39</f>
        <v>0</v>
      </c>
      <c r="AO40" s="40">
        <f>Inputs!$F$71*AO39</f>
        <v>0</v>
      </c>
      <c r="AP40" s="40">
        <f>Inputs!$F$71*AP39</f>
        <v>0</v>
      </c>
      <c r="AQ40" s="40">
        <f>Inputs!$F$71*AQ39</f>
        <v>0</v>
      </c>
      <c r="AR40" s="40">
        <f>Inputs!$F$71*AR39</f>
        <v>0</v>
      </c>
      <c r="AS40" s="40">
        <f>Inputs!$F$71*AS39</f>
        <v>0</v>
      </c>
      <c r="AT40" s="40">
        <f>Inputs!$F$71*AT39</f>
        <v>0</v>
      </c>
      <c r="AU40" s="40">
        <f>Inputs!$F$71*AU39</f>
        <v>0</v>
      </c>
      <c r="AV40" s="40">
        <f>Inputs!$F$71*AV39</f>
        <v>0</v>
      </c>
      <c r="AW40" s="40">
        <f>Inputs!$F$71*AW39</f>
        <v>0</v>
      </c>
      <c r="AX40" s="40">
        <f>Inputs!$F$71*AX39</f>
        <v>0</v>
      </c>
      <c r="AY40" s="40">
        <f>Inputs!$F$71*AY39</f>
        <v>0</v>
      </c>
      <c r="AZ40" s="40">
        <f>Inputs!$F$71*AZ39</f>
        <v>0</v>
      </c>
      <c r="BA40" s="40">
        <f>Inputs!$F$71*BA39</f>
        <v>0</v>
      </c>
      <c r="BB40" s="40">
        <f>Inputs!$F$71*BB39</f>
        <v>0</v>
      </c>
      <c r="BC40" s="40">
        <f>Inputs!$F$71*BC39</f>
        <v>0</v>
      </c>
      <c r="BD40" s="40">
        <f>Inputs!$F$71*BD39</f>
        <v>0</v>
      </c>
      <c r="BE40" s="40">
        <f>Inputs!$F$71*BE39</f>
        <v>0</v>
      </c>
      <c r="BF40" s="40">
        <f>Inputs!$F$71*BF39</f>
        <v>0</v>
      </c>
      <c r="BG40" s="40">
        <f>Inputs!$F$71*BG39</f>
        <v>0</v>
      </c>
      <c r="BH40" s="40">
        <f>Inputs!$F$71*BH39</f>
        <v>0</v>
      </c>
      <c r="BI40" s="40">
        <f>Inputs!$F$71*BI39</f>
        <v>0</v>
      </c>
      <c r="BJ40" s="40">
        <f>Inputs!$F$71*BJ39</f>
        <v>0</v>
      </c>
      <c r="BK40" s="40">
        <f>Inputs!$F$71*BK39</f>
        <v>0</v>
      </c>
      <c r="BL40" s="40">
        <f>Inputs!$F$71*BL39</f>
        <v>0</v>
      </c>
    </row>
    <row r="41" spans="2:64" x14ac:dyDescent="0.35">
      <c r="B41" s="4" t="s">
        <v>295</v>
      </c>
      <c r="C41" s="18" t="s">
        <v>111</v>
      </c>
      <c r="D41" s="56">
        <f>SUM(E41:BL41)</f>
        <v>-16358537.22921356</v>
      </c>
      <c r="E41" s="56">
        <f t="shared" ref="E41:AJ41" si="30">E36-E40</f>
        <v>-53384.447390003326</v>
      </c>
      <c r="F41" s="56">
        <f t="shared" si="30"/>
        <v>-59883.685449141005</v>
      </c>
      <c r="G41" s="56">
        <f t="shared" si="30"/>
        <v>-67650.466642355852</v>
      </c>
      <c r="H41" s="56">
        <f t="shared" si="30"/>
        <v>-105334.54683157426</v>
      </c>
      <c r="I41" s="56">
        <f t="shared" si="30"/>
        <v>-105235.30400143343</v>
      </c>
      <c r="J41" s="56">
        <f t="shared" si="30"/>
        <v>-96435.783948234122</v>
      </c>
      <c r="K41" s="56">
        <f t="shared" si="30"/>
        <v>-96634.381340206455</v>
      </c>
      <c r="L41" s="56">
        <f t="shared" si="30"/>
        <v>-172243.58382130973</v>
      </c>
      <c r="M41" s="56">
        <f t="shared" si="30"/>
        <v>-151250.15582423258</v>
      </c>
      <c r="N41" s="56">
        <f t="shared" si="30"/>
        <v>-204119.30921805309</v>
      </c>
      <c r="O41" s="56">
        <f t="shared" si="30"/>
        <v>-201747.9124576847</v>
      </c>
      <c r="P41" s="56">
        <f t="shared" si="30"/>
        <v>-209231.85532781156</v>
      </c>
      <c r="Q41" s="56">
        <f t="shared" si="30"/>
        <v>-237085.40578819183</v>
      </c>
      <c r="R41" s="56">
        <f t="shared" si="30"/>
        <v>-229124.91834392806</v>
      </c>
      <c r="S41" s="56">
        <f t="shared" si="30"/>
        <v>-229341.23480752838</v>
      </c>
      <c r="T41" s="56">
        <f t="shared" si="30"/>
        <v>-229556.94015420723</v>
      </c>
      <c r="U41" s="56">
        <f t="shared" si="30"/>
        <v>-229775.36965418357</v>
      </c>
      <c r="V41" s="56">
        <f t="shared" si="30"/>
        <v>-229994.11800965125</v>
      </c>
      <c r="W41" s="56">
        <f t="shared" si="30"/>
        <v>-479683.7422084359</v>
      </c>
      <c r="X41" s="56">
        <f t="shared" si="30"/>
        <v>-279461.50797935686</v>
      </c>
      <c r="Y41" s="56">
        <f t="shared" si="30"/>
        <v>-279916.11328790808</v>
      </c>
      <c r="Z41" s="56">
        <f t="shared" si="30"/>
        <v>-280380.04458282917</v>
      </c>
      <c r="AA41" s="56">
        <f t="shared" si="30"/>
        <v>-280837.26429491362</v>
      </c>
      <c r="AB41" s="56">
        <f t="shared" si="30"/>
        <v>-307502.48646658886</v>
      </c>
      <c r="AC41" s="56">
        <f t="shared" si="30"/>
        <v>-325298.58161337994</v>
      </c>
      <c r="AD41" s="56">
        <f t="shared" si="30"/>
        <v>-324262.13726930745</v>
      </c>
      <c r="AE41" s="56">
        <f t="shared" si="30"/>
        <v>-323161.81033635937</v>
      </c>
      <c r="AF41" s="56">
        <f t="shared" si="30"/>
        <v>-321990.97819904325</v>
      </c>
      <c r="AG41" s="56">
        <f t="shared" si="30"/>
        <v>-320742.01028353535</v>
      </c>
      <c r="AH41" s="56">
        <f t="shared" si="30"/>
        <v>-319406.70133196778</v>
      </c>
      <c r="AI41" s="56">
        <f t="shared" si="30"/>
        <v>-317975.65619143104</v>
      </c>
      <c r="AJ41" s="56">
        <f t="shared" si="30"/>
        <v>-316438.70155206317</v>
      </c>
      <c r="AK41" s="56">
        <f t="shared" ref="AK41:BP41" si="31">AK36-AK40</f>
        <v>-314784.24659033568</v>
      </c>
      <c r="AL41" s="56">
        <f t="shared" si="31"/>
        <v>-312999.66763004294</v>
      </c>
      <c r="AM41" s="56">
        <f t="shared" si="31"/>
        <v>-311070.63841501693</v>
      </c>
      <c r="AN41" s="56">
        <f t="shared" si="31"/>
        <v>-308981.61057127378</v>
      </c>
      <c r="AO41" s="56">
        <f t="shared" si="31"/>
        <v>-347260.42791615444</v>
      </c>
      <c r="AP41" s="56">
        <f t="shared" si="31"/>
        <v>-345694.18513284449</v>
      </c>
      <c r="AQ41" s="56">
        <f t="shared" si="31"/>
        <v>-343976.8013562737</v>
      </c>
      <c r="AR41" s="56">
        <f t="shared" si="31"/>
        <v>-342094.43154868751</v>
      </c>
      <c r="AS41" s="56">
        <f t="shared" si="31"/>
        <v>-340031.87251640303</v>
      </c>
      <c r="AT41" s="56">
        <f t="shared" si="31"/>
        <v>-337772.42598827905</v>
      </c>
      <c r="AU41" s="56">
        <f t="shared" si="31"/>
        <v>-335297.74775128951</v>
      </c>
      <c r="AV41" s="56">
        <f t="shared" si="31"/>
        <v>-332587.6814181073</v>
      </c>
      <c r="AW41" s="56">
        <f t="shared" si="31"/>
        <v>-329620.07525574404</v>
      </c>
      <c r="AX41" s="56">
        <f t="shared" si="31"/>
        <v>-326370.58034349629</v>
      </c>
      <c r="AY41" s="56">
        <f t="shared" si="31"/>
        <v>-322812.42815118097</v>
      </c>
      <c r="AZ41" s="56">
        <f t="shared" si="31"/>
        <v>-318916.18543322809</v>
      </c>
      <c r="BA41" s="56">
        <f t="shared" si="31"/>
        <v>-323099.92272363283</v>
      </c>
      <c r="BB41" s="56">
        <f t="shared" si="31"/>
        <v>-320862.91274714214</v>
      </c>
      <c r="BC41" s="56">
        <f t="shared" si="31"/>
        <v>-318516.61724164645</v>
      </c>
      <c r="BD41" s="56">
        <f t="shared" si="31"/>
        <v>-316056.62363762251</v>
      </c>
      <c r="BE41" s="56">
        <f t="shared" si="31"/>
        <v>-313478.33869926614</v>
      </c>
      <c r="BF41" s="56">
        <f t="shared" si="31"/>
        <v>-310776.98099230556</v>
      </c>
      <c r="BG41" s="56">
        <f t="shared" si="31"/>
        <v>-307947.5730324036</v>
      </c>
      <c r="BH41" s="56">
        <f t="shared" si="31"/>
        <v>-304984.93310039397</v>
      </c>
      <c r="BI41" s="56">
        <f t="shared" si="31"/>
        <v>-301883.66670999239</v>
      </c>
      <c r="BJ41" s="56">
        <f t="shared" si="31"/>
        <v>-298638.15771299577</v>
      </c>
      <c r="BK41" s="56">
        <f t="shared" si="31"/>
        <v>-295242.55902633007</v>
      </c>
      <c r="BL41" s="56">
        <f t="shared" si="31"/>
        <v>-291690.78296461905</v>
      </c>
    </row>
    <row r="42" spans="2:64" x14ac:dyDescent="0.35">
      <c r="B42" s="16" t="s">
        <v>296</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row>
    <row r="43" spans="2:64" x14ac:dyDescent="0.35">
      <c r="B43" s="3" t="s">
        <v>297</v>
      </c>
      <c r="C43" s="18" t="s">
        <v>111</v>
      </c>
      <c r="D43" s="20">
        <f>SUM(E43:BL43)</f>
        <v>-16312669.173658002</v>
      </c>
      <c r="E43" s="20">
        <f t="shared" ref="E43:AJ43" si="32">E28+E35-E40</f>
        <v>-53309.215908521845</v>
      </c>
      <c r="F43" s="20">
        <f t="shared" si="32"/>
        <v>-59733.222486178041</v>
      </c>
      <c r="G43" s="20">
        <f t="shared" si="32"/>
        <v>-67424.772197911414</v>
      </c>
      <c r="H43" s="20">
        <f t="shared" si="32"/>
        <v>-105033.62090564833</v>
      </c>
      <c r="I43" s="20">
        <f t="shared" si="32"/>
        <v>-104859.14659402602</v>
      </c>
      <c r="J43" s="20">
        <f t="shared" si="32"/>
        <v>-95984.395059345232</v>
      </c>
      <c r="K43" s="20">
        <f t="shared" si="32"/>
        <v>-96107.76096983609</v>
      </c>
      <c r="L43" s="20">
        <f t="shared" si="32"/>
        <v>-171641.73196945788</v>
      </c>
      <c r="M43" s="20">
        <f t="shared" si="32"/>
        <v>-150573.07249089924</v>
      </c>
      <c r="N43" s="20">
        <f t="shared" si="32"/>
        <v>-203366.99440323829</v>
      </c>
      <c r="O43" s="20">
        <f t="shared" si="32"/>
        <v>-200920.3661613884</v>
      </c>
      <c r="P43" s="20">
        <f t="shared" si="32"/>
        <v>-208329.07755003378</v>
      </c>
      <c r="Q43" s="20">
        <f t="shared" si="32"/>
        <v>-236165.26689930295</v>
      </c>
      <c r="R43" s="20">
        <f t="shared" si="32"/>
        <v>-228187.41834392806</v>
      </c>
      <c r="S43" s="20">
        <f t="shared" si="32"/>
        <v>-228386.37369641726</v>
      </c>
      <c r="T43" s="20">
        <f t="shared" si="32"/>
        <v>-228584.71793198501</v>
      </c>
      <c r="U43" s="20">
        <f t="shared" si="32"/>
        <v>-228785.78632085022</v>
      </c>
      <c r="V43" s="20">
        <f t="shared" si="32"/>
        <v>-228987.17356520682</v>
      </c>
      <c r="W43" s="20">
        <f t="shared" si="32"/>
        <v>-478659.43665288034</v>
      </c>
      <c r="X43" s="20">
        <f t="shared" si="32"/>
        <v>-278419.84131269017</v>
      </c>
      <c r="Y43" s="20">
        <f t="shared" si="32"/>
        <v>-278857.08551013033</v>
      </c>
      <c r="Z43" s="20">
        <f t="shared" si="32"/>
        <v>-279303.65569394029</v>
      </c>
      <c r="AA43" s="20">
        <f t="shared" si="32"/>
        <v>-279743.51429491362</v>
      </c>
      <c r="AB43" s="20">
        <f t="shared" si="32"/>
        <v>-306391.37535547774</v>
      </c>
      <c r="AC43" s="20">
        <f t="shared" si="32"/>
        <v>-324187.47050226881</v>
      </c>
      <c r="AD43" s="20">
        <f t="shared" si="32"/>
        <v>-323151.02615819633</v>
      </c>
      <c r="AE43" s="20">
        <f t="shared" si="32"/>
        <v>-322050.69922524825</v>
      </c>
      <c r="AF43" s="20">
        <f t="shared" si="32"/>
        <v>-320879.86708793213</v>
      </c>
      <c r="AG43" s="20">
        <f t="shared" si="32"/>
        <v>-319630.89917242422</v>
      </c>
      <c r="AH43" s="20">
        <f t="shared" si="32"/>
        <v>-318295.59022085665</v>
      </c>
      <c r="AI43" s="20">
        <f t="shared" si="32"/>
        <v>-316864.54508031992</v>
      </c>
      <c r="AJ43" s="20">
        <f t="shared" si="32"/>
        <v>-315327.59044095204</v>
      </c>
      <c r="AK43" s="20">
        <f t="shared" ref="AK43:BL43" si="33">AK28+AK35-AK40</f>
        <v>-313673.13547922455</v>
      </c>
      <c r="AL43" s="20">
        <f t="shared" si="33"/>
        <v>-311888.55651893181</v>
      </c>
      <c r="AM43" s="20">
        <f t="shared" si="33"/>
        <v>-309959.52730390581</v>
      </c>
      <c r="AN43" s="20">
        <f t="shared" si="33"/>
        <v>-307870.49946016265</v>
      </c>
      <c r="AO43" s="20">
        <f t="shared" si="33"/>
        <v>-346224.54828652483</v>
      </c>
      <c r="AP43" s="20">
        <f t="shared" si="33"/>
        <v>-344733.53698469634</v>
      </c>
      <c r="AQ43" s="20">
        <f t="shared" si="33"/>
        <v>-343091.38468960702</v>
      </c>
      <c r="AR43" s="20">
        <f t="shared" si="33"/>
        <v>-341284.24636350235</v>
      </c>
      <c r="AS43" s="20">
        <f t="shared" si="33"/>
        <v>-339296.91881269932</v>
      </c>
      <c r="AT43" s="20">
        <f t="shared" si="33"/>
        <v>-337112.7037660568</v>
      </c>
      <c r="AU43" s="20">
        <f t="shared" si="33"/>
        <v>-334713.25701054878</v>
      </c>
      <c r="AV43" s="20">
        <f t="shared" si="33"/>
        <v>-332078.42215884803</v>
      </c>
      <c r="AW43" s="20">
        <f t="shared" si="33"/>
        <v>-329186.04747796629</v>
      </c>
      <c r="AX43" s="20">
        <f t="shared" si="33"/>
        <v>-326011.7840472</v>
      </c>
      <c r="AY43" s="20">
        <f t="shared" si="33"/>
        <v>-322528.86333636614</v>
      </c>
      <c r="AZ43" s="20">
        <f t="shared" si="33"/>
        <v>-318707.85209989478</v>
      </c>
      <c r="BA43" s="20">
        <f t="shared" si="33"/>
        <v>-322833.71901992912</v>
      </c>
      <c r="BB43" s="20">
        <f t="shared" si="33"/>
        <v>-320538.83867306804</v>
      </c>
      <c r="BC43" s="20">
        <f t="shared" si="33"/>
        <v>-318134.67279720202</v>
      </c>
      <c r="BD43" s="20">
        <f t="shared" si="33"/>
        <v>-315616.80882280768</v>
      </c>
      <c r="BE43" s="20">
        <f t="shared" si="33"/>
        <v>-312980.65351408097</v>
      </c>
      <c r="BF43" s="20">
        <f t="shared" si="33"/>
        <v>-310221.42543675</v>
      </c>
      <c r="BG43" s="20">
        <f t="shared" si="33"/>
        <v>-307334.1471064777</v>
      </c>
      <c r="BH43" s="20">
        <f t="shared" si="33"/>
        <v>-304313.63680409768</v>
      </c>
      <c r="BI43" s="20">
        <f t="shared" si="33"/>
        <v>-301154.50004332571</v>
      </c>
      <c r="BJ43" s="20">
        <f t="shared" si="33"/>
        <v>-297851.12067595875</v>
      </c>
      <c r="BK43" s="20">
        <f t="shared" si="33"/>
        <v>-294397.65161892265</v>
      </c>
      <c r="BL43" s="20">
        <f t="shared" si="33"/>
        <v>-290788.0051868413</v>
      </c>
    </row>
    <row r="44" spans="2:64" x14ac:dyDescent="0.35">
      <c r="B44" s="3" t="s">
        <v>298</v>
      </c>
      <c r="C44" s="18" t="s">
        <v>111</v>
      </c>
      <c r="D44" s="20">
        <f>SUM(E44:BL44)</f>
        <v>-72500.000000000015</v>
      </c>
      <c r="E44" s="20">
        <f t="shared" ref="E44:AJ44" si="34">-E30</f>
        <v>-2708.3333333333335</v>
      </c>
      <c r="F44" s="20">
        <f t="shared" si="34"/>
        <v>-2708.3333333333335</v>
      </c>
      <c r="G44" s="20">
        <f t="shared" si="34"/>
        <v>-2708.3333333333335</v>
      </c>
      <c r="H44" s="20">
        <f t="shared" si="34"/>
        <v>-2708.3333333333335</v>
      </c>
      <c r="I44" s="20">
        <f t="shared" si="34"/>
        <v>-2708.3333333333335</v>
      </c>
      <c r="J44" s="20">
        <f t="shared" si="34"/>
        <v>-2708.3333333333335</v>
      </c>
      <c r="K44" s="20">
        <f t="shared" si="34"/>
        <v>-2708.3333333333335</v>
      </c>
      <c r="L44" s="20">
        <f t="shared" si="34"/>
        <v>-2708.3333333333335</v>
      </c>
      <c r="M44" s="20">
        <f t="shared" si="34"/>
        <v>-2708.3333333333335</v>
      </c>
      <c r="N44" s="20">
        <f t="shared" si="34"/>
        <v>-2708.3333333333335</v>
      </c>
      <c r="O44" s="20">
        <f t="shared" si="34"/>
        <v>-2708.3333333333335</v>
      </c>
      <c r="P44" s="20">
        <f t="shared" si="34"/>
        <v>-2708.3333333333335</v>
      </c>
      <c r="Q44" s="20">
        <f t="shared" si="34"/>
        <v>-625</v>
      </c>
      <c r="R44" s="20">
        <f t="shared" si="34"/>
        <v>-625</v>
      </c>
      <c r="S44" s="20">
        <f t="shared" si="34"/>
        <v>-625</v>
      </c>
      <c r="T44" s="20">
        <f t="shared" si="34"/>
        <v>-625</v>
      </c>
      <c r="U44" s="20">
        <f t="shared" si="34"/>
        <v>-625</v>
      </c>
      <c r="V44" s="20">
        <f t="shared" si="34"/>
        <v>-625</v>
      </c>
      <c r="W44" s="20">
        <f t="shared" si="34"/>
        <v>-625</v>
      </c>
      <c r="X44" s="20">
        <f t="shared" si="34"/>
        <v>-625</v>
      </c>
      <c r="Y44" s="20">
        <f t="shared" si="34"/>
        <v>-625</v>
      </c>
      <c r="Z44" s="20">
        <f t="shared" si="34"/>
        <v>-625</v>
      </c>
      <c r="AA44" s="20">
        <f t="shared" si="34"/>
        <v>-625</v>
      </c>
      <c r="AB44" s="20">
        <f t="shared" si="34"/>
        <v>-625</v>
      </c>
      <c r="AC44" s="20">
        <f t="shared" si="34"/>
        <v>0</v>
      </c>
      <c r="AD44" s="20">
        <f t="shared" si="34"/>
        <v>0</v>
      </c>
      <c r="AE44" s="20">
        <f t="shared" si="34"/>
        <v>0</v>
      </c>
      <c r="AF44" s="20">
        <f t="shared" si="34"/>
        <v>0</v>
      </c>
      <c r="AG44" s="20">
        <f t="shared" si="34"/>
        <v>0</v>
      </c>
      <c r="AH44" s="20">
        <f t="shared" si="34"/>
        <v>0</v>
      </c>
      <c r="AI44" s="20">
        <f t="shared" si="34"/>
        <v>0</v>
      </c>
      <c r="AJ44" s="20">
        <f t="shared" si="34"/>
        <v>0</v>
      </c>
      <c r="AK44" s="20">
        <f t="shared" ref="AK44:BL44" si="35">-AK30</f>
        <v>0</v>
      </c>
      <c r="AL44" s="20">
        <f t="shared" si="35"/>
        <v>0</v>
      </c>
      <c r="AM44" s="20">
        <f t="shared" si="35"/>
        <v>0</v>
      </c>
      <c r="AN44" s="20">
        <f t="shared" si="35"/>
        <v>0</v>
      </c>
      <c r="AO44" s="20">
        <f t="shared" si="35"/>
        <v>0</v>
      </c>
      <c r="AP44" s="20">
        <f t="shared" si="35"/>
        <v>0</v>
      </c>
      <c r="AQ44" s="20">
        <f t="shared" si="35"/>
        <v>0</v>
      </c>
      <c r="AR44" s="20">
        <f t="shared" si="35"/>
        <v>0</v>
      </c>
      <c r="AS44" s="20">
        <f t="shared" si="35"/>
        <v>0</v>
      </c>
      <c r="AT44" s="20">
        <f t="shared" si="35"/>
        <v>0</v>
      </c>
      <c r="AU44" s="20">
        <f t="shared" si="35"/>
        <v>0</v>
      </c>
      <c r="AV44" s="20">
        <f t="shared" si="35"/>
        <v>0</v>
      </c>
      <c r="AW44" s="20">
        <f t="shared" si="35"/>
        <v>0</v>
      </c>
      <c r="AX44" s="20">
        <f t="shared" si="35"/>
        <v>0</v>
      </c>
      <c r="AY44" s="20">
        <f t="shared" si="35"/>
        <v>0</v>
      </c>
      <c r="AZ44" s="20">
        <f t="shared" si="35"/>
        <v>0</v>
      </c>
      <c r="BA44" s="20">
        <f t="shared" si="35"/>
        <v>-2708.3333333333335</v>
      </c>
      <c r="BB44" s="20">
        <f t="shared" si="35"/>
        <v>-2708.3333333333335</v>
      </c>
      <c r="BC44" s="20">
        <f t="shared" si="35"/>
        <v>-2708.3333333333335</v>
      </c>
      <c r="BD44" s="20">
        <f t="shared" si="35"/>
        <v>-2708.3333333333335</v>
      </c>
      <c r="BE44" s="20">
        <f t="shared" si="35"/>
        <v>-2708.3333333333335</v>
      </c>
      <c r="BF44" s="20">
        <f t="shared" si="35"/>
        <v>-2708.3333333333335</v>
      </c>
      <c r="BG44" s="20">
        <f t="shared" si="35"/>
        <v>-2708.3333333333335</v>
      </c>
      <c r="BH44" s="20">
        <f t="shared" si="35"/>
        <v>-2708.3333333333335</v>
      </c>
      <c r="BI44" s="20">
        <f t="shared" si="35"/>
        <v>-2708.3333333333335</v>
      </c>
      <c r="BJ44" s="20">
        <f t="shared" si="35"/>
        <v>-2708.3333333333335</v>
      </c>
      <c r="BK44" s="20">
        <f t="shared" si="35"/>
        <v>-2708.3333333333335</v>
      </c>
      <c r="BL44" s="20">
        <f t="shared" si="35"/>
        <v>-2708.3333333333335</v>
      </c>
    </row>
    <row r="45" spans="2:64" x14ac:dyDescent="0.35">
      <c r="B45" s="3" t="s">
        <v>299</v>
      </c>
      <c r="C45" s="18" t="s">
        <v>111</v>
      </c>
      <c r="D45" s="20">
        <f>SUM(E45:BL45)</f>
        <v>17000000</v>
      </c>
      <c r="E45" s="40">
        <f>IF(Inputs!$F$73=E$4,Inputs!$F$74,0)+IF(Inputs!$F$76=E$4,Inputs!$F$77,0)+IF(Inputs!$F$79=E$4,Inputs!$F$80,0)+IF(Inputs!$F$82=E$4,Inputs!$F$83,0)</f>
        <v>1000000</v>
      </c>
      <c r="F45" s="40">
        <f>IF(Inputs!$F$73=F$4,Inputs!$F$74,0)+IF(Inputs!$F$76=F$4,Inputs!$F$77,0)+IF(Inputs!$F$79=F$4,Inputs!$F$80,0)+IF(Inputs!$F$82=F$4,Inputs!$F$83,0)</f>
        <v>0</v>
      </c>
      <c r="G45" s="40">
        <f>IF(Inputs!$F$73=G$4,Inputs!$F$74,0)+IF(Inputs!$F$76=G$4,Inputs!$F$77,0)+IF(Inputs!$F$79=G$4,Inputs!$F$80,0)+IF(Inputs!$F$82=G$4,Inputs!$F$83,0)</f>
        <v>0</v>
      </c>
      <c r="H45" s="40">
        <f>IF(Inputs!$F$73=H$4,Inputs!$F$74,0)+IF(Inputs!$F$76=H$4,Inputs!$F$77,0)+IF(Inputs!$F$79=H$4,Inputs!$F$80,0)+IF(Inputs!$F$82=H$4,Inputs!$F$83,0)</f>
        <v>0</v>
      </c>
      <c r="I45" s="40">
        <f>IF(Inputs!$F$73=I$4,Inputs!$F$74,0)+IF(Inputs!$F$76=I$4,Inputs!$F$77,0)+IF(Inputs!$F$79=I$4,Inputs!$F$80,0)+IF(Inputs!$F$82=I$4,Inputs!$F$83,0)</f>
        <v>0</v>
      </c>
      <c r="J45" s="40">
        <f>IF(Inputs!$F$73=J$4,Inputs!$F$74,0)+IF(Inputs!$F$76=J$4,Inputs!$F$77,0)+IF(Inputs!$F$79=J$4,Inputs!$F$80,0)+IF(Inputs!$F$82=J$4,Inputs!$F$83,0)</f>
        <v>0</v>
      </c>
      <c r="K45" s="40">
        <f>IF(Inputs!$F$73=K$4,Inputs!$F$74,0)+IF(Inputs!$F$76=K$4,Inputs!$F$77,0)+IF(Inputs!$F$79=K$4,Inputs!$F$80,0)+IF(Inputs!$F$82=K$4,Inputs!$F$83,0)</f>
        <v>0</v>
      </c>
      <c r="L45" s="40">
        <f>IF(Inputs!$F$73=L$4,Inputs!$F$74,0)+IF(Inputs!$F$76=L$4,Inputs!$F$77,0)+IF(Inputs!$F$79=L$4,Inputs!$F$80,0)+IF(Inputs!$F$82=L$4,Inputs!$F$83,0)</f>
        <v>4000000</v>
      </c>
      <c r="M45" s="40">
        <f>IF(Inputs!$F$73=M$4,Inputs!$F$74,0)+IF(Inputs!$F$76=M$4,Inputs!$F$77,0)+IF(Inputs!$F$79=M$4,Inputs!$F$80,0)+IF(Inputs!$F$82=M$4,Inputs!$F$83,0)</f>
        <v>0</v>
      </c>
      <c r="N45" s="40">
        <f>IF(Inputs!$F$73=N$4,Inputs!$F$74,0)+IF(Inputs!$F$76=N$4,Inputs!$F$77,0)+IF(Inputs!$F$79=N$4,Inputs!$F$80,0)+IF(Inputs!$F$82=N$4,Inputs!$F$83,0)</f>
        <v>0</v>
      </c>
      <c r="O45" s="40">
        <f>IF(Inputs!$F$73=O$4,Inputs!$F$74,0)+IF(Inputs!$F$76=O$4,Inputs!$F$77,0)+IF(Inputs!$F$79=O$4,Inputs!$F$80,0)+IF(Inputs!$F$82=O$4,Inputs!$F$83,0)</f>
        <v>0</v>
      </c>
      <c r="P45" s="40">
        <f>IF(Inputs!$F$73=P$4,Inputs!$F$74,0)+IF(Inputs!$F$76=P$4,Inputs!$F$77,0)+IF(Inputs!$F$79=P$4,Inputs!$F$80,0)+IF(Inputs!$F$82=P$4,Inputs!$F$83,0)</f>
        <v>0</v>
      </c>
      <c r="Q45" s="40">
        <f>IF(Inputs!$F$73=Q$4,Inputs!$F$74,0)+IF(Inputs!$F$76=Q$4,Inputs!$F$77,0)+IF(Inputs!$F$79=Q$4,Inputs!$F$80,0)+IF(Inputs!$F$82=Q$4,Inputs!$F$83,0)</f>
        <v>0</v>
      </c>
      <c r="R45" s="40">
        <f>IF(Inputs!$F$73=R$4,Inputs!$F$74,0)+IF(Inputs!$F$76=R$4,Inputs!$F$77,0)+IF(Inputs!$F$79=R$4,Inputs!$F$80,0)+IF(Inputs!$F$82=R$4,Inputs!$F$83,0)</f>
        <v>0</v>
      </c>
      <c r="S45" s="40">
        <f>IF(Inputs!$F$73=S$4,Inputs!$F$74,0)+IF(Inputs!$F$76=S$4,Inputs!$F$77,0)+IF(Inputs!$F$79=S$4,Inputs!$F$80,0)+IF(Inputs!$F$82=S$4,Inputs!$F$83,0)</f>
        <v>0</v>
      </c>
      <c r="T45" s="40">
        <f>IF(Inputs!$F$73=T$4,Inputs!$F$74,0)+IF(Inputs!$F$76=T$4,Inputs!$F$77,0)+IF(Inputs!$F$79=T$4,Inputs!$F$80,0)+IF(Inputs!$F$82=T$4,Inputs!$F$83,0)</f>
        <v>0</v>
      </c>
      <c r="U45" s="40">
        <f>IF(Inputs!$F$73=U$4,Inputs!$F$74,0)+IF(Inputs!$F$76=U$4,Inputs!$F$77,0)+IF(Inputs!$F$79=U$4,Inputs!$F$80,0)+IF(Inputs!$F$82=U$4,Inputs!$F$83,0)</f>
        <v>0</v>
      </c>
      <c r="V45" s="40">
        <f>IF(Inputs!$F$73=V$4,Inputs!$F$74,0)+IF(Inputs!$F$76=V$4,Inputs!$F$77,0)+IF(Inputs!$F$79=V$4,Inputs!$F$80,0)+IF(Inputs!$F$82=V$4,Inputs!$F$83,0)</f>
        <v>0</v>
      </c>
      <c r="W45" s="40">
        <f>IF(Inputs!$F$73=W$4,Inputs!$F$74,0)+IF(Inputs!$F$76=W$4,Inputs!$F$77,0)+IF(Inputs!$F$79=W$4,Inputs!$F$80,0)+IF(Inputs!$F$82=W$4,Inputs!$F$83,0)</f>
        <v>12000000</v>
      </c>
      <c r="X45" s="40">
        <f>IF(Inputs!$F$73=X$4,Inputs!$F$74,0)+IF(Inputs!$F$76=X$4,Inputs!$F$77,0)+IF(Inputs!$F$79=X$4,Inputs!$F$80,0)+IF(Inputs!$F$82=X$4,Inputs!$F$83,0)</f>
        <v>0</v>
      </c>
      <c r="Y45" s="40">
        <f>IF(Inputs!$F$73=Y$4,Inputs!$F$74,0)+IF(Inputs!$F$76=Y$4,Inputs!$F$77,0)+IF(Inputs!$F$79=Y$4,Inputs!$F$80,0)+IF(Inputs!$F$82=Y$4,Inputs!$F$83,0)</f>
        <v>0</v>
      </c>
      <c r="Z45" s="40">
        <f>IF(Inputs!$F$73=Z$4,Inputs!$F$74,0)+IF(Inputs!$F$76=Z$4,Inputs!$F$77,0)+IF(Inputs!$F$79=Z$4,Inputs!$F$80,0)+IF(Inputs!$F$82=Z$4,Inputs!$F$83,0)</f>
        <v>0</v>
      </c>
      <c r="AA45" s="40">
        <f>IF(Inputs!$F$73=AA$4,Inputs!$F$74,0)+IF(Inputs!$F$76=AA$4,Inputs!$F$77,0)+IF(Inputs!$F$79=AA$4,Inputs!$F$80,0)+IF(Inputs!$F$82=AA$4,Inputs!$F$83,0)</f>
        <v>0</v>
      </c>
      <c r="AB45" s="40">
        <f>IF(Inputs!$F$73=AB$4,Inputs!$F$74,0)+IF(Inputs!$F$76=AB$4,Inputs!$F$77,0)+IF(Inputs!$F$79=AB$4,Inputs!$F$80,0)+IF(Inputs!$F$82=AB$4,Inputs!$F$83,0)</f>
        <v>0</v>
      </c>
      <c r="AC45" s="40">
        <f>IF(Inputs!$F$73=AC$4,Inputs!$F$74,0)+IF(Inputs!$F$76=AC$4,Inputs!$F$77,0)+IF(Inputs!$F$79=AC$4,Inputs!$F$80,0)+IF(Inputs!$F$82=AC$4,Inputs!$F$83,0)</f>
        <v>0</v>
      </c>
      <c r="AD45" s="40">
        <f>IF(Inputs!$F$73=AD$4,Inputs!$F$74,0)+IF(Inputs!$F$76=AD$4,Inputs!$F$77,0)+IF(Inputs!$F$79=AD$4,Inputs!$F$80,0)+IF(Inputs!$F$82=AD$4,Inputs!$F$83,0)</f>
        <v>0</v>
      </c>
      <c r="AE45" s="40">
        <f>IF(Inputs!$F$73=AE$4,Inputs!$F$74,0)+IF(Inputs!$F$76=AE$4,Inputs!$F$77,0)+IF(Inputs!$F$79=AE$4,Inputs!$F$80,0)+IF(Inputs!$F$82=AE$4,Inputs!$F$83,0)</f>
        <v>0</v>
      </c>
      <c r="AF45" s="40">
        <f>IF(Inputs!$F$73=AF$4,Inputs!$F$74,0)+IF(Inputs!$F$76=AF$4,Inputs!$F$77,0)+IF(Inputs!$F$79=AF$4,Inputs!$F$80,0)+IF(Inputs!$F$82=AF$4,Inputs!$F$83,0)</f>
        <v>0</v>
      </c>
      <c r="AG45" s="40">
        <f>IF(Inputs!$F$73=AG$4,Inputs!$F$74,0)+IF(Inputs!$F$76=AG$4,Inputs!$F$77,0)+IF(Inputs!$F$79=AG$4,Inputs!$F$80,0)+IF(Inputs!$F$82=AG$4,Inputs!$F$83,0)</f>
        <v>0</v>
      </c>
      <c r="AH45" s="40">
        <f>IF(Inputs!$F$73=AH$4,Inputs!$F$74,0)+IF(Inputs!$F$76=AH$4,Inputs!$F$77,0)+IF(Inputs!$F$79=AH$4,Inputs!$F$80,0)+IF(Inputs!$F$82=AH$4,Inputs!$F$83,0)</f>
        <v>0</v>
      </c>
      <c r="AI45" s="40">
        <f>IF(Inputs!$F$73=AI$4,Inputs!$F$74,0)+IF(Inputs!$F$76=AI$4,Inputs!$F$77,0)+IF(Inputs!$F$79=AI$4,Inputs!$F$80,0)+IF(Inputs!$F$82=AI$4,Inputs!$F$83,0)</f>
        <v>0</v>
      </c>
      <c r="AJ45" s="40">
        <f>IF(Inputs!$F$73=AJ$4,Inputs!$F$74,0)+IF(Inputs!$F$76=AJ$4,Inputs!$F$77,0)+IF(Inputs!$F$79=AJ$4,Inputs!$F$80,0)+IF(Inputs!$F$82=AJ$4,Inputs!$F$83,0)</f>
        <v>0</v>
      </c>
      <c r="AK45" s="40">
        <f>IF(Inputs!$F$73=AK$4,Inputs!$F$74,0)+IF(Inputs!$F$76=AK$4,Inputs!$F$77,0)+IF(Inputs!$F$79=AK$4,Inputs!$F$80,0)+IF(Inputs!$F$82=AK$4,Inputs!$F$83,0)</f>
        <v>0</v>
      </c>
      <c r="AL45" s="40">
        <f>IF(Inputs!$F$73=AL$4,Inputs!$F$74,0)+IF(Inputs!$F$76=AL$4,Inputs!$F$77,0)+IF(Inputs!$F$79=AL$4,Inputs!$F$80,0)+IF(Inputs!$F$82=AL$4,Inputs!$F$83,0)</f>
        <v>0</v>
      </c>
      <c r="AM45" s="40">
        <f>IF(Inputs!$F$73=AM$4,Inputs!$F$74,0)+IF(Inputs!$F$76=AM$4,Inputs!$F$77,0)+IF(Inputs!$F$79=AM$4,Inputs!$F$80,0)+IF(Inputs!$F$82=AM$4,Inputs!$F$83,0)</f>
        <v>0</v>
      </c>
      <c r="AN45" s="40">
        <f>IF(Inputs!$F$73=AN$4,Inputs!$F$74,0)+IF(Inputs!$F$76=AN$4,Inputs!$F$77,0)+IF(Inputs!$F$79=AN$4,Inputs!$F$80,0)+IF(Inputs!$F$82=AN$4,Inputs!$F$83,0)</f>
        <v>0</v>
      </c>
      <c r="AO45" s="40">
        <f>IF(Inputs!$F$73=AO$4,Inputs!$F$74,0)+IF(Inputs!$F$76=AO$4,Inputs!$F$77,0)+IF(Inputs!$F$79=AO$4,Inputs!$F$80,0)+IF(Inputs!$F$82=AO$4,Inputs!$F$83,0)</f>
        <v>0</v>
      </c>
      <c r="AP45" s="40">
        <f>IF(Inputs!$F$73=AP$4,Inputs!$F$74,0)+IF(Inputs!$F$76=AP$4,Inputs!$F$77,0)+IF(Inputs!$F$79=AP$4,Inputs!$F$80,0)+IF(Inputs!$F$82=AP$4,Inputs!$F$83,0)</f>
        <v>0</v>
      </c>
      <c r="AQ45" s="40">
        <f>IF(Inputs!$F$73=AQ$4,Inputs!$F$74,0)+IF(Inputs!$F$76=AQ$4,Inputs!$F$77,0)+IF(Inputs!$F$79=AQ$4,Inputs!$F$80,0)+IF(Inputs!$F$82=AQ$4,Inputs!$F$83,0)</f>
        <v>0</v>
      </c>
      <c r="AR45" s="40">
        <f>IF(Inputs!$F$73=AR$4,Inputs!$F$74,0)+IF(Inputs!$F$76=AR$4,Inputs!$F$77,0)+IF(Inputs!$F$79=AR$4,Inputs!$F$80,0)+IF(Inputs!$F$82=AR$4,Inputs!$F$83,0)</f>
        <v>0</v>
      </c>
      <c r="AS45" s="40">
        <f>IF(Inputs!$F$73=AS$4,Inputs!$F$74,0)+IF(Inputs!$F$76=AS$4,Inputs!$F$77,0)+IF(Inputs!$F$79=AS$4,Inputs!$F$80,0)+IF(Inputs!$F$82=AS$4,Inputs!$F$83,0)</f>
        <v>0</v>
      </c>
      <c r="AT45" s="40">
        <f>IF(Inputs!$F$73=AT$4,Inputs!$F$74,0)+IF(Inputs!$F$76=AT$4,Inputs!$F$77,0)+IF(Inputs!$F$79=AT$4,Inputs!$F$80,0)+IF(Inputs!$F$82=AT$4,Inputs!$F$83,0)</f>
        <v>0</v>
      </c>
      <c r="AU45" s="40">
        <f>IF(Inputs!$F$73=AU$4,Inputs!$F$74,0)+IF(Inputs!$F$76=AU$4,Inputs!$F$77,0)+IF(Inputs!$F$79=AU$4,Inputs!$F$80,0)+IF(Inputs!$F$82=AU$4,Inputs!$F$83,0)</f>
        <v>0</v>
      </c>
      <c r="AV45" s="40">
        <f>IF(Inputs!$F$73=AV$4,Inputs!$F$74,0)+IF(Inputs!$F$76=AV$4,Inputs!$F$77,0)+IF(Inputs!$F$79=AV$4,Inputs!$F$80,0)+IF(Inputs!$F$82=AV$4,Inputs!$F$83,0)</f>
        <v>0</v>
      </c>
      <c r="AW45" s="40">
        <f>IF(Inputs!$F$73=AW$4,Inputs!$F$74,0)+IF(Inputs!$F$76=AW$4,Inputs!$F$77,0)+IF(Inputs!$F$79=AW$4,Inputs!$F$80,0)+IF(Inputs!$F$82=AW$4,Inputs!$F$83,0)</f>
        <v>0</v>
      </c>
      <c r="AX45" s="40">
        <f>IF(Inputs!$F$73=AX$4,Inputs!$F$74,0)+IF(Inputs!$F$76=AX$4,Inputs!$F$77,0)+IF(Inputs!$F$79=AX$4,Inputs!$F$80,0)+IF(Inputs!$F$82=AX$4,Inputs!$F$83,0)</f>
        <v>0</v>
      </c>
      <c r="AY45" s="40">
        <f>IF(Inputs!$F$73=AY$4,Inputs!$F$74,0)+IF(Inputs!$F$76=AY$4,Inputs!$F$77,0)+IF(Inputs!$F$79=AY$4,Inputs!$F$80,0)+IF(Inputs!$F$82=AY$4,Inputs!$F$83,0)</f>
        <v>0</v>
      </c>
      <c r="AZ45" s="40">
        <f>IF(Inputs!$F$73=AZ$4,Inputs!$F$74,0)+IF(Inputs!$F$76=AZ$4,Inputs!$F$77,0)+IF(Inputs!$F$79=AZ$4,Inputs!$F$80,0)+IF(Inputs!$F$82=AZ$4,Inputs!$F$83,0)</f>
        <v>0</v>
      </c>
      <c r="BA45" s="40">
        <f>IF(Inputs!$F$73=BA$4,Inputs!$F$74,0)+IF(Inputs!$F$76=BA$4,Inputs!$F$77,0)+IF(Inputs!$F$79=BA$4,Inputs!$F$80,0)+IF(Inputs!$F$82=BA$4,Inputs!$F$83,0)</f>
        <v>0</v>
      </c>
      <c r="BB45" s="40">
        <f>IF(Inputs!$F$73=BB$4,Inputs!$F$74,0)+IF(Inputs!$F$76=BB$4,Inputs!$F$77,0)+IF(Inputs!$F$79=BB$4,Inputs!$F$80,0)+IF(Inputs!$F$82=BB$4,Inputs!$F$83,0)</f>
        <v>0</v>
      </c>
      <c r="BC45" s="40">
        <f>IF(Inputs!$F$73=BC$4,Inputs!$F$74,0)+IF(Inputs!$F$76=BC$4,Inputs!$F$77,0)+IF(Inputs!$F$79=BC$4,Inputs!$F$80,0)+IF(Inputs!$F$82=BC$4,Inputs!$F$83,0)</f>
        <v>0</v>
      </c>
      <c r="BD45" s="40">
        <f>IF(Inputs!$F$73=BD$4,Inputs!$F$74,0)+IF(Inputs!$F$76=BD$4,Inputs!$F$77,0)+IF(Inputs!$F$79=BD$4,Inputs!$F$80,0)+IF(Inputs!$F$82=BD$4,Inputs!$F$83,0)</f>
        <v>0</v>
      </c>
      <c r="BE45" s="40">
        <f>IF(Inputs!$F$73=BE$4,Inputs!$F$74,0)+IF(Inputs!$F$76=BE$4,Inputs!$F$77,0)+IF(Inputs!$F$79=BE$4,Inputs!$F$80,0)+IF(Inputs!$F$82=BE$4,Inputs!$F$83,0)</f>
        <v>0</v>
      </c>
      <c r="BF45" s="40">
        <f>IF(Inputs!$F$73=BF$4,Inputs!$F$74,0)+IF(Inputs!$F$76=BF$4,Inputs!$F$77,0)+IF(Inputs!$F$79=BF$4,Inputs!$F$80,0)+IF(Inputs!$F$82=BF$4,Inputs!$F$83,0)</f>
        <v>0</v>
      </c>
      <c r="BG45" s="40">
        <f>IF(Inputs!$F$73=BG$4,Inputs!$F$74,0)+IF(Inputs!$F$76=BG$4,Inputs!$F$77,0)+IF(Inputs!$F$79=BG$4,Inputs!$F$80,0)+IF(Inputs!$F$82=BG$4,Inputs!$F$83,0)</f>
        <v>0</v>
      </c>
      <c r="BH45" s="40">
        <f>IF(Inputs!$F$73=BH$4,Inputs!$F$74,0)+IF(Inputs!$F$76=BH$4,Inputs!$F$77,0)+IF(Inputs!$F$79=BH$4,Inputs!$F$80,0)+IF(Inputs!$F$82=BH$4,Inputs!$F$83,0)</f>
        <v>0</v>
      </c>
      <c r="BI45" s="40">
        <f>IF(Inputs!$F$73=BI$4,Inputs!$F$74,0)+IF(Inputs!$F$76=BI$4,Inputs!$F$77,0)+IF(Inputs!$F$79=BI$4,Inputs!$F$80,0)+IF(Inputs!$F$82=BI$4,Inputs!$F$83,0)</f>
        <v>0</v>
      </c>
      <c r="BJ45" s="40">
        <f>IF(Inputs!$F$73=BJ$4,Inputs!$F$74,0)+IF(Inputs!$F$76=BJ$4,Inputs!$F$77,0)+IF(Inputs!$F$79=BJ$4,Inputs!$F$80,0)+IF(Inputs!$F$82=BJ$4,Inputs!$F$83,0)</f>
        <v>0</v>
      </c>
      <c r="BK45" s="40">
        <f>IF(Inputs!$F$73=BK$4,Inputs!$F$74,0)+IF(Inputs!$F$76=BK$4,Inputs!$F$77,0)+IF(Inputs!$F$79=BK$4,Inputs!$F$80,0)+IF(Inputs!$F$82=BK$4,Inputs!$F$83,0)</f>
        <v>0</v>
      </c>
      <c r="BL45" s="40">
        <f>IF(Inputs!$F$73=BL$4,Inputs!$F$74,0)+IF(Inputs!$F$76=BL$4,Inputs!$F$77,0)+IF(Inputs!$F$79=BL$4,Inputs!$F$80,0)+IF(Inputs!$F$82=BL$4,Inputs!$F$83,0)</f>
        <v>0</v>
      </c>
    </row>
    <row r="46" spans="2:64" x14ac:dyDescent="0.35">
      <c r="B46" s="4" t="s">
        <v>300</v>
      </c>
      <c r="C46" s="18" t="s">
        <v>111</v>
      </c>
      <c r="D46" s="56">
        <f>SUM(E46:BL46)</f>
        <v>614830.82634200004</v>
      </c>
      <c r="E46" s="56">
        <f t="shared" ref="E46:AJ46" si="36">E43+E44+E45</f>
        <v>943982.45075814484</v>
      </c>
      <c r="F46" s="56">
        <f t="shared" si="36"/>
        <v>-62441.555819511377</v>
      </c>
      <c r="G46" s="56">
        <f t="shared" si="36"/>
        <v>-70133.105531244742</v>
      </c>
      <c r="H46" s="56">
        <f t="shared" si="36"/>
        <v>-107741.95423898166</v>
      </c>
      <c r="I46" s="56">
        <f t="shared" si="36"/>
        <v>-107567.47992735935</v>
      </c>
      <c r="J46" s="56">
        <f t="shared" si="36"/>
        <v>-98692.72839267856</v>
      </c>
      <c r="K46" s="56">
        <f t="shared" si="36"/>
        <v>-98816.094303169419</v>
      </c>
      <c r="L46" s="56">
        <f t="shared" si="36"/>
        <v>3825649.9346972089</v>
      </c>
      <c r="M46" s="56">
        <f t="shared" si="36"/>
        <v>-153281.40582423258</v>
      </c>
      <c r="N46" s="56">
        <f t="shared" si="36"/>
        <v>-206075.32773657163</v>
      </c>
      <c r="O46" s="56">
        <f t="shared" si="36"/>
        <v>-203628.69949472175</v>
      </c>
      <c r="P46" s="56">
        <f t="shared" si="36"/>
        <v>-211037.41088336712</v>
      </c>
      <c r="Q46" s="56">
        <f t="shared" si="36"/>
        <v>-236790.26689930295</v>
      </c>
      <c r="R46" s="56">
        <f t="shared" si="36"/>
        <v>-228812.41834392806</v>
      </c>
      <c r="S46" s="56">
        <f t="shared" si="36"/>
        <v>-229011.37369641726</v>
      </c>
      <c r="T46" s="56">
        <f t="shared" si="36"/>
        <v>-229209.71793198501</v>
      </c>
      <c r="U46" s="56">
        <f t="shared" si="36"/>
        <v>-229410.78632085022</v>
      </c>
      <c r="V46" s="56">
        <f t="shared" si="36"/>
        <v>-229612.17356520682</v>
      </c>
      <c r="W46" s="56">
        <f t="shared" si="36"/>
        <v>11520715.56334712</v>
      </c>
      <c r="X46" s="56">
        <f t="shared" si="36"/>
        <v>-279044.84131269017</v>
      </c>
      <c r="Y46" s="56">
        <f t="shared" si="36"/>
        <v>-279482.08551013033</v>
      </c>
      <c r="Z46" s="56">
        <f t="shared" si="36"/>
        <v>-279928.65569394029</v>
      </c>
      <c r="AA46" s="56">
        <f t="shared" si="36"/>
        <v>-280368.51429491362</v>
      </c>
      <c r="AB46" s="56">
        <f t="shared" si="36"/>
        <v>-307016.37535547774</v>
      </c>
      <c r="AC46" s="56">
        <f t="shared" si="36"/>
        <v>-324187.47050226881</v>
      </c>
      <c r="AD46" s="56">
        <f t="shared" si="36"/>
        <v>-323151.02615819633</v>
      </c>
      <c r="AE46" s="56">
        <f t="shared" si="36"/>
        <v>-322050.69922524825</v>
      </c>
      <c r="AF46" s="56">
        <f t="shared" si="36"/>
        <v>-320879.86708793213</v>
      </c>
      <c r="AG46" s="56">
        <f t="shared" si="36"/>
        <v>-319630.89917242422</v>
      </c>
      <c r="AH46" s="56">
        <f t="shared" si="36"/>
        <v>-318295.59022085665</v>
      </c>
      <c r="AI46" s="56">
        <f t="shared" si="36"/>
        <v>-316864.54508031992</v>
      </c>
      <c r="AJ46" s="56">
        <f t="shared" si="36"/>
        <v>-315327.59044095204</v>
      </c>
      <c r="AK46" s="56">
        <f t="shared" ref="AK46:BP46" si="37">AK43+AK44+AK45</f>
        <v>-313673.13547922455</v>
      </c>
      <c r="AL46" s="56">
        <f t="shared" si="37"/>
        <v>-311888.55651893181</v>
      </c>
      <c r="AM46" s="56">
        <f t="shared" si="37"/>
        <v>-309959.52730390581</v>
      </c>
      <c r="AN46" s="56">
        <f t="shared" si="37"/>
        <v>-307870.49946016265</v>
      </c>
      <c r="AO46" s="56">
        <f t="shared" si="37"/>
        <v>-346224.54828652483</v>
      </c>
      <c r="AP46" s="56">
        <f t="shared" si="37"/>
        <v>-344733.53698469634</v>
      </c>
      <c r="AQ46" s="56">
        <f t="shared" si="37"/>
        <v>-343091.38468960702</v>
      </c>
      <c r="AR46" s="56">
        <f t="shared" si="37"/>
        <v>-341284.24636350235</v>
      </c>
      <c r="AS46" s="56">
        <f t="shared" si="37"/>
        <v>-339296.91881269932</v>
      </c>
      <c r="AT46" s="56">
        <f t="shared" si="37"/>
        <v>-337112.7037660568</v>
      </c>
      <c r="AU46" s="56">
        <f t="shared" si="37"/>
        <v>-334713.25701054878</v>
      </c>
      <c r="AV46" s="56">
        <f t="shared" si="37"/>
        <v>-332078.42215884803</v>
      </c>
      <c r="AW46" s="56">
        <f t="shared" si="37"/>
        <v>-329186.04747796629</v>
      </c>
      <c r="AX46" s="56">
        <f t="shared" si="37"/>
        <v>-326011.7840472</v>
      </c>
      <c r="AY46" s="56">
        <f t="shared" si="37"/>
        <v>-322528.86333636614</v>
      </c>
      <c r="AZ46" s="56">
        <f t="shared" si="37"/>
        <v>-318707.85209989478</v>
      </c>
      <c r="BA46" s="56">
        <f t="shared" si="37"/>
        <v>-325542.05235326244</v>
      </c>
      <c r="BB46" s="56">
        <f t="shared" si="37"/>
        <v>-323247.17200640135</v>
      </c>
      <c r="BC46" s="56">
        <f t="shared" si="37"/>
        <v>-320843.00613053533</v>
      </c>
      <c r="BD46" s="56">
        <f t="shared" si="37"/>
        <v>-318325.142156141</v>
      </c>
      <c r="BE46" s="56">
        <f t="shared" si="37"/>
        <v>-315688.98684741429</v>
      </c>
      <c r="BF46" s="56">
        <f t="shared" si="37"/>
        <v>-312929.75877008331</v>
      </c>
      <c r="BG46" s="56">
        <f t="shared" si="37"/>
        <v>-310042.48043981101</v>
      </c>
      <c r="BH46" s="56">
        <f t="shared" si="37"/>
        <v>-307021.970137431</v>
      </c>
      <c r="BI46" s="56">
        <f t="shared" si="37"/>
        <v>-303862.83337665902</v>
      </c>
      <c r="BJ46" s="56">
        <f t="shared" si="37"/>
        <v>-300559.45400929207</v>
      </c>
      <c r="BK46" s="56">
        <f t="shared" si="37"/>
        <v>-297105.98495225597</v>
      </c>
      <c r="BL46" s="56">
        <f t="shared" si="37"/>
        <v>-293496.33852017461</v>
      </c>
    </row>
    <row r="47" spans="2:64" x14ac:dyDescent="0.35">
      <c r="B47" s="3" t="s">
        <v>301</v>
      </c>
      <c r="C47" s="18" t="s">
        <v>111</v>
      </c>
      <c r="D47" s="20">
        <f>E47</f>
        <v>25000</v>
      </c>
      <c r="E47" s="40">
        <f>Inputs!$F$68</f>
        <v>25000</v>
      </c>
      <c r="F47" s="20">
        <f t="shared" ref="F47:AK47" si="38">E48</f>
        <v>968982.45075814484</v>
      </c>
      <c r="G47" s="20">
        <f t="shared" si="38"/>
        <v>906540.89493863343</v>
      </c>
      <c r="H47" s="20">
        <f t="shared" si="38"/>
        <v>836407.78940738866</v>
      </c>
      <c r="I47" s="20">
        <f t="shared" si="38"/>
        <v>728665.83516840695</v>
      </c>
      <c r="J47" s="20">
        <f t="shared" si="38"/>
        <v>621098.35524104757</v>
      </c>
      <c r="K47" s="20">
        <f t="shared" si="38"/>
        <v>522405.62684836902</v>
      </c>
      <c r="L47" s="20">
        <f t="shared" si="38"/>
        <v>423589.53254519962</v>
      </c>
      <c r="M47" s="20">
        <f t="shared" si="38"/>
        <v>4249239.4672424085</v>
      </c>
      <c r="N47" s="20">
        <f t="shared" si="38"/>
        <v>4095958.0614181762</v>
      </c>
      <c r="O47" s="20">
        <f t="shared" si="38"/>
        <v>3889882.7336816047</v>
      </c>
      <c r="P47" s="20">
        <f t="shared" si="38"/>
        <v>3686254.0341868829</v>
      </c>
      <c r="Q47" s="20">
        <f t="shared" si="38"/>
        <v>3475216.6233035158</v>
      </c>
      <c r="R47" s="20">
        <f t="shared" si="38"/>
        <v>3238426.3564042128</v>
      </c>
      <c r="S47" s="20">
        <f t="shared" si="38"/>
        <v>3009613.9380602846</v>
      </c>
      <c r="T47" s="20">
        <f t="shared" si="38"/>
        <v>2780602.5643638675</v>
      </c>
      <c r="U47" s="20">
        <f t="shared" si="38"/>
        <v>2551392.8464318826</v>
      </c>
      <c r="V47" s="20">
        <f t="shared" si="38"/>
        <v>2321982.0601110323</v>
      </c>
      <c r="W47" s="20">
        <f t="shared" si="38"/>
        <v>2092369.8865458255</v>
      </c>
      <c r="X47" s="20">
        <f t="shared" si="38"/>
        <v>13613085.449892946</v>
      </c>
      <c r="Y47" s="20">
        <f t="shared" si="38"/>
        <v>13334040.608580256</v>
      </c>
      <c r="Z47" s="20">
        <f t="shared" si="38"/>
        <v>13054558.523070125</v>
      </c>
      <c r="AA47" s="20">
        <f t="shared" si="38"/>
        <v>12774629.867376184</v>
      </c>
      <c r="AB47" s="20">
        <f t="shared" si="38"/>
        <v>12494261.353081271</v>
      </c>
      <c r="AC47" s="20">
        <f t="shared" si="38"/>
        <v>12187244.977725793</v>
      </c>
      <c r="AD47" s="20">
        <f t="shared" si="38"/>
        <v>11863057.507223524</v>
      </c>
      <c r="AE47" s="20">
        <f t="shared" si="38"/>
        <v>11539906.481065327</v>
      </c>
      <c r="AF47" s="20">
        <f t="shared" si="38"/>
        <v>11217855.781840079</v>
      </c>
      <c r="AG47" s="20">
        <f t="shared" si="38"/>
        <v>10896975.914752146</v>
      </c>
      <c r="AH47" s="20">
        <f t="shared" si="38"/>
        <v>10577345.015579723</v>
      </c>
      <c r="AI47" s="20">
        <f t="shared" si="38"/>
        <v>10259049.425358865</v>
      </c>
      <c r="AJ47" s="20">
        <f t="shared" si="38"/>
        <v>9942184.8802785464</v>
      </c>
      <c r="AK47" s="20">
        <f t="shared" si="38"/>
        <v>9626857.2898375951</v>
      </c>
      <c r="AL47" s="20">
        <f t="shared" ref="AL47:BL47" si="39">AK48</f>
        <v>9313184.1543583702</v>
      </c>
      <c r="AM47" s="20">
        <f t="shared" si="39"/>
        <v>9001295.5978394393</v>
      </c>
      <c r="AN47" s="20">
        <f t="shared" si="39"/>
        <v>8691336.0705355331</v>
      </c>
      <c r="AO47" s="20">
        <f t="shared" si="39"/>
        <v>8383465.5710753705</v>
      </c>
      <c r="AP47" s="20">
        <f t="shared" si="39"/>
        <v>8037241.0227888459</v>
      </c>
      <c r="AQ47" s="20">
        <f t="shared" si="39"/>
        <v>7692507.4858041499</v>
      </c>
      <c r="AR47" s="20">
        <f t="shared" si="39"/>
        <v>7349416.1011145432</v>
      </c>
      <c r="AS47" s="20">
        <f t="shared" si="39"/>
        <v>7008131.8547510412</v>
      </c>
      <c r="AT47" s="20">
        <f t="shared" si="39"/>
        <v>6668834.9359383415</v>
      </c>
      <c r="AU47" s="20">
        <f t="shared" si="39"/>
        <v>6331722.2321722843</v>
      </c>
      <c r="AV47" s="20">
        <f t="shared" si="39"/>
        <v>5997008.9751617359</v>
      </c>
      <c r="AW47" s="20">
        <f t="shared" si="39"/>
        <v>5664930.5530028883</v>
      </c>
      <c r="AX47" s="20">
        <f t="shared" si="39"/>
        <v>5335744.5055249222</v>
      </c>
      <c r="AY47" s="20">
        <f t="shared" si="39"/>
        <v>5009732.7214777218</v>
      </c>
      <c r="AZ47" s="20">
        <f t="shared" si="39"/>
        <v>4687203.8581413552</v>
      </c>
      <c r="BA47" s="20">
        <f t="shared" si="39"/>
        <v>4368496.0060414607</v>
      </c>
      <c r="BB47" s="20">
        <f t="shared" si="39"/>
        <v>4042953.9536881982</v>
      </c>
      <c r="BC47" s="20">
        <f t="shared" si="39"/>
        <v>3719706.781681797</v>
      </c>
      <c r="BD47" s="20">
        <f t="shared" si="39"/>
        <v>3398863.7755512618</v>
      </c>
      <c r="BE47" s="20">
        <f t="shared" si="39"/>
        <v>3080538.633395121</v>
      </c>
      <c r="BF47" s="20">
        <f t="shared" si="39"/>
        <v>2764849.6465477068</v>
      </c>
      <c r="BG47" s="20">
        <f t="shared" si="39"/>
        <v>2451919.8877776237</v>
      </c>
      <c r="BH47" s="20">
        <f t="shared" si="39"/>
        <v>2141877.4073378127</v>
      </c>
      <c r="BI47" s="20">
        <f t="shared" si="39"/>
        <v>1834855.4372003817</v>
      </c>
      <c r="BJ47" s="20">
        <f t="shared" si="39"/>
        <v>1530992.6038237226</v>
      </c>
      <c r="BK47" s="20">
        <f t="shared" si="39"/>
        <v>1230433.1498144306</v>
      </c>
      <c r="BL47" s="20">
        <f t="shared" si="39"/>
        <v>933327.16486217466</v>
      </c>
    </row>
    <row r="48" spans="2:64" x14ac:dyDescent="0.35">
      <c r="B48" s="4" t="s">
        <v>302</v>
      </c>
      <c r="C48" s="18" t="s">
        <v>111</v>
      </c>
      <c r="D48" s="56">
        <f>BL48</f>
        <v>639830.82634200004</v>
      </c>
      <c r="E48" s="56">
        <f t="shared" ref="E48:AJ48" si="40">E47+E46</f>
        <v>968982.45075814484</v>
      </c>
      <c r="F48" s="56">
        <f t="shared" si="40"/>
        <v>906540.89493863343</v>
      </c>
      <c r="G48" s="56">
        <f t="shared" si="40"/>
        <v>836407.78940738866</v>
      </c>
      <c r="H48" s="56">
        <f t="shared" si="40"/>
        <v>728665.83516840695</v>
      </c>
      <c r="I48" s="56">
        <f t="shared" si="40"/>
        <v>621098.35524104757</v>
      </c>
      <c r="J48" s="56">
        <f t="shared" si="40"/>
        <v>522405.62684836902</v>
      </c>
      <c r="K48" s="56">
        <f t="shared" si="40"/>
        <v>423589.53254519962</v>
      </c>
      <c r="L48" s="56">
        <f t="shared" si="40"/>
        <v>4249239.4672424085</v>
      </c>
      <c r="M48" s="56">
        <f t="shared" si="40"/>
        <v>4095958.0614181762</v>
      </c>
      <c r="N48" s="56">
        <f t="shared" si="40"/>
        <v>3889882.7336816047</v>
      </c>
      <c r="O48" s="56">
        <f t="shared" si="40"/>
        <v>3686254.0341868829</v>
      </c>
      <c r="P48" s="56">
        <f t="shared" si="40"/>
        <v>3475216.6233035158</v>
      </c>
      <c r="Q48" s="56">
        <f t="shared" si="40"/>
        <v>3238426.3564042128</v>
      </c>
      <c r="R48" s="56">
        <f t="shared" si="40"/>
        <v>3009613.9380602846</v>
      </c>
      <c r="S48" s="56">
        <f t="shared" si="40"/>
        <v>2780602.5643638675</v>
      </c>
      <c r="T48" s="56">
        <f t="shared" si="40"/>
        <v>2551392.8464318826</v>
      </c>
      <c r="U48" s="56">
        <f t="shared" si="40"/>
        <v>2321982.0601110323</v>
      </c>
      <c r="V48" s="56">
        <f t="shared" si="40"/>
        <v>2092369.8865458255</v>
      </c>
      <c r="W48" s="56">
        <f t="shared" si="40"/>
        <v>13613085.449892946</v>
      </c>
      <c r="X48" s="56">
        <f t="shared" si="40"/>
        <v>13334040.608580256</v>
      </c>
      <c r="Y48" s="56">
        <f t="shared" si="40"/>
        <v>13054558.523070125</v>
      </c>
      <c r="Z48" s="56">
        <f t="shared" si="40"/>
        <v>12774629.867376184</v>
      </c>
      <c r="AA48" s="56">
        <f t="shared" si="40"/>
        <v>12494261.353081271</v>
      </c>
      <c r="AB48" s="56">
        <f t="shared" si="40"/>
        <v>12187244.977725793</v>
      </c>
      <c r="AC48" s="56">
        <f t="shared" si="40"/>
        <v>11863057.507223524</v>
      </c>
      <c r="AD48" s="56">
        <f t="shared" si="40"/>
        <v>11539906.481065327</v>
      </c>
      <c r="AE48" s="56">
        <f t="shared" si="40"/>
        <v>11217855.781840079</v>
      </c>
      <c r="AF48" s="56">
        <f t="shared" si="40"/>
        <v>10896975.914752146</v>
      </c>
      <c r="AG48" s="56">
        <f t="shared" si="40"/>
        <v>10577345.015579723</v>
      </c>
      <c r="AH48" s="56">
        <f t="shared" si="40"/>
        <v>10259049.425358865</v>
      </c>
      <c r="AI48" s="56">
        <f t="shared" si="40"/>
        <v>9942184.8802785464</v>
      </c>
      <c r="AJ48" s="56">
        <f t="shared" si="40"/>
        <v>9626857.2898375951</v>
      </c>
      <c r="AK48" s="56">
        <f t="shared" ref="AK48:BP48" si="41">AK47+AK46</f>
        <v>9313184.1543583702</v>
      </c>
      <c r="AL48" s="56">
        <f t="shared" si="41"/>
        <v>9001295.5978394393</v>
      </c>
      <c r="AM48" s="56">
        <f t="shared" si="41"/>
        <v>8691336.0705355331</v>
      </c>
      <c r="AN48" s="56">
        <f t="shared" si="41"/>
        <v>8383465.5710753705</v>
      </c>
      <c r="AO48" s="56">
        <f t="shared" si="41"/>
        <v>8037241.0227888459</v>
      </c>
      <c r="AP48" s="56">
        <f t="shared" si="41"/>
        <v>7692507.4858041499</v>
      </c>
      <c r="AQ48" s="56">
        <f t="shared" si="41"/>
        <v>7349416.1011145432</v>
      </c>
      <c r="AR48" s="56">
        <f t="shared" si="41"/>
        <v>7008131.8547510412</v>
      </c>
      <c r="AS48" s="56">
        <f t="shared" si="41"/>
        <v>6668834.9359383415</v>
      </c>
      <c r="AT48" s="56">
        <f t="shared" si="41"/>
        <v>6331722.2321722843</v>
      </c>
      <c r="AU48" s="56">
        <f t="shared" si="41"/>
        <v>5997008.9751617359</v>
      </c>
      <c r="AV48" s="56">
        <f t="shared" si="41"/>
        <v>5664930.5530028883</v>
      </c>
      <c r="AW48" s="56">
        <f t="shared" si="41"/>
        <v>5335744.5055249222</v>
      </c>
      <c r="AX48" s="56">
        <f t="shared" si="41"/>
        <v>5009732.7214777218</v>
      </c>
      <c r="AY48" s="56">
        <f t="shared" si="41"/>
        <v>4687203.8581413552</v>
      </c>
      <c r="AZ48" s="56">
        <f t="shared" si="41"/>
        <v>4368496.0060414607</v>
      </c>
      <c r="BA48" s="56">
        <f t="shared" si="41"/>
        <v>4042953.9536881982</v>
      </c>
      <c r="BB48" s="56">
        <f t="shared" si="41"/>
        <v>3719706.781681797</v>
      </c>
      <c r="BC48" s="56">
        <f t="shared" si="41"/>
        <v>3398863.7755512618</v>
      </c>
      <c r="BD48" s="56">
        <f t="shared" si="41"/>
        <v>3080538.633395121</v>
      </c>
      <c r="BE48" s="56">
        <f t="shared" si="41"/>
        <v>2764849.6465477068</v>
      </c>
      <c r="BF48" s="56">
        <f t="shared" si="41"/>
        <v>2451919.8877776237</v>
      </c>
      <c r="BG48" s="56">
        <f t="shared" si="41"/>
        <v>2141877.4073378127</v>
      </c>
      <c r="BH48" s="56">
        <f t="shared" si="41"/>
        <v>1834855.4372003817</v>
      </c>
      <c r="BI48" s="56">
        <f t="shared" si="41"/>
        <v>1530992.6038237226</v>
      </c>
      <c r="BJ48" s="56">
        <f t="shared" si="41"/>
        <v>1230433.1498144306</v>
      </c>
      <c r="BK48" s="56">
        <f t="shared" si="41"/>
        <v>933327.16486217466</v>
      </c>
      <c r="BL48" s="56">
        <f t="shared" si="41"/>
        <v>639830.82634200004</v>
      </c>
    </row>
    <row r="49" spans="2:64" x14ac:dyDescent="0.35">
      <c r="B49" s="16" t="s">
        <v>429</v>
      </c>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row>
    <row r="50" spans="2:64" x14ac:dyDescent="0.35">
      <c r="B50" s="3" t="s">
        <v>304</v>
      </c>
      <c r="C50" s="18" t="s">
        <v>111</v>
      </c>
      <c r="D50" s="20">
        <f>SUM(E50:BL50)</f>
        <v>16385169.173658006</v>
      </c>
      <c r="E50" s="20">
        <f t="shared" ref="E50:AJ50" si="42">-(E43+E44)</f>
        <v>56017.54924185518</v>
      </c>
      <c r="F50" s="20">
        <f t="shared" si="42"/>
        <v>62441.555819511377</v>
      </c>
      <c r="G50" s="20">
        <f t="shared" si="42"/>
        <v>70133.105531244742</v>
      </c>
      <c r="H50" s="20">
        <f t="shared" si="42"/>
        <v>107741.95423898166</v>
      </c>
      <c r="I50" s="20">
        <f t="shared" si="42"/>
        <v>107567.47992735935</v>
      </c>
      <c r="J50" s="20">
        <f t="shared" si="42"/>
        <v>98692.72839267856</v>
      </c>
      <c r="K50" s="20">
        <f t="shared" si="42"/>
        <v>98816.094303169419</v>
      </c>
      <c r="L50" s="20">
        <f t="shared" si="42"/>
        <v>174350.06530279122</v>
      </c>
      <c r="M50" s="20">
        <f t="shared" si="42"/>
        <v>153281.40582423258</v>
      </c>
      <c r="N50" s="20">
        <f t="shared" si="42"/>
        <v>206075.32773657163</v>
      </c>
      <c r="O50" s="20">
        <f t="shared" si="42"/>
        <v>203628.69949472175</v>
      </c>
      <c r="P50" s="20">
        <f t="shared" si="42"/>
        <v>211037.41088336712</v>
      </c>
      <c r="Q50" s="20">
        <f t="shared" si="42"/>
        <v>236790.26689930295</v>
      </c>
      <c r="R50" s="20">
        <f t="shared" si="42"/>
        <v>228812.41834392806</v>
      </c>
      <c r="S50" s="20">
        <f t="shared" si="42"/>
        <v>229011.37369641726</v>
      </c>
      <c r="T50" s="20">
        <f t="shared" si="42"/>
        <v>229209.71793198501</v>
      </c>
      <c r="U50" s="20">
        <f t="shared" si="42"/>
        <v>229410.78632085022</v>
      </c>
      <c r="V50" s="20">
        <f t="shared" si="42"/>
        <v>229612.17356520682</v>
      </c>
      <c r="W50" s="20">
        <f t="shared" si="42"/>
        <v>479284.43665288034</v>
      </c>
      <c r="X50" s="20">
        <f t="shared" si="42"/>
        <v>279044.84131269017</v>
      </c>
      <c r="Y50" s="20">
        <f t="shared" si="42"/>
        <v>279482.08551013033</v>
      </c>
      <c r="Z50" s="20">
        <f t="shared" si="42"/>
        <v>279928.65569394029</v>
      </c>
      <c r="AA50" s="20">
        <f t="shared" si="42"/>
        <v>280368.51429491362</v>
      </c>
      <c r="AB50" s="20">
        <f t="shared" si="42"/>
        <v>307016.37535547774</v>
      </c>
      <c r="AC50" s="20">
        <f t="shared" si="42"/>
        <v>324187.47050226881</v>
      </c>
      <c r="AD50" s="20">
        <f t="shared" si="42"/>
        <v>323151.02615819633</v>
      </c>
      <c r="AE50" s="20">
        <f t="shared" si="42"/>
        <v>322050.69922524825</v>
      </c>
      <c r="AF50" s="20">
        <f t="shared" si="42"/>
        <v>320879.86708793213</v>
      </c>
      <c r="AG50" s="20">
        <f t="shared" si="42"/>
        <v>319630.89917242422</v>
      </c>
      <c r="AH50" s="20">
        <f t="shared" si="42"/>
        <v>318295.59022085665</v>
      </c>
      <c r="AI50" s="20">
        <f t="shared" si="42"/>
        <v>316864.54508031992</v>
      </c>
      <c r="AJ50" s="20">
        <f t="shared" si="42"/>
        <v>315327.59044095204</v>
      </c>
      <c r="AK50" s="20">
        <f t="shared" ref="AK50:BL50" si="43">-(AK43+AK44)</f>
        <v>313673.13547922455</v>
      </c>
      <c r="AL50" s="20">
        <f t="shared" si="43"/>
        <v>311888.55651893181</v>
      </c>
      <c r="AM50" s="20">
        <f t="shared" si="43"/>
        <v>309959.52730390581</v>
      </c>
      <c r="AN50" s="20">
        <f t="shared" si="43"/>
        <v>307870.49946016265</v>
      </c>
      <c r="AO50" s="20">
        <f t="shared" si="43"/>
        <v>346224.54828652483</v>
      </c>
      <c r="AP50" s="20">
        <f t="shared" si="43"/>
        <v>344733.53698469634</v>
      </c>
      <c r="AQ50" s="20">
        <f t="shared" si="43"/>
        <v>343091.38468960702</v>
      </c>
      <c r="AR50" s="20">
        <f t="shared" si="43"/>
        <v>341284.24636350235</v>
      </c>
      <c r="AS50" s="20">
        <f t="shared" si="43"/>
        <v>339296.91881269932</v>
      </c>
      <c r="AT50" s="20">
        <f t="shared" si="43"/>
        <v>337112.7037660568</v>
      </c>
      <c r="AU50" s="20">
        <f t="shared" si="43"/>
        <v>334713.25701054878</v>
      </c>
      <c r="AV50" s="20">
        <f t="shared" si="43"/>
        <v>332078.42215884803</v>
      </c>
      <c r="AW50" s="20">
        <f t="shared" si="43"/>
        <v>329186.04747796629</v>
      </c>
      <c r="AX50" s="20">
        <f t="shared" si="43"/>
        <v>326011.7840472</v>
      </c>
      <c r="AY50" s="20">
        <f t="shared" si="43"/>
        <v>322528.86333636614</v>
      </c>
      <c r="AZ50" s="20">
        <f t="shared" si="43"/>
        <v>318707.85209989478</v>
      </c>
      <c r="BA50" s="20">
        <f t="shared" si="43"/>
        <v>325542.05235326244</v>
      </c>
      <c r="BB50" s="20">
        <f t="shared" si="43"/>
        <v>323247.17200640135</v>
      </c>
      <c r="BC50" s="20">
        <f t="shared" si="43"/>
        <v>320843.00613053533</v>
      </c>
      <c r="BD50" s="20">
        <f t="shared" si="43"/>
        <v>318325.142156141</v>
      </c>
      <c r="BE50" s="20">
        <f t="shared" si="43"/>
        <v>315688.98684741429</v>
      </c>
      <c r="BF50" s="20">
        <f t="shared" si="43"/>
        <v>312929.75877008331</v>
      </c>
      <c r="BG50" s="20">
        <f t="shared" si="43"/>
        <v>310042.48043981101</v>
      </c>
      <c r="BH50" s="20">
        <f t="shared" si="43"/>
        <v>307021.970137431</v>
      </c>
      <c r="BI50" s="20">
        <f t="shared" si="43"/>
        <v>303862.83337665902</v>
      </c>
      <c r="BJ50" s="20">
        <f t="shared" si="43"/>
        <v>300559.45400929207</v>
      </c>
      <c r="BK50" s="20">
        <f t="shared" si="43"/>
        <v>297105.98495225597</v>
      </c>
      <c r="BL50" s="20">
        <f t="shared" si="43"/>
        <v>293496.33852017461</v>
      </c>
    </row>
    <row r="51" spans="2:64" x14ac:dyDescent="0.35">
      <c r="B51" s="3" t="s">
        <v>430</v>
      </c>
      <c r="C51" s="18" t="s">
        <v>111</v>
      </c>
      <c r="E51" s="20">
        <f>E50</f>
        <v>56017.54924185518</v>
      </c>
      <c r="F51" s="20">
        <f>AVERAGE(E50:F50)</f>
        <v>59229.552530683279</v>
      </c>
      <c r="G51" s="20">
        <f t="shared" ref="G51:AL51" si="44">AVERAGE(E50:G50)</f>
        <v>62864.070197537098</v>
      </c>
      <c r="H51" s="20">
        <f t="shared" si="44"/>
        <v>80105.538529912592</v>
      </c>
      <c r="I51" s="20">
        <f t="shared" si="44"/>
        <v>95147.513232528581</v>
      </c>
      <c r="J51" s="20">
        <f t="shared" si="44"/>
        <v>104667.3875196732</v>
      </c>
      <c r="K51" s="20">
        <f t="shared" si="44"/>
        <v>101692.10087440244</v>
      </c>
      <c r="L51" s="20">
        <f t="shared" si="44"/>
        <v>123952.96266621306</v>
      </c>
      <c r="M51" s="20">
        <f t="shared" si="44"/>
        <v>142149.18847673107</v>
      </c>
      <c r="N51" s="20">
        <f t="shared" si="44"/>
        <v>177902.26628786515</v>
      </c>
      <c r="O51" s="20">
        <f t="shared" si="44"/>
        <v>187661.81101850866</v>
      </c>
      <c r="P51" s="20">
        <f t="shared" si="44"/>
        <v>206913.81270488686</v>
      </c>
      <c r="Q51" s="20">
        <f t="shared" si="44"/>
        <v>217152.12575913061</v>
      </c>
      <c r="R51" s="20">
        <f t="shared" si="44"/>
        <v>225546.69870886602</v>
      </c>
      <c r="S51" s="20">
        <f t="shared" si="44"/>
        <v>231538.01964654945</v>
      </c>
      <c r="T51" s="20">
        <f t="shared" si="44"/>
        <v>229011.16999077678</v>
      </c>
      <c r="U51" s="20">
        <f t="shared" si="44"/>
        <v>229210.62598308417</v>
      </c>
      <c r="V51" s="20">
        <f t="shared" si="44"/>
        <v>229410.89260601401</v>
      </c>
      <c r="W51" s="20">
        <f t="shared" si="44"/>
        <v>312769.13217964582</v>
      </c>
      <c r="X51" s="20">
        <f t="shared" si="44"/>
        <v>329313.81717692578</v>
      </c>
      <c r="Y51" s="20">
        <f t="shared" si="44"/>
        <v>345937.12115856697</v>
      </c>
      <c r="Z51" s="20">
        <f t="shared" si="44"/>
        <v>279485.1941722536</v>
      </c>
      <c r="AA51" s="20">
        <f t="shared" si="44"/>
        <v>279926.41849966143</v>
      </c>
      <c r="AB51" s="20">
        <f t="shared" si="44"/>
        <v>289104.5151147772</v>
      </c>
      <c r="AC51" s="20">
        <f t="shared" si="44"/>
        <v>303857.45338422008</v>
      </c>
      <c r="AD51" s="20">
        <f t="shared" si="44"/>
        <v>318118.29067198094</v>
      </c>
      <c r="AE51" s="20">
        <f t="shared" si="44"/>
        <v>323129.7319619045</v>
      </c>
      <c r="AF51" s="20">
        <f t="shared" si="44"/>
        <v>322027.1974904589</v>
      </c>
      <c r="AG51" s="20">
        <f t="shared" si="44"/>
        <v>320853.82182853488</v>
      </c>
      <c r="AH51" s="20">
        <f t="shared" si="44"/>
        <v>319602.11882707104</v>
      </c>
      <c r="AI51" s="20">
        <f t="shared" si="44"/>
        <v>318263.67815786693</v>
      </c>
      <c r="AJ51" s="20">
        <f t="shared" si="44"/>
        <v>316829.24191404291</v>
      </c>
      <c r="AK51" s="20">
        <f t="shared" si="44"/>
        <v>315288.42366683221</v>
      </c>
      <c r="AL51" s="20">
        <f t="shared" si="44"/>
        <v>313629.76081303618</v>
      </c>
      <c r="AM51" s="20">
        <f t="shared" ref="AM51:BR51" si="45">AVERAGE(AK50:AM50)</f>
        <v>311840.40643402073</v>
      </c>
      <c r="AN51" s="20">
        <f t="shared" si="45"/>
        <v>309906.19442766672</v>
      </c>
      <c r="AO51" s="20">
        <f t="shared" si="45"/>
        <v>321351.52501686447</v>
      </c>
      <c r="AP51" s="20">
        <f t="shared" si="45"/>
        <v>332942.86157712789</v>
      </c>
      <c r="AQ51" s="20">
        <f t="shared" si="45"/>
        <v>344683.15665360936</v>
      </c>
      <c r="AR51" s="20">
        <f t="shared" si="45"/>
        <v>343036.38934593525</v>
      </c>
      <c r="AS51" s="20">
        <f t="shared" si="45"/>
        <v>341224.18328860292</v>
      </c>
      <c r="AT51" s="20">
        <f t="shared" si="45"/>
        <v>339231.28964741947</v>
      </c>
      <c r="AU51" s="20">
        <f t="shared" si="45"/>
        <v>337040.95986310166</v>
      </c>
      <c r="AV51" s="20">
        <f t="shared" si="45"/>
        <v>334634.79431181791</v>
      </c>
      <c r="AW51" s="20">
        <f t="shared" si="45"/>
        <v>331992.57554912107</v>
      </c>
      <c r="AX51" s="20">
        <f t="shared" si="45"/>
        <v>329092.08456133812</v>
      </c>
      <c r="AY51" s="20">
        <f t="shared" si="45"/>
        <v>325908.89828717749</v>
      </c>
      <c r="AZ51" s="20">
        <f t="shared" si="45"/>
        <v>322416.16649448697</v>
      </c>
      <c r="BA51" s="20">
        <f t="shared" si="45"/>
        <v>322259.58926317445</v>
      </c>
      <c r="BB51" s="20">
        <f t="shared" si="45"/>
        <v>322499.0254865195</v>
      </c>
      <c r="BC51" s="20">
        <f t="shared" si="45"/>
        <v>323210.74349673302</v>
      </c>
      <c r="BD51" s="20">
        <f t="shared" si="45"/>
        <v>320805.10676435923</v>
      </c>
      <c r="BE51" s="20">
        <f t="shared" si="45"/>
        <v>318285.71171136352</v>
      </c>
      <c r="BF51" s="20">
        <f t="shared" si="45"/>
        <v>315647.96259121288</v>
      </c>
      <c r="BG51" s="20">
        <f t="shared" si="45"/>
        <v>312887.07535243622</v>
      </c>
      <c r="BH51" s="20">
        <f t="shared" si="45"/>
        <v>309998.06978244177</v>
      </c>
      <c r="BI51" s="20">
        <f t="shared" si="45"/>
        <v>306975.76131796703</v>
      </c>
      <c r="BJ51" s="20">
        <f t="shared" si="45"/>
        <v>303814.75250779401</v>
      </c>
      <c r="BK51" s="20">
        <f t="shared" si="45"/>
        <v>300509.42411273567</v>
      </c>
      <c r="BL51" s="20">
        <f t="shared" si="45"/>
        <v>297053.92582724086</v>
      </c>
    </row>
    <row r="52" spans="2:64" x14ac:dyDescent="0.35">
      <c r="B52" s="3" t="s">
        <v>305</v>
      </c>
      <c r="C52" s="18" t="s">
        <v>306</v>
      </c>
      <c r="D52" s="27">
        <f>BL52</f>
        <v>2.1539214624421752</v>
      </c>
      <c r="E52" s="27">
        <f t="shared" ref="E52:AJ52" si="46">IF(E51&gt;0,MAX(E48,0)/E51,"not burning")</f>
        <v>17.297837264793095</v>
      </c>
      <c r="F52" s="27">
        <f t="shared" si="46"/>
        <v>15.305550290440046</v>
      </c>
      <c r="G52" s="27">
        <f t="shared" si="46"/>
        <v>13.305021243122715</v>
      </c>
      <c r="H52" s="27">
        <f t="shared" si="46"/>
        <v>9.0963227829285778</v>
      </c>
      <c r="I52" s="27">
        <f t="shared" si="46"/>
        <v>6.5277413370033237</v>
      </c>
      <c r="J52" s="27">
        <f t="shared" si="46"/>
        <v>4.9911021878727801</v>
      </c>
      <c r="K52" s="27">
        <f t="shared" si="46"/>
        <v>4.165412346710835</v>
      </c>
      <c r="L52" s="27">
        <f t="shared" si="46"/>
        <v>34.281064170164129</v>
      </c>
      <c r="M52" s="27">
        <f t="shared" si="46"/>
        <v>28.814501899802679</v>
      </c>
      <c r="N52" s="27">
        <f t="shared" si="46"/>
        <v>21.86527926174562</v>
      </c>
      <c r="O52" s="27">
        <f t="shared" si="46"/>
        <v>19.643069701716328</v>
      </c>
      <c r="P52" s="27">
        <f t="shared" si="46"/>
        <v>16.79547913149753</v>
      </c>
      <c r="Q52" s="27">
        <f t="shared" si="46"/>
        <v>14.913169028777267</v>
      </c>
      <c r="R52" s="27">
        <f t="shared" si="46"/>
        <v>13.343639943695525</v>
      </c>
      <c r="S52" s="27">
        <f t="shared" si="46"/>
        <v>12.00926987545523</v>
      </c>
      <c r="T52" s="27">
        <f t="shared" si="46"/>
        <v>11.140910054887881</v>
      </c>
      <c r="U52" s="27">
        <f t="shared" si="46"/>
        <v>10.130342125946619</v>
      </c>
      <c r="V52" s="27">
        <f t="shared" si="46"/>
        <v>9.1206213566294014</v>
      </c>
      <c r="W52" s="27">
        <f t="shared" si="46"/>
        <v>43.524389235680623</v>
      </c>
      <c r="X52" s="27">
        <f t="shared" si="46"/>
        <v>40.490376999324219</v>
      </c>
      <c r="Y52" s="27">
        <f t="shared" si="46"/>
        <v>37.736795864374194</v>
      </c>
      <c r="Z52" s="27">
        <f t="shared" si="46"/>
        <v>45.707715949714554</v>
      </c>
      <c r="AA52" s="27">
        <f t="shared" si="46"/>
        <v>44.634091416049685</v>
      </c>
      <c r="AB52" s="27">
        <f t="shared" si="46"/>
        <v>42.155152688941378</v>
      </c>
      <c r="AC52" s="27">
        <f t="shared" si="46"/>
        <v>39.041522184492827</v>
      </c>
      <c r="AD52" s="27">
        <f t="shared" si="46"/>
        <v>36.275520205672137</v>
      </c>
      <c r="AE52" s="27">
        <f t="shared" si="46"/>
        <v>34.716259979328093</v>
      </c>
      <c r="AF52" s="27">
        <f t="shared" si="46"/>
        <v>33.838681948828267</v>
      </c>
      <c r="AG52" s="27">
        <f t="shared" si="46"/>
        <v>32.966242868169054</v>
      </c>
      <c r="AH52" s="27">
        <f t="shared" si="46"/>
        <v>32.099441214624079</v>
      </c>
      <c r="AI52" s="27">
        <f t="shared" si="46"/>
        <v>31.238829821312404</v>
      </c>
      <c r="AJ52" s="27">
        <f t="shared" si="46"/>
        <v>30.385002443838189</v>
      </c>
      <c r="AK52" s="27">
        <f t="shared" ref="AK52:BP52" si="47">IF(AK51&gt;0,MAX(AK48,0)/AK51,"not burning")</f>
        <v>29.538617517399516</v>
      </c>
      <c r="AL52" s="27">
        <f t="shared" si="47"/>
        <v>28.700387279909236</v>
      </c>
      <c r="AM52" s="27">
        <f t="shared" si="47"/>
        <v>27.871102946290087</v>
      </c>
      <c r="AN52" s="27">
        <f t="shared" si="47"/>
        <v>27.051623109883025</v>
      </c>
      <c r="AO52" s="27">
        <f t="shared" si="47"/>
        <v>25.010744922922189</v>
      </c>
      <c r="AP52" s="27">
        <f t="shared" si="47"/>
        <v>23.104587524013162</v>
      </c>
      <c r="AQ52" s="27">
        <f t="shared" si="47"/>
        <v>21.322237420786902</v>
      </c>
      <c r="AR52" s="27">
        <f t="shared" si="47"/>
        <v>20.429703881017961</v>
      </c>
      <c r="AS52" s="27">
        <f t="shared" si="47"/>
        <v>19.543851996849614</v>
      </c>
      <c r="AT52" s="27">
        <f t="shared" si="47"/>
        <v>18.66491218647068</v>
      </c>
      <c r="AU52" s="27">
        <f t="shared" si="47"/>
        <v>17.793116236072862</v>
      </c>
      <c r="AV52" s="27">
        <f t="shared" si="47"/>
        <v>16.928695548987704</v>
      </c>
      <c r="AW52" s="27">
        <f t="shared" si="47"/>
        <v>16.071879007232361</v>
      </c>
      <c r="AX52" s="27">
        <f t="shared" si="47"/>
        <v>15.222890359564325</v>
      </c>
      <c r="AY52" s="27">
        <f t="shared" si="47"/>
        <v>14.381945024438039</v>
      </c>
      <c r="AZ52" s="27">
        <f t="shared" si="47"/>
        <v>13.549246160757134</v>
      </c>
      <c r="BA52" s="27">
        <f t="shared" si="47"/>
        <v>12.545643600341418</v>
      </c>
      <c r="BB52" s="27">
        <f t="shared" si="47"/>
        <v>11.534009369703602</v>
      </c>
      <c r="BC52" s="27">
        <f t="shared" si="47"/>
        <v>10.515936873817491</v>
      </c>
      <c r="BD52" s="27">
        <f t="shared" si="47"/>
        <v>9.6025236769621216</v>
      </c>
      <c r="BE52" s="27">
        <f t="shared" si="47"/>
        <v>8.6866910603106273</v>
      </c>
      <c r="BF52" s="27">
        <f t="shared" si="47"/>
        <v>7.7678939146299468</v>
      </c>
      <c r="BG52" s="27">
        <f t="shared" si="47"/>
        <v>6.8455285502771259</v>
      </c>
      <c r="BH52" s="27">
        <f t="shared" si="47"/>
        <v>5.9189253613356128</v>
      </c>
      <c r="BI52" s="27">
        <f t="shared" si="47"/>
        <v>4.9873403595468657</v>
      </c>
      <c r="BJ52" s="27">
        <f t="shared" si="47"/>
        <v>4.0499453685444893</v>
      </c>
      <c r="BK52" s="27">
        <f t="shared" si="47"/>
        <v>3.105816623281799</v>
      </c>
      <c r="BL52" s="27">
        <f t="shared" si="47"/>
        <v>2.1539214624421752</v>
      </c>
    </row>
    <row r="53" spans="2:64" x14ac:dyDescent="0.35">
      <c r="B53" s="3" t="s">
        <v>431</v>
      </c>
      <c r="C53" s="18" t="s">
        <v>415</v>
      </c>
      <c r="D53" s="13">
        <f>SUM(E53:BL53)</f>
        <v>0</v>
      </c>
      <c r="E53" s="13">
        <f t="shared" ref="E53:AJ53" si="48">IF(E48&lt;0,1,0)</f>
        <v>0</v>
      </c>
      <c r="F53" s="13">
        <f t="shared" si="48"/>
        <v>0</v>
      </c>
      <c r="G53" s="13">
        <f t="shared" si="48"/>
        <v>0</v>
      </c>
      <c r="H53" s="13">
        <f t="shared" si="48"/>
        <v>0</v>
      </c>
      <c r="I53" s="13">
        <f t="shared" si="48"/>
        <v>0</v>
      </c>
      <c r="J53" s="13">
        <f t="shared" si="48"/>
        <v>0</v>
      </c>
      <c r="K53" s="13">
        <f t="shared" si="48"/>
        <v>0</v>
      </c>
      <c r="L53" s="13">
        <f t="shared" si="48"/>
        <v>0</v>
      </c>
      <c r="M53" s="13">
        <f t="shared" si="48"/>
        <v>0</v>
      </c>
      <c r="N53" s="13">
        <f t="shared" si="48"/>
        <v>0</v>
      </c>
      <c r="O53" s="13">
        <f t="shared" si="48"/>
        <v>0</v>
      </c>
      <c r="P53" s="13">
        <f t="shared" si="48"/>
        <v>0</v>
      </c>
      <c r="Q53" s="13">
        <f t="shared" si="48"/>
        <v>0</v>
      </c>
      <c r="R53" s="13">
        <f t="shared" si="48"/>
        <v>0</v>
      </c>
      <c r="S53" s="13">
        <f t="shared" si="48"/>
        <v>0</v>
      </c>
      <c r="T53" s="13">
        <f t="shared" si="48"/>
        <v>0</v>
      </c>
      <c r="U53" s="13">
        <f t="shared" si="48"/>
        <v>0</v>
      </c>
      <c r="V53" s="13">
        <f t="shared" si="48"/>
        <v>0</v>
      </c>
      <c r="W53" s="13">
        <f t="shared" si="48"/>
        <v>0</v>
      </c>
      <c r="X53" s="13">
        <f t="shared" si="48"/>
        <v>0</v>
      </c>
      <c r="Y53" s="13">
        <f t="shared" si="48"/>
        <v>0</v>
      </c>
      <c r="Z53" s="13">
        <f t="shared" si="48"/>
        <v>0</v>
      </c>
      <c r="AA53" s="13">
        <f t="shared" si="48"/>
        <v>0</v>
      </c>
      <c r="AB53" s="13">
        <f t="shared" si="48"/>
        <v>0</v>
      </c>
      <c r="AC53" s="13">
        <f t="shared" si="48"/>
        <v>0</v>
      </c>
      <c r="AD53" s="13">
        <f t="shared" si="48"/>
        <v>0</v>
      </c>
      <c r="AE53" s="13">
        <f t="shared" si="48"/>
        <v>0</v>
      </c>
      <c r="AF53" s="13">
        <f t="shared" si="48"/>
        <v>0</v>
      </c>
      <c r="AG53" s="13">
        <f t="shared" si="48"/>
        <v>0</v>
      </c>
      <c r="AH53" s="13">
        <f t="shared" si="48"/>
        <v>0</v>
      </c>
      <c r="AI53" s="13">
        <f t="shared" si="48"/>
        <v>0</v>
      </c>
      <c r="AJ53" s="13">
        <f t="shared" si="48"/>
        <v>0</v>
      </c>
      <c r="AK53" s="13">
        <f t="shared" ref="AK53:BL53" si="49">IF(AK48&lt;0,1,0)</f>
        <v>0</v>
      </c>
      <c r="AL53" s="13">
        <f t="shared" si="49"/>
        <v>0</v>
      </c>
      <c r="AM53" s="13">
        <f t="shared" si="49"/>
        <v>0</v>
      </c>
      <c r="AN53" s="13">
        <f t="shared" si="49"/>
        <v>0</v>
      </c>
      <c r="AO53" s="13">
        <f t="shared" si="49"/>
        <v>0</v>
      </c>
      <c r="AP53" s="13">
        <f t="shared" si="49"/>
        <v>0</v>
      </c>
      <c r="AQ53" s="13">
        <f t="shared" si="49"/>
        <v>0</v>
      </c>
      <c r="AR53" s="13">
        <f t="shared" si="49"/>
        <v>0</v>
      </c>
      <c r="AS53" s="13">
        <f t="shared" si="49"/>
        <v>0</v>
      </c>
      <c r="AT53" s="13">
        <f t="shared" si="49"/>
        <v>0</v>
      </c>
      <c r="AU53" s="13">
        <f t="shared" si="49"/>
        <v>0</v>
      </c>
      <c r="AV53" s="13">
        <f t="shared" si="49"/>
        <v>0</v>
      </c>
      <c r="AW53" s="13">
        <f t="shared" si="49"/>
        <v>0</v>
      </c>
      <c r="AX53" s="13">
        <f t="shared" si="49"/>
        <v>0</v>
      </c>
      <c r="AY53" s="13">
        <f t="shared" si="49"/>
        <v>0</v>
      </c>
      <c r="AZ53" s="13">
        <f t="shared" si="49"/>
        <v>0</v>
      </c>
      <c r="BA53" s="13">
        <f t="shared" si="49"/>
        <v>0</v>
      </c>
      <c r="BB53" s="13">
        <f t="shared" si="49"/>
        <v>0</v>
      </c>
      <c r="BC53" s="13">
        <f t="shared" si="49"/>
        <v>0</v>
      </c>
      <c r="BD53" s="13">
        <f t="shared" si="49"/>
        <v>0</v>
      </c>
      <c r="BE53" s="13">
        <f t="shared" si="49"/>
        <v>0</v>
      </c>
      <c r="BF53" s="13">
        <f t="shared" si="49"/>
        <v>0</v>
      </c>
      <c r="BG53" s="13">
        <f t="shared" si="49"/>
        <v>0</v>
      </c>
      <c r="BH53" s="13">
        <f t="shared" si="49"/>
        <v>0</v>
      </c>
      <c r="BI53" s="13">
        <f t="shared" si="49"/>
        <v>0</v>
      </c>
      <c r="BJ53" s="13">
        <f t="shared" si="49"/>
        <v>0</v>
      </c>
      <c r="BK53" s="13">
        <f t="shared" si="49"/>
        <v>0</v>
      </c>
      <c r="BL53" s="13">
        <f t="shared" si="49"/>
        <v>0</v>
      </c>
    </row>
    <row r="54" spans="2:64" x14ac:dyDescent="0.35">
      <c r="B54" s="16" t="s">
        <v>432</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row>
    <row r="55" spans="2:64" x14ac:dyDescent="0.35">
      <c r="B55" s="3" t="s">
        <v>433</v>
      </c>
      <c r="C55" s="18" t="s">
        <v>415</v>
      </c>
      <c r="D55" s="13">
        <f>SUM(E55:BL55)</f>
        <v>0</v>
      </c>
      <c r="E55" s="13">
        <f t="shared" ref="E55:AJ55" si="50">IF(AND(E28&gt;0,F55=1),1,0)</f>
        <v>0</v>
      </c>
      <c r="F55" s="13">
        <f t="shared" si="50"/>
        <v>0</v>
      </c>
      <c r="G55" s="13">
        <f t="shared" si="50"/>
        <v>0</v>
      </c>
      <c r="H55" s="13">
        <f t="shared" si="50"/>
        <v>0</v>
      </c>
      <c r="I55" s="13">
        <f t="shared" si="50"/>
        <v>0</v>
      </c>
      <c r="J55" s="13">
        <f t="shared" si="50"/>
        <v>0</v>
      </c>
      <c r="K55" s="13">
        <f t="shared" si="50"/>
        <v>0</v>
      </c>
      <c r="L55" s="13">
        <f t="shared" si="50"/>
        <v>0</v>
      </c>
      <c r="M55" s="13">
        <f t="shared" si="50"/>
        <v>0</v>
      </c>
      <c r="N55" s="13">
        <f t="shared" si="50"/>
        <v>0</v>
      </c>
      <c r="O55" s="13">
        <f t="shared" si="50"/>
        <v>0</v>
      </c>
      <c r="P55" s="13">
        <f t="shared" si="50"/>
        <v>0</v>
      </c>
      <c r="Q55" s="13">
        <f t="shared" si="50"/>
        <v>0</v>
      </c>
      <c r="R55" s="13">
        <f t="shared" si="50"/>
        <v>0</v>
      </c>
      <c r="S55" s="13">
        <f t="shared" si="50"/>
        <v>0</v>
      </c>
      <c r="T55" s="13">
        <f t="shared" si="50"/>
        <v>0</v>
      </c>
      <c r="U55" s="13">
        <f t="shared" si="50"/>
        <v>0</v>
      </c>
      <c r="V55" s="13">
        <f t="shared" si="50"/>
        <v>0</v>
      </c>
      <c r="W55" s="13">
        <f t="shared" si="50"/>
        <v>0</v>
      </c>
      <c r="X55" s="13">
        <f t="shared" si="50"/>
        <v>0</v>
      </c>
      <c r="Y55" s="13">
        <f t="shared" si="50"/>
        <v>0</v>
      </c>
      <c r="Z55" s="13">
        <f t="shared" si="50"/>
        <v>0</v>
      </c>
      <c r="AA55" s="13">
        <f t="shared" si="50"/>
        <v>0</v>
      </c>
      <c r="AB55" s="13">
        <f t="shared" si="50"/>
        <v>0</v>
      </c>
      <c r="AC55" s="13">
        <f t="shared" si="50"/>
        <v>0</v>
      </c>
      <c r="AD55" s="13">
        <f t="shared" si="50"/>
        <v>0</v>
      </c>
      <c r="AE55" s="13">
        <f t="shared" si="50"/>
        <v>0</v>
      </c>
      <c r="AF55" s="13">
        <f t="shared" si="50"/>
        <v>0</v>
      </c>
      <c r="AG55" s="13">
        <f t="shared" si="50"/>
        <v>0</v>
      </c>
      <c r="AH55" s="13">
        <f t="shared" si="50"/>
        <v>0</v>
      </c>
      <c r="AI55" s="13">
        <f t="shared" si="50"/>
        <v>0</v>
      </c>
      <c r="AJ55" s="13">
        <f t="shared" si="50"/>
        <v>0</v>
      </c>
      <c r="AK55" s="13">
        <f t="shared" ref="AK55:BK55" si="51">IF(AND(AK28&gt;0,AL55=1),1,0)</f>
        <v>0</v>
      </c>
      <c r="AL55" s="13">
        <f t="shared" si="51"/>
        <v>0</v>
      </c>
      <c r="AM55" s="13">
        <f t="shared" si="51"/>
        <v>0</v>
      </c>
      <c r="AN55" s="13">
        <f t="shared" si="51"/>
        <v>0</v>
      </c>
      <c r="AO55" s="13">
        <f t="shared" si="51"/>
        <v>0</v>
      </c>
      <c r="AP55" s="13">
        <f t="shared" si="51"/>
        <v>0</v>
      </c>
      <c r="AQ55" s="13">
        <f t="shared" si="51"/>
        <v>0</v>
      </c>
      <c r="AR55" s="13">
        <f t="shared" si="51"/>
        <v>0</v>
      </c>
      <c r="AS55" s="13">
        <f t="shared" si="51"/>
        <v>0</v>
      </c>
      <c r="AT55" s="13">
        <f t="shared" si="51"/>
        <v>0</v>
      </c>
      <c r="AU55" s="13">
        <f t="shared" si="51"/>
        <v>0</v>
      </c>
      <c r="AV55" s="13">
        <f t="shared" si="51"/>
        <v>0</v>
      </c>
      <c r="AW55" s="13">
        <f t="shared" si="51"/>
        <v>0</v>
      </c>
      <c r="AX55" s="13">
        <f t="shared" si="51"/>
        <v>0</v>
      </c>
      <c r="AY55" s="13">
        <f t="shared" si="51"/>
        <v>0</v>
      </c>
      <c r="AZ55" s="13">
        <f t="shared" si="51"/>
        <v>0</v>
      </c>
      <c r="BA55" s="13">
        <f t="shared" si="51"/>
        <v>0</v>
      </c>
      <c r="BB55" s="13">
        <f t="shared" si="51"/>
        <v>0</v>
      </c>
      <c r="BC55" s="13">
        <f t="shared" si="51"/>
        <v>0</v>
      </c>
      <c r="BD55" s="13">
        <f t="shared" si="51"/>
        <v>0</v>
      </c>
      <c r="BE55" s="13">
        <f t="shared" si="51"/>
        <v>0</v>
      </c>
      <c r="BF55" s="13">
        <f t="shared" si="51"/>
        <v>0</v>
      </c>
      <c r="BG55" s="13">
        <f t="shared" si="51"/>
        <v>0</v>
      </c>
      <c r="BH55" s="13">
        <f t="shared" si="51"/>
        <v>0</v>
      </c>
      <c r="BI55" s="13">
        <f t="shared" si="51"/>
        <v>0</v>
      </c>
      <c r="BJ55" s="13">
        <f t="shared" si="51"/>
        <v>0</v>
      </c>
      <c r="BK55" s="13">
        <f t="shared" si="51"/>
        <v>0</v>
      </c>
      <c r="BL55" s="13">
        <f>IF(BL28&gt;0,1,0)</f>
        <v>0</v>
      </c>
    </row>
    <row r="56" spans="2:64" x14ac:dyDescent="0.35">
      <c r="B56" s="3" t="s">
        <v>434</v>
      </c>
      <c r="C56" s="18" t="s">
        <v>415</v>
      </c>
      <c r="D56" s="13">
        <f>SUM(E56:BL56)</f>
        <v>0</v>
      </c>
      <c r="E56" s="13">
        <f t="shared" ref="E56:AJ56" si="52">IF(AND(E43&gt;0,F56=1),1,0)</f>
        <v>0</v>
      </c>
      <c r="F56" s="13">
        <f t="shared" si="52"/>
        <v>0</v>
      </c>
      <c r="G56" s="13">
        <f t="shared" si="52"/>
        <v>0</v>
      </c>
      <c r="H56" s="13">
        <f t="shared" si="52"/>
        <v>0</v>
      </c>
      <c r="I56" s="13">
        <f t="shared" si="52"/>
        <v>0</v>
      </c>
      <c r="J56" s="13">
        <f t="shared" si="52"/>
        <v>0</v>
      </c>
      <c r="K56" s="13">
        <f t="shared" si="52"/>
        <v>0</v>
      </c>
      <c r="L56" s="13">
        <f t="shared" si="52"/>
        <v>0</v>
      </c>
      <c r="M56" s="13">
        <f t="shared" si="52"/>
        <v>0</v>
      </c>
      <c r="N56" s="13">
        <f t="shared" si="52"/>
        <v>0</v>
      </c>
      <c r="O56" s="13">
        <f t="shared" si="52"/>
        <v>0</v>
      </c>
      <c r="P56" s="13">
        <f t="shared" si="52"/>
        <v>0</v>
      </c>
      <c r="Q56" s="13">
        <f t="shared" si="52"/>
        <v>0</v>
      </c>
      <c r="R56" s="13">
        <f t="shared" si="52"/>
        <v>0</v>
      </c>
      <c r="S56" s="13">
        <f t="shared" si="52"/>
        <v>0</v>
      </c>
      <c r="T56" s="13">
        <f t="shared" si="52"/>
        <v>0</v>
      </c>
      <c r="U56" s="13">
        <f t="shared" si="52"/>
        <v>0</v>
      </c>
      <c r="V56" s="13">
        <f t="shared" si="52"/>
        <v>0</v>
      </c>
      <c r="W56" s="13">
        <f t="shared" si="52"/>
        <v>0</v>
      </c>
      <c r="X56" s="13">
        <f t="shared" si="52"/>
        <v>0</v>
      </c>
      <c r="Y56" s="13">
        <f t="shared" si="52"/>
        <v>0</v>
      </c>
      <c r="Z56" s="13">
        <f t="shared" si="52"/>
        <v>0</v>
      </c>
      <c r="AA56" s="13">
        <f t="shared" si="52"/>
        <v>0</v>
      </c>
      <c r="AB56" s="13">
        <f t="shared" si="52"/>
        <v>0</v>
      </c>
      <c r="AC56" s="13">
        <f t="shared" si="52"/>
        <v>0</v>
      </c>
      <c r="AD56" s="13">
        <f t="shared" si="52"/>
        <v>0</v>
      </c>
      <c r="AE56" s="13">
        <f t="shared" si="52"/>
        <v>0</v>
      </c>
      <c r="AF56" s="13">
        <f t="shared" si="52"/>
        <v>0</v>
      </c>
      <c r="AG56" s="13">
        <f t="shared" si="52"/>
        <v>0</v>
      </c>
      <c r="AH56" s="13">
        <f t="shared" si="52"/>
        <v>0</v>
      </c>
      <c r="AI56" s="13">
        <f t="shared" si="52"/>
        <v>0</v>
      </c>
      <c r="AJ56" s="13">
        <f t="shared" si="52"/>
        <v>0</v>
      </c>
      <c r="AK56" s="13">
        <f t="shared" ref="AK56:BK56" si="53">IF(AND(AK43&gt;0,AL56=1),1,0)</f>
        <v>0</v>
      </c>
      <c r="AL56" s="13">
        <f t="shared" si="53"/>
        <v>0</v>
      </c>
      <c r="AM56" s="13">
        <f t="shared" si="53"/>
        <v>0</v>
      </c>
      <c r="AN56" s="13">
        <f t="shared" si="53"/>
        <v>0</v>
      </c>
      <c r="AO56" s="13">
        <f t="shared" si="53"/>
        <v>0</v>
      </c>
      <c r="AP56" s="13">
        <f t="shared" si="53"/>
        <v>0</v>
      </c>
      <c r="AQ56" s="13">
        <f t="shared" si="53"/>
        <v>0</v>
      </c>
      <c r="AR56" s="13">
        <f t="shared" si="53"/>
        <v>0</v>
      </c>
      <c r="AS56" s="13">
        <f t="shared" si="53"/>
        <v>0</v>
      </c>
      <c r="AT56" s="13">
        <f t="shared" si="53"/>
        <v>0</v>
      </c>
      <c r="AU56" s="13">
        <f t="shared" si="53"/>
        <v>0</v>
      </c>
      <c r="AV56" s="13">
        <f t="shared" si="53"/>
        <v>0</v>
      </c>
      <c r="AW56" s="13">
        <f t="shared" si="53"/>
        <v>0</v>
      </c>
      <c r="AX56" s="13">
        <f t="shared" si="53"/>
        <v>0</v>
      </c>
      <c r="AY56" s="13">
        <f t="shared" si="53"/>
        <v>0</v>
      </c>
      <c r="AZ56" s="13">
        <f t="shared" si="53"/>
        <v>0</v>
      </c>
      <c r="BA56" s="13">
        <f t="shared" si="53"/>
        <v>0</v>
      </c>
      <c r="BB56" s="13">
        <f t="shared" si="53"/>
        <v>0</v>
      </c>
      <c r="BC56" s="13">
        <f t="shared" si="53"/>
        <v>0</v>
      </c>
      <c r="BD56" s="13">
        <f t="shared" si="53"/>
        <v>0</v>
      </c>
      <c r="BE56" s="13">
        <f t="shared" si="53"/>
        <v>0</v>
      </c>
      <c r="BF56" s="13">
        <f t="shared" si="53"/>
        <v>0</v>
      </c>
      <c r="BG56" s="13">
        <f t="shared" si="53"/>
        <v>0</v>
      </c>
      <c r="BH56" s="13">
        <f t="shared" si="53"/>
        <v>0</v>
      </c>
      <c r="BI56" s="13">
        <f t="shared" si="53"/>
        <v>0</v>
      </c>
      <c r="BJ56" s="13">
        <f t="shared" si="53"/>
        <v>0</v>
      </c>
      <c r="BK56" s="13">
        <f t="shared" si="53"/>
        <v>0</v>
      </c>
      <c r="BL56" s="13">
        <f>IF(BL43&gt;0,1,0)</f>
        <v>0</v>
      </c>
    </row>
    <row r="57" spans="2:64" x14ac:dyDescent="0.35">
      <c r="B57" s="3" t="s">
        <v>435</v>
      </c>
      <c r="C57" s="18" t="s">
        <v>111</v>
      </c>
      <c r="D57" s="20">
        <f>BL57</f>
        <v>-16385169.17365801</v>
      </c>
      <c r="E57" s="20">
        <f>E43+E44</f>
        <v>-56017.54924185518</v>
      </c>
      <c r="F57" s="20">
        <f t="shared" ref="F57:AK57" si="54">E57+F43+F44</f>
        <v>-118459.10506136656</v>
      </c>
      <c r="G57" s="20">
        <f t="shared" si="54"/>
        <v>-188592.21059261131</v>
      </c>
      <c r="H57" s="20">
        <f t="shared" si="54"/>
        <v>-296334.16483159299</v>
      </c>
      <c r="I57" s="20">
        <f t="shared" si="54"/>
        <v>-403901.64475895232</v>
      </c>
      <c r="J57" s="20">
        <f t="shared" si="54"/>
        <v>-502594.37315163086</v>
      </c>
      <c r="K57" s="20">
        <f t="shared" si="54"/>
        <v>-601410.46745480027</v>
      </c>
      <c r="L57" s="20">
        <f t="shared" si="54"/>
        <v>-775760.53275759157</v>
      </c>
      <c r="M57" s="20">
        <f t="shared" si="54"/>
        <v>-929041.93858182419</v>
      </c>
      <c r="N57" s="20">
        <f t="shared" si="54"/>
        <v>-1135117.2663183957</v>
      </c>
      <c r="O57" s="20">
        <f t="shared" si="54"/>
        <v>-1338745.9658131173</v>
      </c>
      <c r="P57" s="20">
        <f t="shared" si="54"/>
        <v>-1549783.3766964844</v>
      </c>
      <c r="Q57" s="20">
        <f t="shared" si="54"/>
        <v>-1786573.6435957872</v>
      </c>
      <c r="R57" s="20">
        <f t="shared" si="54"/>
        <v>-2015386.0619397154</v>
      </c>
      <c r="S57" s="20">
        <f t="shared" si="54"/>
        <v>-2244397.4356361325</v>
      </c>
      <c r="T57" s="20">
        <f t="shared" si="54"/>
        <v>-2473607.1535681174</v>
      </c>
      <c r="U57" s="20">
        <f t="shared" si="54"/>
        <v>-2703017.9398889677</v>
      </c>
      <c r="V57" s="20">
        <f t="shared" si="54"/>
        <v>-2932630.1134541743</v>
      </c>
      <c r="W57" s="20">
        <f t="shared" si="54"/>
        <v>-3411914.5501070544</v>
      </c>
      <c r="X57" s="20">
        <f t="shared" si="54"/>
        <v>-3690959.3914197446</v>
      </c>
      <c r="Y57" s="20">
        <f t="shared" si="54"/>
        <v>-3970441.4769298751</v>
      </c>
      <c r="Z57" s="20">
        <f t="shared" si="54"/>
        <v>-4250370.132623815</v>
      </c>
      <c r="AA57" s="20">
        <f t="shared" si="54"/>
        <v>-4530738.6469187289</v>
      </c>
      <c r="AB57" s="20">
        <f t="shared" si="54"/>
        <v>-4837755.0222742064</v>
      </c>
      <c r="AC57" s="20">
        <f t="shared" si="54"/>
        <v>-5161942.4927764749</v>
      </c>
      <c r="AD57" s="20">
        <f t="shared" si="54"/>
        <v>-5485093.5189346708</v>
      </c>
      <c r="AE57" s="20">
        <f t="shared" si="54"/>
        <v>-5807144.2181599187</v>
      </c>
      <c r="AF57" s="20">
        <f t="shared" si="54"/>
        <v>-6128024.085247851</v>
      </c>
      <c r="AG57" s="20">
        <f t="shared" si="54"/>
        <v>-6447654.9844202753</v>
      </c>
      <c r="AH57" s="20">
        <f t="shared" si="54"/>
        <v>-6765950.5746411318</v>
      </c>
      <c r="AI57" s="20">
        <f t="shared" si="54"/>
        <v>-7082815.1197214518</v>
      </c>
      <c r="AJ57" s="20">
        <f t="shared" si="54"/>
        <v>-7398142.710162404</v>
      </c>
      <c r="AK57" s="20">
        <f t="shared" si="54"/>
        <v>-7711815.8456416288</v>
      </c>
      <c r="AL57" s="20">
        <f t="shared" ref="AL57:BL57" si="55">AK57+AL43+AL44</f>
        <v>-8023704.4021605607</v>
      </c>
      <c r="AM57" s="20">
        <f t="shared" si="55"/>
        <v>-8333663.9294644669</v>
      </c>
      <c r="AN57" s="20">
        <f t="shared" si="55"/>
        <v>-8641534.4289246295</v>
      </c>
      <c r="AO57" s="20">
        <f t="shared" si="55"/>
        <v>-8987758.977211155</v>
      </c>
      <c r="AP57" s="20">
        <f t="shared" si="55"/>
        <v>-9332492.514195852</v>
      </c>
      <c r="AQ57" s="20">
        <f t="shared" si="55"/>
        <v>-9675583.8988854587</v>
      </c>
      <c r="AR57" s="20">
        <f t="shared" si="55"/>
        <v>-10016868.145248961</v>
      </c>
      <c r="AS57" s="20">
        <f t="shared" si="55"/>
        <v>-10356165.06406166</v>
      </c>
      <c r="AT57" s="20">
        <f t="shared" si="55"/>
        <v>-10693277.767827718</v>
      </c>
      <c r="AU57" s="20">
        <f t="shared" si="55"/>
        <v>-11027991.024838267</v>
      </c>
      <c r="AV57" s="20">
        <f t="shared" si="55"/>
        <v>-11360069.446997115</v>
      </c>
      <c r="AW57" s="20">
        <f t="shared" si="55"/>
        <v>-11689255.494475082</v>
      </c>
      <c r="AX57" s="20">
        <f t="shared" si="55"/>
        <v>-12015267.278522281</v>
      </c>
      <c r="AY57" s="20">
        <f t="shared" si="55"/>
        <v>-12337796.141858647</v>
      </c>
      <c r="AZ57" s="20">
        <f t="shared" si="55"/>
        <v>-12656503.993958542</v>
      </c>
      <c r="BA57" s="20">
        <f t="shared" si="55"/>
        <v>-12982046.046311805</v>
      </c>
      <c r="BB57" s="20">
        <f t="shared" si="55"/>
        <v>-13305293.218318207</v>
      </c>
      <c r="BC57" s="20">
        <f t="shared" si="55"/>
        <v>-13626136.224448742</v>
      </c>
      <c r="BD57" s="20">
        <f t="shared" si="55"/>
        <v>-13944461.366604883</v>
      </c>
      <c r="BE57" s="20">
        <f t="shared" si="55"/>
        <v>-14260150.353452299</v>
      </c>
      <c r="BF57" s="20">
        <f t="shared" si="55"/>
        <v>-14573080.112222383</v>
      </c>
      <c r="BG57" s="20">
        <f t="shared" si="55"/>
        <v>-14883122.592662195</v>
      </c>
      <c r="BH57" s="20">
        <f t="shared" si="55"/>
        <v>-15190144.562799627</v>
      </c>
      <c r="BI57" s="20">
        <f t="shared" si="55"/>
        <v>-15494007.396176286</v>
      </c>
      <c r="BJ57" s="20">
        <f t="shared" si="55"/>
        <v>-15794566.850185579</v>
      </c>
      <c r="BK57" s="20">
        <f t="shared" si="55"/>
        <v>-16091672.835137835</v>
      </c>
      <c r="BL57" s="20">
        <f t="shared" si="55"/>
        <v>-16385169.17365801</v>
      </c>
    </row>
    <row r="58" spans="2:64" x14ac:dyDescent="0.35">
      <c r="B58" s="3" t="s">
        <v>436</v>
      </c>
      <c r="C58" s="18" t="s">
        <v>111</v>
      </c>
      <c r="D58" s="20">
        <f>BL58</f>
        <v>-16385169.17365801</v>
      </c>
      <c r="E58" s="20">
        <f>E57</f>
        <v>-56017.54924185518</v>
      </c>
      <c r="F58" s="20">
        <f t="shared" ref="F58:AK58" si="56">MIN(E58,F57)</f>
        <v>-118459.10506136656</v>
      </c>
      <c r="G58" s="20">
        <f t="shared" si="56"/>
        <v>-188592.21059261131</v>
      </c>
      <c r="H58" s="20">
        <f t="shared" si="56"/>
        <v>-296334.16483159299</v>
      </c>
      <c r="I58" s="20">
        <f t="shared" si="56"/>
        <v>-403901.64475895232</v>
      </c>
      <c r="J58" s="20">
        <f t="shared" si="56"/>
        <v>-502594.37315163086</v>
      </c>
      <c r="K58" s="20">
        <f t="shared" si="56"/>
        <v>-601410.46745480027</v>
      </c>
      <c r="L58" s="20">
        <f t="shared" si="56"/>
        <v>-775760.53275759157</v>
      </c>
      <c r="M58" s="20">
        <f t="shared" si="56"/>
        <v>-929041.93858182419</v>
      </c>
      <c r="N58" s="20">
        <f t="shared" si="56"/>
        <v>-1135117.2663183957</v>
      </c>
      <c r="O58" s="20">
        <f t="shared" si="56"/>
        <v>-1338745.9658131173</v>
      </c>
      <c r="P58" s="20">
        <f t="shared" si="56"/>
        <v>-1549783.3766964844</v>
      </c>
      <c r="Q58" s="20">
        <f t="shared" si="56"/>
        <v>-1786573.6435957872</v>
      </c>
      <c r="R58" s="20">
        <f t="shared" si="56"/>
        <v>-2015386.0619397154</v>
      </c>
      <c r="S58" s="20">
        <f t="shared" si="56"/>
        <v>-2244397.4356361325</v>
      </c>
      <c r="T58" s="20">
        <f t="shared" si="56"/>
        <v>-2473607.1535681174</v>
      </c>
      <c r="U58" s="20">
        <f t="shared" si="56"/>
        <v>-2703017.9398889677</v>
      </c>
      <c r="V58" s="20">
        <f t="shared" si="56"/>
        <v>-2932630.1134541743</v>
      </c>
      <c r="W58" s="20">
        <f t="shared" si="56"/>
        <v>-3411914.5501070544</v>
      </c>
      <c r="X58" s="20">
        <f t="shared" si="56"/>
        <v>-3690959.3914197446</v>
      </c>
      <c r="Y58" s="20">
        <f t="shared" si="56"/>
        <v>-3970441.4769298751</v>
      </c>
      <c r="Z58" s="20">
        <f t="shared" si="56"/>
        <v>-4250370.132623815</v>
      </c>
      <c r="AA58" s="20">
        <f t="shared" si="56"/>
        <v>-4530738.6469187289</v>
      </c>
      <c r="AB58" s="20">
        <f t="shared" si="56"/>
        <v>-4837755.0222742064</v>
      </c>
      <c r="AC58" s="20">
        <f t="shared" si="56"/>
        <v>-5161942.4927764749</v>
      </c>
      <c r="AD58" s="20">
        <f t="shared" si="56"/>
        <v>-5485093.5189346708</v>
      </c>
      <c r="AE58" s="20">
        <f t="shared" si="56"/>
        <v>-5807144.2181599187</v>
      </c>
      <c r="AF58" s="20">
        <f t="shared" si="56"/>
        <v>-6128024.085247851</v>
      </c>
      <c r="AG58" s="20">
        <f t="shared" si="56"/>
        <v>-6447654.9844202753</v>
      </c>
      <c r="AH58" s="20">
        <f t="shared" si="56"/>
        <v>-6765950.5746411318</v>
      </c>
      <c r="AI58" s="20">
        <f t="shared" si="56"/>
        <v>-7082815.1197214518</v>
      </c>
      <c r="AJ58" s="20">
        <f t="shared" si="56"/>
        <v>-7398142.710162404</v>
      </c>
      <c r="AK58" s="20">
        <f t="shared" si="56"/>
        <v>-7711815.8456416288</v>
      </c>
      <c r="AL58" s="20">
        <f t="shared" ref="AL58:BQ58" si="57">MIN(AK58,AL57)</f>
        <v>-8023704.4021605607</v>
      </c>
      <c r="AM58" s="20">
        <f t="shared" si="57"/>
        <v>-8333663.9294644669</v>
      </c>
      <c r="AN58" s="20">
        <f t="shared" si="57"/>
        <v>-8641534.4289246295</v>
      </c>
      <c r="AO58" s="20">
        <f t="shared" si="57"/>
        <v>-8987758.977211155</v>
      </c>
      <c r="AP58" s="20">
        <f t="shared" si="57"/>
        <v>-9332492.514195852</v>
      </c>
      <c r="AQ58" s="20">
        <f t="shared" si="57"/>
        <v>-9675583.8988854587</v>
      </c>
      <c r="AR58" s="20">
        <f t="shared" si="57"/>
        <v>-10016868.145248961</v>
      </c>
      <c r="AS58" s="20">
        <f t="shared" si="57"/>
        <v>-10356165.06406166</v>
      </c>
      <c r="AT58" s="20">
        <f t="shared" si="57"/>
        <v>-10693277.767827718</v>
      </c>
      <c r="AU58" s="20">
        <f t="shared" si="57"/>
        <v>-11027991.024838267</v>
      </c>
      <c r="AV58" s="20">
        <f t="shared" si="57"/>
        <v>-11360069.446997115</v>
      </c>
      <c r="AW58" s="20">
        <f t="shared" si="57"/>
        <v>-11689255.494475082</v>
      </c>
      <c r="AX58" s="20">
        <f t="shared" si="57"/>
        <v>-12015267.278522281</v>
      </c>
      <c r="AY58" s="20">
        <f t="shared" si="57"/>
        <v>-12337796.141858647</v>
      </c>
      <c r="AZ58" s="20">
        <f t="shared" si="57"/>
        <v>-12656503.993958542</v>
      </c>
      <c r="BA58" s="20">
        <f t="shared" si="57"/>
        <v>-12982046.046311805</v>
      </c>
      <c r="BB58" s="20">
        <f t="shared" si="57"/>
        <v>-13305293.218318207</v>
      </c>
      <c r="BC58" s="20">
        <f t="shared" si="57"/>
        <v>-13626136.224448742</v>
      </c>
      <c r="BD58" s="20">
        <f t="shared" si="57"/>
        <v>-13944461.366604883</v>
      </c>
      <c r="BE58" s="20">
        <f t="shared" si="57"/>
        <v>-14260150.353452299</v>
      </c>
      <c r="BF58" s="20">
        <f t="shared" si="57"/>
        <v>-14573080.112222383</v>
      </c>
      <c r="BG58" s="20">
        <f t="shared" si="57"/>
        <v>-14883122.592662195</v>
      </c>
      <c r="BH58" s="20">
        <f t="shared" si="57"/>
        <v>-15190144.562799627</v>
      </c>
      <c r="BI58" s="20">
        <f t="shared" si="57"/>
        <v>-15494007.396176286</v>
      </c>
      <c r="BJ58" s="20">
        <f t="shared" si="57"/>
        <v>-15794566.850185579</v>
      </c>
      <c r="BK58" s="20">
        <f t="shared" si="57"/>
        <v>-16091672.835137835</v>
      </c>
      <c r="BL58" s="20">
        <f t="shared" si="57"/>
        <v>-16385169.17365801</v>
      </c>
    </row>
    <row r="59" spans="2:64" x14ac:dyDescent="0.35">
      <c r="B59" s="3" t="s">
        <v>437</v>
      </c>
      <c r="C59" s="18" t="s">
        <v>415</v>
      </c>
      <c r="D59" s="13">
        <f>SUM(E59:BL59)</f>
        <v>0</v>
      </c>
      <c r="F59" s="13">
        <f t="shared" ref="F59:AK59" si="58">IF(AND(F57&gt;=0,E58&lt;0),1,0)</f>
        <v>0</v>
      </c>
      <c r="G59" s="13">
        <f t="shared" si="58"/>
        <v>0</v>
      </c>
      <c r="H59" s="13">
        <f t="shared" si="58"/>
        <v>0</v>
      </c>
      <c r="I59" s="13">
        <f t="shared" si="58"/>
        <v>0</v>
      </c>
      <c r="J59" s="13">
        <f t="shared" si="58"/>
        <v>0</v>
      </c>
      <c r="K59" s="13">
        <f t="shared" si="58"/>
        <v>0</v>
      </c>
      <c r="L59" s="13">
        <f t="shared" si="58"/>
        <v>0</v>
      </c>
      <c r="M59" s="13">
        <f t="shared" si="58"/>
        <v>0</v>
      </c>
      <c r="N59" s="13">
        <f t="shared" si="58"/>
        <v>0</v>
      </c>
      <c r="O59" s="13">
        <f t="shared" si="58"/>
        <v>0</v>
      </c>
      <c r="P59" s="13">
        <f t="shared" si="58"/>
        <v>0</v>
      </c>
      <c r="Q59" s="13">
        <f t="shared" si="58"/>
        <v>0</v>
      </c>
      <c r="R59" s="13">
        <f t="shared" si="58"/>
        <v>0</v>
      </c>
      <c r="S59" s="13">
        <f t="shared" si="58"/>
        <v>0</v>
      </c>
      <c r="T59" s="13">
        <f t="shared" si="58"/>
        <v>0</v>
      </c>
      <c r="U59" s="13">
        <f t="shared" si="58"/>
        <v>0</v>
      </c>
      <c r="V59" s="13">
        <f t="shared" si="58"/>
        <v>0</v>
      </c>
      <c r="W59" s="13">
        <f t="shared" si="58"/>
        <v>0</v>
      </c>
      <c r="X59" s="13">
        <f t="shared" si="58"/>
        <v>0</v>
      </c>
      <c r="Y59" s="13">
        <f t="shared" si="58"/>
        <v>0</v>
      </c>
      <c r="Z59" s="13">
        <f t="shared" si="58"/>
        <v>0</v>
      </c>
      <c r="AA59" s="13">
        <f t="shared" si="58"/>
        <v>0</v>
      </c>
      <c r="AB59" s="13">
        <f t="shared" si="58"/>
        <v>0</v>
      </c>
      <c r="AC59" s="13">
        <f t="shared" si="58"/>
        <v>0</v>
      </c>
      <c r="AD59" s="13">
        <f t="shared" si="58"/>
        <v>0</v>
      </c>
      <c r="AE59" s="13">
        <f t="shared" si="58"/>
        <v>0</v>
      </c>
      <c r="AF59" s="13">
        <f t="shared" si="58"/>
        <v>0</v>
      </c>
      <c r="AG59" s="13">
        <f t="shared" si="58"/>
        <v>0</v>
      </c>
      <c r="AH59" s="13">
        <f t="shared" si="58"/>
        <v>0</v>
      </c>
      <c r="AI59" s="13">
        <f t="shared" si="58"/>
        <v>0</v>
      </c>
      <c r="AJ59" s="13">
        <f t="shared" si="58"/>
        <v>0</v>
      </c>
      <c r="AK59" s="13">
        <f t="shared" si="58"/>
        <v>0</v>
      </c>
      <c r="AL59" s="13">
        <f t="shared" ref="AL59:BL59" si="59">IF(AND(AL57&gt;=0,AK58&lt;0),1,0)</f>
        <v>0</v>
      </c>
      <c r="AM59" s="13">
        <f t="shared" si="59"/>
        <v>0</v>
      </c>
      <c r="AN59" s="13">
        <f t="shared" si="59"/>
        <v>0</v>
      </c>
      <c r="AO59" s="13">
        <f t="shared" si="59"/>
        <v>0</v>
      </c>
      <c r="AP59" s="13">
        <f t="shared" si="59"/>
        <v>0</v>
      </c>
      <c r="AQ59" s="13">
        <f t="shared" si="59"/>
        <v>0</v>
      </c>
      <c r="AR59" s="13">
        <f t="shared" si="59"/>
        <v>0</v>
      </c>
      <c r="AS59" s="13">
        <f t="shared" si="59"/>
        <v>0</v>
      </c>
      <c r="AT59" s="13">
        <f t="shared" si="59"/>
        <v>0</v>
      </c>
      <c r="AU59" s="13">
        <f t="shared" si="59"/>
        <v>0</v>
      </c>
      <c r="AV59" s="13">
        <f t="shared" si="59"/>
        <v>0</v>
      </c>
      <c r="AW59" s="13">
        <f t="shared" si="59"/>
        <v>0</v>
      </c>
      <c r="AX59" s="13">
        <f t="shared" si="59"/>
        <v>0</v>
      </c>
      <c r="AY59" s="13">
        <f t="shared" si="59"/>
        <v>0</v>
      </c>
      <c r="AZ59" s="13">
        <f t="shared" si="59"/>
        <v>0</v>
      </c>
      <c r="BA59" s="13">
        <f t="shared" si="59"/>
        <v>0</v>
      </c>
      <c r="BB59" s="13">
        <f t="shared" si="59"/>
        <v>0</v>
      </c>
      <c r="BC59" s="13">
        <f t="shared" si="59"/>
        <v>0</v>
      </c>
      <c r="BD59" s="13">
        <f t="shared" si="59"/>
        <v>0</v>
      </c>
      <c r="BE59" s="13">
        <f t="shared" si="59"/>
        <v>0</v>
      </c>
      <c r="BF59" s="13">
        <f t="shared" si="59"/>
        <v>0</v>
      </c>
      <c r="BG59" s="13">
        <f t="shared" si="59"/>
        <v>0</v>
      </c>
      <c r="BH59" s="13">
        <f t="shared" si="59"/>
        <v>0</v>
      </c>
      <c r="BI59" s="13">
        <f t="shared" si="59"/>
        <v>0</v>
      </c>
      <c r="BJ59" s="13">
        <f t="shared" si="59"/>
        <v>0</v>
      </c>
      <c r="BK59" s="13">
        <f t="shared" si="59"/>
        <v>0</v>
      </c>
      <c r="BL59" s="13">
        <f t="shared" si="59"/>
        <v>0</v>
      </c>
    </row>
    <row r="60" spans="2:64" x14ac:dyDescent="0.35">
      <c r="B60" s="3" t="s">
        <v>438</v>
      </c>
      <c r="C60" s="18" t="s">
        <v>203</v>
      </c>
      <c r="D60" s="77">
        <f>IF(SUM(E55:BL55)&gt;0,61-SUM(E55:BL55),0)</f>
        <v>0</v>
      </c>
    </row>
    <row r="61" spans="2:64" x14ac:dyDescent="0.35">
      <c r="B61" s="3" t="s">
        <v>17</v>
      </c>
      <c r="C61" s="18" t="s">
        <v>439</v>
      </c>
      <c r="D61" s="3" t="str">
        <f>IF(D60=0,"not reached",CHOOSE(MOD(D60-1,12)+1,"Jan","Feb","Mar","Apr","May","Jun","Jul","Aug","Sep","Oct","Nov","Dec")&amp;" "&amp;(2027+INT((D60-1)/12))&amp;" (month "&amp;D60&amp;")")</f>
        <v>not reached</v>
      </c>
    </row>
    <row r="62" spans="2:64" x14ac:dyDescent="0.35">
      <c r="B62" s="3" t="s">
        <v>440</v>
      </c>
      <c r="C62" s="18" t="s">
        <v>203</v>
      </c>
      <c r="D62" s="77">
        <f>IF(SUM(E56:BL56)&gt;0,61-SUM(E56:BL56),0)</f>
        <v>0</v>
      </c>
    </row>
    <row r="63" spans="2:64" x14ac:dyDescent="0.35">
      <c r="B63" s="3" t="s">
        <v>261</v>
      </c>
      <c r="C63" s="18" t="s">
        <v>439</v>
      </c>
      <c r="D63" s="3" t="str">
        <f>IF(D62=0,"not reached",CHOOSE(MOD(D62-1,12)+1,"Jan","Feb","Mar","Apr","May","Jun","Jul","Aug","Sep","Oct","Nov","Dec")&amp;" "&amp;(2027+INT((D62-1)/12))&amp;" (month "&amp;D62&amp;")")</f>
        <v>not reached</v>
      </c>
    </row>
    <row r="64" spans="2:64" x14ac:dyDescent="0.35">
      <c r="B64" s="3" t="s">
        <v>15</v>
      </c>
      <c r="C64" s="18" t="s">
        <v>111</v>
      </c>
      <c r="D64" s="56">
        <f>MIN(E48:BL48)</f>
        <v>423589.53254519962</v>
      </c>
    </row>
    <row r="65" spans="2:64" x14ac:dyDescent="0.35">
      <c r="B65" s="3" t="s">
        <v>441</v>
      </c>
      <c r="C65" s="18" t="s">
        <v>203</v>
      </c>
      <c r="D65" s="13">
        <f>MATCH(D64,E48:BL48,0)</f>
        <v>7</v>
      </c>
    </row>
    <row r="66" spans="2:64" x14ac:dyDescent="0.35">
      <c r="B66" s="3" t="s">
        <v>16</v>
      </c>
      <c r="C66" s="18" t="s">
        <v>439</v>
      </c>
      <c r="D66" s="3" t="str">
        <f>IF(D65=0,"not reached",CHOOSE(MOD(D65-1,12)+1,"Jan","Feb","Mar","Apr","May","Jun","Jul","Aug","Sep","Oct","Nov","Dec")&amp;" "&amp;(2027+INT((D65-1)/12))&amp;" (month "&amp;D65&amp;")")</f>
        <v>Jul 2027 (month 7)</v>
      </c>
    </row>
    <row r="67" spans="2:64" x14ac:dyDescent="0.35">
      <c r="B67" s="3" t="s">
        <v>442</v>
      </c>
      <c r="C67" s="18" t="s">
        <v>203</v>
      </c>
      <c r="D67" s="77">
        <f>IF(SUM(E59:BL59)&gt;0,MATCH(1,E59:BL59,0),0)</f>
        <v>0</v>
      </c>
    </row>
    <row r="68" spans="2:64" x14ac:dyDescent="0.35">
      <c r="B68" s="3" t="s">
        <v>263</v>
      </c>
      <c r="C68" s="18" t="s">
        <v>439</v>
      </c>
      <c r="D68" s="3" t="str">
        <f>IF(D67=0,"not reached",CHOOSE(MOD(D67-1,12)+1,"Jan","Feb","Mar","Apr","May","Jun","Jul","Aug","Sep","Oct","Nov","Dec")&amp;" "&amp;(2027+INT((D67-1)/12))&amp;" (month "&amp;D67&amp;")")</f>
        <v>not reached</v>
      </c>
    </row>
    <row r="69" spans="2:64" x14ac:dyDescent="0.35">
      <c r="B69" s="3" t="s">
        <v>443</v>
      </c>
      <c r="C69" s="18" t="s">
        <v>203</v>
      </c>
      <c r="D69" s="77">
        <f>IF(SUM(E53:BL53)&gt;0,MATCH(1,E53:BL53,0),0)</f>
        <v>0</v>
      </c>
    </row>
    <row r="70" spans="2:64" x14ac:dyDescent="0.35">
      <c r="B70" s="3" t="s">
        <v>258</v>
      </c>
      <c r="C70" s="18" t="s">
        <v>439</v>
      </c>
      <c r="D70" s="3" t="str">
        <f>IF(D69=0,"not within 60 months",CHOOSE(MOD(D69-1,12)+1,"Jan","Feb","Mar","Apr","May","Jun","Jul","Aug","Sep","Oct","Nov","Dec")&amp;" "&amp;(2027+INT((D69-1)/12))&amp;" (month "&amp;D69&amp;")")</f>
        <v>not within 60 months</v>
      </c>
    </row>
    <row r="71" spans="2:64" x14ac:dyDescent="0.35">
      <c r="B71" s="16" t="s">
        <v>398</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row>
    <row r="72" spans="2:64" x14ac:dyDescent="0.35">
      <c r="B72" s="3" t="s">
        <v>444</v>
      </c>
      <c r="C72" s="18" t="s">
        <v>111</v>
      </c>
      <c r="D72" s="53">
        <f>MAX(MAX(E72:BL72),-MIN(E72:BL72))</f>
        <v>4.4237822294235229E-9</v>
      </c>
      <c r="E72" s="40">
        <f>E48-(Inputs!$F$68+SUM($E28:E28)-SUM($E30:E30)-SUM($E40:E40)+SUM($E35:E35)+SUM($E45:E45))</f>
        <v>0</v>
      </c>
      <c r="F72" s="40">
        <f>F48-(Inputs!$F$68+SUM($E28:F28)-SUM($E30:F30)-SUM($E40:F40)+SUM($E35:F35)+SUM($E45:F45))</f>
        <v>0</v>
      </c>
      <c r="G72" s="40">
        <f>G48-(Inputs!$F$68+SUM($E28:G28)-SUM($E30:G30)-SUM($E40:G40)+SUM($E35:G35)+SUM($E45:G45))</f>
        <v>0</v>
      </c>
      <c r="H72" s="40">
        <f>H48-(Inputs!$F$68+SUM($E28:H28)-SUM($E30:H30)-SUM($E40:H40)+SUM($E35:H35)+SUM($E45:H45))</f>
        <v>0</v>
      </c>
      <c r="I72" s="40">
        <f>I48-(Inputs!$F$68+SUM($E28:I28)-SUM($E30:I30)-SUM($E40:I40)+SUM($E35:I35)+SUM($E45:I45))</f>
        <v>0</v>
      </c>
      <c r="J72" s="40">
        <f>J48-(Inputs!$F$68+SUM($E28:J28)-SUM($E30:J30)-SUM($E40:J40)+SUM($E35:J35)+SUM($E45:J45))</f>
        <v>0</v>
      </c>
      <c r="K72" s="40">
        <f>K48-(Inputs!$F$68+SUM($E28:K28)-SUM($E30:K30)-SUM($E40:K40)+SUM($E35:K35)+SUM($E45:K45))</f>
        <v>0</v>
      </c>
      <c r="L72" s="40">
        <f>L48-(Inputs!$F$68+SUM($E28:L28)-SUM($E30:L30)-SUM($E40:L40)+SUM($E35:L35)+SUM($E45:L45))</f>
        <v>0</v>
      </c>
      <c r="M72" s="40">
        <f>M48-(Inputs!$F$68+SUM($E28:M28)-SUM($E30:M30)-SUM($E40:M40)+SUM($E35:M35)+SUM($E45:M45))</f>
        <v>0</v>
      </c>
      <c r="N72" s="40">
        <f>N48-(Inputs!$F$68+SUM($E28:N28)-SUM($E30:N30)-SUM($E40:N40)+SUM($E35:N35)+SUM($E45:N45))</f>
        <v>0</v>
      </c>
      <c r="O72" s="40">
        <f>O48-(Inputs!$F$68+SUM($E28:O28)-SUM($E30:O30)-SUM($E40:O40)+SUM($E35:O35)+SUM($E45:O45))</f>
        <v>0</v>
      </c>
      <c r="P72" s="40">
        <f>P48-(Inputs!$F$68+SUM($E28:P28)-SUM($E30:P30)-SUM($E40:P40)+SUM($E35:P35)+SUM($E45:P45))</f>
        <v>0</v>
      </c>
      <c r="Q72" s="40">
        <f>Q48-(Inputs!$F$68+SUM($E28:Q28)-SUM($E30:Q30)-SUM($E40:Q40)+SUM($E35:Q35)+SUM($E45:Q45))</f>
        <v>0</v>
      </c>
      <c r="R72" s="40">
        <f>R48-(Inputs!$F$68+SUM($E28:R28)-SUM($E30:R30)-SUM($E40:R40)+SUM($E35:R35)+SUM($E45:R45))</f>
        <v>0</v>
      </c>
      <c r="S72" s="40">
        <f>S48-(Inputs!$F$68+SUM($E28:S28)-SUM($E30:S30)-SUM($E40:S40)+SUM($E35:S35)+SUM($E45:S45))</f>
        <v>0</v>
      </c>
      <c r="T72" s="40">
        <f>T48-(Inputs!$F$68+SUM($E28:T28)-SUM($E30:T30)-SUM($E40:T40)+SUM($E35:T35)+SUM($E45:T45))</f>
        <v>0</v>
      </c>
      <c r="U72" s="40">
        <f>U48-(Inputs!$F$68+SUM($E28:U28)-SUM($E30:U30)-SUM($E40:U40)+SUM($E35:U35)+SUM($E45:U45))</f>
        <v>0</v>
      </c>
      <c r="V72" s="40">
        <f>V48-(Inputs!$F$68+SUM($E28:V28)-SUM($E30:V30)-SUM($E40:V40)+SUM($E35:V35)+SUM($E45:V45))</f>
        <v>0</v>
      </c>
      <c r="W72" s="40">
        <f>W48-(Inputs!$F$68+SUM($E28:W28)-SUM($E30:W30)-SUM($E40:W40)+SUM($E35:W35)+SUM($E45:W45))</f>
        <v>0</v>
      </c>
      <c r="X72" s="40">
        <f>X48-(Inputs!$F$68+SUM($E28:X28)-SUM($E30:X30)-SUM($E40:X40)+SUM($E35:X35)+SUM($E45:X45))</f>
        <v>0</v>
      </c>
      <c r="Y72" s="40">
        <f>Y48-(Inputs!$F$68+SUM($E28:Y28)-SUM($E30:Y30)-SUM($E40:Y40)+SUM($E35:Y35)+SUM($E45:Y45))</f>
        <v>0</v>
      </c>
      <c r="Z72" s="40">
        <f>Z48-(Inputs!$F$68+SUM($E28:Z28)-SUM($E30:Z30)-SUM($E40:Z40)+SUM($E35:Z35)+SUM($E45:Z45))</f>
        <v>0</v>
      </c>
      <c r="AA72" s="40">
        <f>AA48-(Inputs!$F$68+SUM($E28:AA28)-SUM($E30:AA30)-SUM($E40:AA40)+SUM($E35:AA35)+SUM($E45:AA45))</f>
        <v>0</v>
      </c>
      <c r="AB72" s="40">
        <f>AB48-(Inputs!$F$68+SUM($E28:AB28)-SUM($E30:AB30)-SUM($E40:AB40)+SUM($E35:AB35)+SUM($E45:AB45))</f>
        <v>0</v>
      </c>
      <c r="AC72" s="40">
        <f>AC48-(Inputs!$F$68+SUM($E28:AC28)-SUM($E30:AC30)-SUM($E40:AC40)+SUM($E35:AC35)+SUM($E45:AC45))</f>
        <v>0</v>
      </c>
      <c r="AD72" s="40">
        <f>AD48-(Inputs!$F$68+SUM($E28:AD28)-SUM($E30:AD30)-SUM($E40:AD40)+SUM($E35:AD35)+SUM($E45:AD45))</f>
        <v>0</v>
      </c>
      <c r="AE72" s="40">
        <f>AE48-(Inputs!$F$68+SUM($E28:AE28)-SUM($E30:AE30)-SUM($E40:AE40)+SUM($E35:AE35)+SUM($E45:AE45))</f>
        <v>0</v>
      </c>
      <c r="AF72" s="40">
        <f>AF48-(Inputs!$F$68+SUM($E28:AF28)-SUM($E30:AF30)-SUM($E40:AF40)+SUM($E35:AF35)+SUM($E45:AF45))</f>
        <v>0</v>
      </c>
      <c r="AG72" s="40">
        <f>AG48-(Inputs!$F$68+SUM($E28:AG28)-SUM($E30:AG30)-SUM($E40:AG40)+SUM($E35:AG35)+SUM($E45:AG45))</f>
        <v>0</v>
      </c>
      <c r="AH72" s="40">
        <f>AH48-(Inputs!$F$68+SUM($E28:AH28)-SUM($E30:AH30)-SUM($E40:AH40)+SUM($E35:AH35)+SUM($E45:AH45))</f>
        <v>0</v>
      </c>
      <c r="AI72" s="40">
        <f>AI48-(Inputs!$F$68+SUM($E28:AI28)-SUM($E30:AI30)-SUM($E40:AI40)+SUM($E35:AI35)+SUM($E45:AI45))</f>
        <v>0</v>
      </c>
      <c r="AJ72" s="40">
        <f>AJ48-(Inputs!$F$68+SUM($E28:AJ28)-SUM($E30:AJ30)-SUM($E40:AJ40)+SUM($E35:AJ35)+SUM($E45:AJ45))</f>
        <v>0</v>
      </c>
      <c r="AK72" s="40">
        <f>AK48-(Inputs!$F$68+SUM($E28:AK28)-SUM($E30:AK30)-SUM($E40:AK40)+SUM($E35:AK35)+SUM($E45:AK45))</f>
        <v>0</v>
      </c>
      <c r="AL72" s="40">
        <f>AL48-(Inputs!$F$68+SUM($E28:AL28)-SUM($E30:AL30)-SUM($E40:AL40)+SUM($E35:AL35)+SUM($E45:AL45))</f>
        <v>0</v>
      </c>
      <c r="AM72" s="40">
        <f>AM48-(Inputs!$F$68+SUM($E28:AM28)-SUM($E30:AM30)-SUM($E40:AM40)+SUM($E35:AM35)+SUM($E45:AM45))</f>
        <v>0</v>
      </c>
      <c r="AN72" s="40">
        <f>AN48-(Inputs!$F$68+SUM($E28:AN28)-SUM($E30:AN30)-SUM($E40:AN40)+SUM($E35:AN35)+SUM($E45:AN45))</f>
        <v>0</v>
      </c>
      <c r="AO72" s="40">
        <f>AO48-(Inputs!$F$68+SUM($E28:AO28)-SUM($E30:AO30)-SUM($E40:AO40)+SUM($E35:AO35)+SUM($E45:AO45))</f>
        <v>0</v>
      </c>
      <c r="AP72" s="40">
        <f>AP48-(Inputs!$F$68+SUM($E28:AP28)-SUM($E30:AP30)-SUM($E40:AP40)+SUM($E35:AP35)+SUM($E45:AP45))</f>
        <v>0</v>
      </c>
      <c r="AQ72" s="40">
        <f>AQ48-(Inputs!$F$68+SUM($E28:AQ28)-SUM($E30:AQ30)-SUM($E40:AQ40)+SUM($E35:AQ35)+SUM($E45:AQ45))</f>
        <v>0</v>
      </c>
      <c r="AR72" s="40">
        <f>AR48-(Inputs!$F$68+SUM($E28:AR28)-SUM($E30:AR30)-SUM($E40:AR40)+SUM($E35:AR35)+SUM($E45:AR45))</f>
        <v>0</v>
      </c>
      <c r="AS72" s="40">
        <f>AS48-(Inputs!$F$68+SUM($E28:AS28)-SUM($E30:AS30)-SUM($E40:AS40)+SUM($E35:AS35)+SUM($E45:AS45))</f>
        <v>0</v>
      </c>
      <c r="AT72" s="40">
        <f>AT48-(Inputs!$F$68+SUM($E28:AT28)-SUM($E30:AT30)-SUM($E40:AT40)+SUM($E35:AT35)+SUM($E45:AT45))</f>
        <v>0</v>
      </c>
      <c r="AU72" s="40">
        <f>AU48-(Inputs!$F$68+SUM($E28:AU28)-SUM($E30:AU30)-SUM($E40:AU40)+SUM($E35:AU35)+SUM($E45:AU45))</f>
        <v>0</v>
      </c>
      <c r="AV72" s="40">
        <f>AV48-(Inputs!$F$68+SUM($E28:AV28)-SUM($E30:AV30)-SUM($E40:AV40)+SUM($E35:AV35)+SUM($E45:AV45))</f>
        <v>0</v>
      </c>
      <c r="AW72" s="40">
        <f>AW48-(Inputs!$F$68+SUM($E28:AW28)-SUM($E30:AW30)-SUM($E40:AW40)+SUM($E35:AW35)+SUM($E45:AW45))</f>
        <v>0</v>
      </c>
      <c r="AX72" s="40">
        <f>AX48-(Inputs!$F$68+SUM($E28:AX28)-SUM($E30:AX30)-SUM($E40:AX40)+SUM($E35:AX35)+SUM($E45:AX45))</f>
        <v>0</v>
      </c>
      <c r="AY72" s="40">
        <f>AY48-(Inputs!$F$68+SUM($E28:AY28)-SUM($E30:AY30)-SUM($E40:AY40)+SUM($E35:AY35)+SUM($E45:AY45))</f>
        <v>0</v>
      </c>
      <c r="AZ72" s="40">
        <f>AZ48-(Inputs!$F$68+SUM($E28:AZ28)-SUM($E30:AZ30)-SUM($E40:AZ40)+SUM($E35:AZ35)+SUM($E45:AZ45))</f>
        <v>0</v>
      </c>
      <c r="BA72" s="40">
        <f>BA48-(Inputs!$F$68+SUM($E28:BA28)-SUM($E30:BA30)-SUM($E40:BA40)+SUM($E35:BA35)+SUM($E45:BA45))</f>
        <v>0</v>
      </c>
      <c r="BB72" s="40">
        <f>BB48-(Inputs!$F$68+SUM($E28:BB28)-SUM($E30:BB30)-SUM($E40:BB40)+SUM($E35:BB35)+SUM($E45:BB45))</f>
        <v>0</v>
      </c>
      <c r="BC72" s="40">
        <f>BC48-(Inputs!$F$68+SUM($E28:BC28)-SUM($E30:BC30)-SUM($E40:BC40)+SUM($E35:BC35)+SUM($E45:BC45))</f>
        <v>0</v>
      </c>
      <c r="BD72" s="40">
        <f>BD48-(Inputs!$F$68+SUM($E28:BD28)-SUM($E30:BD30)-SUM($E40:BD40)+SUM($E35:BD35)+SUM($E45:BD45))</f>
        <v>0</v>
      </c>
      <c r="BE72" s="40">
        <f>BE48-(Inputs!$F$68+SUM($E28:BE28)-SUM($E30:BE30)-SUM($E40:BE40)+SUM($E35:BE35)+SUM($E45:BE45))</f>
        <v>-3.7252902984619141E-9</v>
      </c>
      <c r="BF72" s="40">
        <f>BF48-(Inputs!$F$68+SUM($E28:BF28)-SUM($E30:BF30)-SUM($E40:BF40)+SUM($E35:BF35)+SUM($E45:BF45))</f>
        <v>0</v>
      </c>
      <c r="BG72" s="40">
        <f>BG48-(Inputs!$F$68+SUM($E28:BG28)-SUM($E30:BG30)-SUM($E40:BG40)+SUM($E35:BG35)+SUM($E45:BG45))</f>
        <v>-3.7252902984619141E-9</v>
      </c>
      <c r="BH72" s="40">
        <f>BH48-(Inputs!$F$68+SUM($E28:BH28)-SUM($E30:BH30)-SUM($E40:BH40)+SUM($E35:BH35)+SUM($E45:BH45))</f>
        <v>-4.4237822294235229E-9</v>
      </c>
      <c r="BI72" s="40">
        <f>BI48-(Inputs!$F$68+SUM($E28:BI28)-SUM($E30:BI30)-SUM($E40:BI40)+SUM($E35:BI35)+SUM($E45:BI45))</f>
        <v>-2.5611370801925659E-9</v>
      </c>
      <c r="BJ72" s="40">
        <f>BJ48-(Inputs!$F$68+SUM($E28:BJ28)-SUM($E30:BJ30)-SUM($E40:BJ40)+SUM($E35:BJ35)+SUM($E45:BJ45))</f>
        <v>-3.7252902984619141E-9</v>
      </c>
      <c r="BK72" s="40">
        <f>BK48-(Inputs!$F$68+SUM($E28:BK28)-SUM($E30:BK30)-SUM($E40:BK40)+SUM($E35:BK35)+SUM($E45:BK45))</f>
        <v>-3.6088749766349792E-9</v>
      </c>
      <c r="BL72" s="40">
        <f>BL48-(Inputs!$F$68+SUM($E28:BL28)-SUM($E30:BL30)-SUM($E40:BL40)+SUM($E35:BL35)+SUM($E45:BL45))</f>
        <v>-1.5133991837501526E-9</v>
      </c>
    </row>
  </sheetData>
  <pageMargins left="0.4" right="0.4" top="0.5" bottom="0.5" header="0.5" footer="0.5"/>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14</vt:i4>
      </vt:variant>
    </vt:vector>
  </HeadingPairs>
  <TitlesOfParts>
    <vt:vector size="27" baseType="lpstr">
      <vt:lpstr>Cover</vt:lpstr>
      <vt:lpstr>How_To_Use</vt:lpstr>
      <vt:lpstr>Inputs</vt:lpstr>
      <vt:lpstr>Ramp</vt:lpstr>
      <vt:lpstr>Dashboard</vt:lpstr>
      <vt:lpstr>Monthly</vt:lpstr>
      <vt:lpstr>Annual</vt:lpstr>
      <vt:lpstr>Rounds_Exit</vt:lpstr>
      <vt:lpstr>Reconciliation</vt:lpstr>
      <vt:lpstr>Checks</vt:lpstr>
      <vt:lpstr>Calc_Base</vt:lpstr>
      <vt:lpstr>Calc_Upside</vt:lpstr>
      <vt:lpstr>Calc_Downside</vt:lpstr>
      <vt:lpstr>Annual!Print_Area</vt:lpstr>
      <vt:lpstr>Calc_Base!Print_Area</vt:lpstr>
      <vt:lpstr>Calc_Downside!Print_Area</vt:lpstr>
      <vt:lpstr>Calc_Upside!Print_Area</vt:lpstr>
      <vt:lpstr>Checks!Print_Area</vt:lpstr>
      <vt:lpstr>Cover!Print_Area</vt:lpstr>
      <vt:lpstr>Dashboard!Print_Area</vt:lpstr>
      <vt:lpstr>How_To_Use!Print_Area</vt:lpstr>
      <vt:lpstr>Inputs!Print_Area</vt:lpstr>
      <vt:lpstr>Monthly!Print_Area</vt:lpstr>
      <vt:lpstr>Ramp!Print_Area</vt:lpstr>
      <vt:lpstr>Reconciliation!Print_Area</vt:lpstr>
      <vt:lpstr>Rounds_Exit!Print_Area</vt:lpstr>
      <vt:lpstr>ScenarioNo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Quick model</dc:title>
  <dc:creator>Igor Sabodakha</dc:creator>
  <dc:description>Mirovest GmbH is fictional. Illustrative calculation — not investment, tax or legal advice. Crypto-assets are highly risky. Copy trading can lose money, including the entire amount invested.</dc:description>
  <cp:lastModifiedBy>Igor Sabodakha</cp:lastModifiedBy>
  <dcterms:created xsi:type="dcterms:W3CDTF">2026-10-16T18:41:10Z</dcterms:created>
  <dcterms:modified xsi:type="dcterms:W3CDTF">2026-10-16T18:41:12Z</dcterms:modified>
</cp:coreProperties>
</file>