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docProps/core.xml" ContentType="application/vnd.openxmlformats-package.core-properties+xml"/>
</Types>
</file>

<file path=_rels/.rels>&#65279;<?xml version="1.0" encoding="utf-8"?><Relationships xmlns="http://schemas.openxmlformats.org/package/2006/relationships"><Relationship Type="http://schemas.openxmlformats.org/officeDocument/2006/relationships/officeDocument" Target="/xl/workbook.xml" Id="R689d03b167a6459a" /><Relationship Id="rIdReleaseCore" Type="http://schemas.openxmlformats.org/package/2006/relationships/metadata/core-properties" Target="docProps/core.xml"/></Relationships>
</file>

<file path=xl/workbook.xml><?xml version="1.0" encoding="utf-8"?>
<x:workbook xmlns:x="http://schemas.openxmlformats.org/spreadsheetml/2006/main">
  <x:sheets>
    <x:sheet xmlns:r="http://schemas.openxmlformats.org/officeDocument/2006/relationships" name="Cover" sheetId="1" r:id="R3c33326cf4f54a3b"/>
    <x:sheet xmlns:r="http://schemas.openxmlformats.org/officeDocument/2006/relationships" name="Quick_Start" sheetId="2" r:id="Rb61c72afef654715"/>
    <x:sheet xmlns:r="http://schemas.openxmlformats.org/officeDocument/2006/relationships" name="Calculator" sheetId="3" r:id="R7f49bb2761af406e"/>
    <x:sheet xmlns:r="http://schemas.openxmlformats.org/officeDocument/2006/relationships" name="Inputs" sheetId="4" r:id="Rad477acedbf742a9"/>
    <x:sheet xmlns:r="http://schemas.openxmlformats.org/officeDocument/2006/relationships" name="Cohort" sheetId="5" r:id="R473fca2254de4ed2"/>
    <x:sheet xmlns:r="http://schemas.openxmlformats.org/officeDocument/2006/relationships" name="B2B" sheetId="6" r:id="R81fd05e398a8405d"/>
    <x:sheet xmlns:r="http://schemas.openxmlformats.org/officeDocument/2006/relationships" name="Retention" sheetId="7" r:id="R928f7e4268bd4165"/>
    <x:sheet xmlns:r="http://schemas.openxmlformats.org/officeDocument/2006/relationships" name="Calendar_Seeds" sheetId="8" r:id="Rcdc2b03cdc9643c7"/>
    <x:sheet xmlns:r="http://schemas.openxmlformats.org/officeDocument/2006/relationships" name="Tail_Check" sheetId="9" r:id="Rc8e27bcf449f4cee"/>
    <x:sheet xmlns:r="http://schemas.openxmlformats.org/officeDocument/2006/relationships" name="Checks" sheetId="10" r:id="R105ab39608f64f45"/>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0.00);&quot;-&quot;"/>
    <x:numFmt numFmtId="201" formatCode="0.0000"/>
    <x:numFmt numFmtId="202" formatCode="0"/>
    <x:numFmt numFmtId="203" formatCode="0.00%"/>
    <x:numFmt numFmtId="204" formatCode="mmm-yy"/>
    <x:numFmt numFmtId="205" formatCode="yyyy-mm-dd"/>
    <x:numFmt numFmtId="206" formatCode="0.00"/>
  </x:numFmts>
  <x:fonts count="12">
    <x:font>
      <x:sz val="11"/>
      <x:name val="Carlito"/>
    </x:font>
    <x:font>
      <x:sz val="10"/>
      <x:color rgb="FF111827"/>
      <x:name val="Arial"/>
    </x:font>
    <x:font>
      <x:b/>
      <x:sz val="18"/>
      <x:color rgb="FF203864"/>
      <x:name val="Arial"/>
    </x:font>
    <x:font>
      <x:sz val="11"/>
      <x:color rgb="FF111827"/>
      <x:name val="Arial"/>
    </x:font>
    <x:font>
      <x:sz val="10"/>
      <x:color rgb="FF008000"/>
      <x:name val="Arial"/>
    </x:font>
    <x:font>
      <x:b/>
      <x:sz val="16"/>
      <x:color rgb="FF203864"/>
      <x:name val="Arial"/>
    </x:font>
    <x:font>
      <x:b/>
      <x:sz val="10"/>
      <x:color rgb="FF111827"/>
      <x:name val="Arial"/>
    </x:font>
    <x:font>
      <x:b/>
      <x:sz val="12"/>
      <x:color rgb="FFFFFFFF"/>
      <x:name val="Arial"/>
    </x:font>
    <x:font>
      <x:b/>
      <x:sz val="10"/>
      <x:color rgb="FF203864"/>
      <x:name val="Arial"/>
    </x:font>
    <x:font>
      <x:b/>
      <x:sz val="14"/>
      <x:color rgb="FF203864"/>
      <x:name val="Arial"/>
    </x:font>
    <x:font>
      <x:b/>
      <x:sz val="10"/>
      <x:color rgb="FFFFFFFF"/>
      <x:name val="Arial"/>
    </x:font>
    <x:font>
      <x:sz val="10"/>
      <x:color rgb="FF0000FF"/>
      <x:name val="Arial"/>
    </x:font>
  </x:fonts>
  <x:fills count="5">
    <x:fill>
      <x:patternFill patternType="none"/>
    </x:fill>
    <x:fill>
      <x:patternFill patternType="gray125"/>
    </x:fill>
    <x:fill>
      <x:patternFill patternType="solid">
        <x:fgColor rgb="FF203864"/>
      </x:patternFill>
    </x:fill>
    <x:fill>
      <x:patternFill patternType="solid">
        <x:fgColor rgb="FFD9E1F2"/>
      </x:patternFill>
    </x:fill>
    <x:fill>
      <x:patternFill patternType="solid">
        <x:fgColor rgb="FFFFF2CC"/>
      </x:patternFill>
    </x:fill>
  </x:fills>
  <x:borders count="2">
    <x:border>
      <x:left/>
      <x:right/>
      <x:top/>
      <x:bottom/>
      <x:diagonal/>
    </x:border>
    <x:border>
      <x:left style="thin">
        <x:color rgb="FFBFBFBF"/>
      </x:left>
      <x:right style="thin">
        <x:color rgb="FFBFBFBF"/>
      </x:right>
      <x:top style="thin">
        <x:color rgb="FFBFBFBF"/>
      </x:top>
      <x:bottom style="thin">
        <x:color rgb="FFBFBFBF"/>
      </x:bottom>
      <x:diagonal/>
    </x:border>
  </x:borders>
  <x:cellStyleXfs count="1">
    <x:xf numFmtId="0" fontId="0" fillId="0" borderId="0"/>
  </x:cellStyleXfs>
  <x:cellXfs count="5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0" fillId="0" borderId="0" xfId="0" applyNumberFormat="1" applyFont="1" applyFill="1" applyBorder="1" applyAlignment="1">
      <x:alignment wrapText="1"/>
    </x:xf>
    <x:xf numFmtId="0" fontId="2" fillId="0" borderId="0" xfId="0" applyNumberFormat="1" applyFont="1" applyFill="1" applyBorder="1" applyAlignment="1">
      <x:alignment wrapText="1"/>
    </x:xf>
    <x:xf numFmtId="0" fontId="3"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7" fillId="2" borderId="0" xfId="0" applyNumberFormat="1" applyFont="1" applyFill="1" applyBorder="1" applyAlignment="1">
      <x:alignment vertical="top" wrapText="1"/>
    </x:xf>
    <x:xf numFmtId="0" fontId="7"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3"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4" fillId="0" borderId="1" xfId="0" applyNumberFormat="1" applyFont="1" applyFill="1" applyBorder="1" applyAlignment="1">
      <x:alignment vertical="top" wrapText="1"/>
    </x:xf>
    <x:xf numFmtId="200" fontId="1" fillId="0" borderId="1"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1" fontId="1" fillId="0" borderId="1"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2" fontId="1" fillId="0" borderId="1" xfId="0" applyNumberFormat="1" applyFont="1" applyFill="1" applyBorder="1" applyAlignment="1">
      <x:alignment vertical="top" wrapText="1"/>
    </x:xf>
    <x:xf numFmtId="202" fontId="4" fillId="0" borderId="1" xfId="0" applyNumberFormat="1" applyFont="1" applyFill="1" applyBorder="1" applyAlignment="1">
      <x:alignment vertical="top" wrapText="1"/>
    </x:xf>
    <x:xf numFmtId="0" fontId="9"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0" fillId="2" borderId="0" xfId="0" applyNumberFormat="1" applyFont="1" applyFill="1" applyBorder="1" applyAlignment="1">
      <x:alignment vertical="center"/>
    </x:xf>
    <x:xf numFmtId="0" fontId="10" fillId="2" borderId="0" xfId="0" applyNumberFormat="1" applyFont="1" applyFill="1" applyBorder="1" applyAlignment="1">
      <x:alignment vertical="center" wrapText="1"/>
    </x:xf>
    <x:xf numFmtId="0" fontId="10"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1" fontId="4"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3" fontId="4" fillId="0" borderId="0" xfId="0" applyNumberFormat="1" applyFont="1" applyFill="1" applyBorder="1" applyAlignment="1">
      <x:alignment vertical="center"/>
    </x:xf>
    <x:xf numFmtId="204" fontId="4" fillId="0" borderId="0" xfId="0" applyNumberFormat="1" applyFont="1" applyFill="1" applyBorder="1" applyAlignment="1">
      <x:alignment vertical="center"/>
    </x:xf>
    <x:xf numFmtId="202" fontId="1" fillId="4" borderId="0" xfId="0" applyNumberFormat="1" applyFont="1" applyFill="1" applyBorder="1" applyAlignment="1">
      <x:alignment vertical="center"/>
    </x:xf>
    <x:xf numFmtId="202" fontId="11" fillId="4" borderId="0" xfId="0" applyNumberFormat="1" applyFont="1" applyFill="1" applyBorder="1" applyAlignment="1">
      <x:alignment vertical="center"/>
    </x:xf>
    <x:xf numFmtId="203" fontId="1" fillId="4" borderId="0" xfId="0" applyNumberFormat="1" applyFont="1" applyFill="1" applyBorder="1" applyAlignment="1">
      <x:alignment vertical="center"/>
    </x:xf>
    <x:xf numFmtId="203" fontId="11" fillId="4" borderId="0" xfId="0" applyNumberFormat="1" applyFont="1" applyFill="1" applyBorder="1" applyAlignment="1">
      <x:alignment vertical="center"/>
    </x:xf>
    <x:xf numFmtId="200" fontId="1" fillId="4" borderId="0" xfId="0" applyNumberFormat="1" applyFont="1" applyFill="1" applyBorder="1" applyAlignment="1">
      <x:alignment vertical="center"/>
    </x:xf>
    <x:xf numFmtId="200" fontId="1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1" fontId="11" fillId="4" borderId="0" xfId="0" applyNumberFormat="1" applyFont="1" applyFill="1" applyBorder="1" applyAlignment="1">
      <x:alignment vertical="center"/>
    </x:xf>
    <x:xf numFmtId="205"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6" fontId="1" fillId="0" borderId="0" xfId="0" applyNumberFormat="1" applyFont="1" applyFill="1" applyBorder="1" applyAlignment="1">
      <x:alignment vertical="center" wrapText="1"/>
    </x:xf>
  </x:cellXfs>
  <x:cellStyles count="1">
    <x:cellStyle name="Normal" xfId="0"/>
  </x:cellStyles>
  <x:dxfs count="6">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s>
</x:styleSheet>
</file>

<file path=xl/_rels/workbook.xml.rels><?xml version='1.0' encoding='utf-8'?>
<ns0:Relationships xmlns:ns0="http://schemas.openxmlformats.org/package/2006/relationships"><ns0:Relationship Type="http://schemas.openxmlformats.org/officeDocument/2006/relationships/styles" Target="/xl/styles.xml" Id="Rc3dd9e968c664555" /><ns0:Relationship Type="http://schemas.openxmlformats.org/officeDocument/2006/relationships/theme" Target="/xl/theme/theme1.xml" Id="R7adefdba0e954661" /><ns0:Relationship Type="http://schemas.openxmlformats.org/officeDocument/2006/relationships/sharedStrings" Target="/xl/sharedStrings.xml" Id="Rbed821dcbc7c4ccf" /><ns0:Relationship Type="http://schemas.openxmlformats.org/officeDocument/2006/relationships/worksheet" Target="/xl/worksheets/sheet1.xml" Id="R3c33326cf4f54a3b" /><ns0:Relationship Type="http://schemas.openxmlformats.org/officeDocument/2006/relationships/worksheet" Target="/xl/worksheets/sheet2.xml" Id="Rb61c72afef654715" /><ns0:Relationship Type="http://schemas.openxmlformats.org/officeDocument/2006/relationships/worksheet" Target="/xl/worksheets/sheet3.xml" Id="R7f49bb2761af406e" /><ns0:Relationship Type="http://schemas.openxmlformats.org/officeDocument/2006/relationships/worksheet" Target="/xl/worksheets/sheet4.xml" Id="Rad477acedbf742a9" /><ns0:Relationship Type="http://schemas.openxmlformats.org/officeDocument/2006/relationships/worksheet" Target="/xl/worksheets/sheet5.xml" Id="R473fca2254de4ed2" /><ns0:Relationship Type="http://schemas.openxmlformats.org/officeDocument/2006/relationships/worksheet" Target="/xl/worksheets/sheet6.xml" Id="R81fd05e398a8405d" /><ns0:Relationship Type="http://schemas.openxmlformats.org/officeDocument/2006/relationships/worksheet" Target="/xl/worksheets/sheet7.xml" Id="R928f7e4268bd4165" /><ns0:Relationship Type="http://schemas.openxmlformats.org/officeDocument/2006/relationships/worksheet" Target="/xl/worksheets/sheet8.xml" Id="Rcdc2b03cdc9643c7" /><ns0:Relationship Type="http://schemas.openxmlformats.org/officeDocument/2006/relationships/worksheet" Target="/xl/worksheets/sheet9.xml" Id="Rc8e27bcf449f4cee" /><ns0:Relationship Type="http://schemas.openxmlformats.org/officeDocument/2006/relationships/worksheet" Target="/xl/worksheets/sheet10.xml" Id="R105ab39608f64f45" /><ns0:Relationship Id="rIdT10bSourceBundle" Type="http://schemas.openxmlformats.org/officeDocument/2006/relationships/customXml" Target="../customXml/mirovestInputs.xml" /></ns0:Relationships>
</file>

<file path=xl/tables/table1.xml><?xml version="1.0" encoding="utf-8"?>
<x:table xmlns:x="http://schemas.openxmlformats.org/spreadsheetml/2006/main" id="1" name="T11Calculator" displayName="T11Calculator" ref="A10:AQ20" headerRowCount="1" totalsRowCount="0" totalsRowShown="0">
  <x:autoFilter ref="A10:AQ20"/>
  <x:tableColumns count="43">
    <x:tableColumn id="1" name="Row ID"/>
    <x:tableColumn id="2" name="Label"/>
    <x:tableColumn id="3" name="Unit"/>
    <x:tableColumn id="4" name="Reducer"/>
    <x:tableColumn id="5" name="Total / closing"/>
    <x:tableColumn id="6" name="Note / source"/>
    <x:tableColumn id="7" name="Spacer"/>
    <x:tableColumn id="8" name="Age 0"/>
    <x:tableColumn id="9" name="Age 1"/>
    <x:tableColumn id="10" name="Age 2"/>
    <x:tableColumn id="11" name="Age 3"/>
    <x:tableColumn id="12" name="Age 4"/>
    <x:tableColumn id="13" name="Age 5"/>
    <x:tableColumn id="14" name="Age 6"/>
    <x:tableColumn id="15" name="Age 7"/>
    <x:tableColumn id="16" name="Age 8"/>
    <x:tableColumn id="17" name="Age 9"/>
    <x:tableColumn id="18" name="Age 10"/>
    <x:tableColumn id="19" name="Age 11"/>
    <x:tableColumn id="20" name="Age 12"/>
    <x:tableColumn id="21" name="Age 13"/>
    <x:tableColumn id="22" name="Age 14"/>
    <x:tableColumn id="23" name="Age 15"/>
    <x:tableColumn id="24" name="Age 16"/>
    <x:tableColumn id="25" name="Age 17"/>
    <x:tableColumn id="26" name="Age 18"/>
    <x:tableColumn id="27" name="Age 19"/>
    <x:tableColumn id="28" name="Age 20"/>
    <x:tableColumn id="29" name="Age 21"/>
    <x:tableColumn id="30" name="Age 22"/>
    <x:tableColumn id="31" name="Age 23"/>
    <x:tableColumn id="32" name="Age 24"/>
    <x:tableColumn id="33" name="Age 25"/>
    <x:tableColumn id="34" name="Age 26"/>
    <x:tableColumn id="35" name="Age 27"/>
    <x:tableColumn id="36" name="Age 28"/>
    <x:tableColumn id="37" name="Age 29"/>
    <x:tableColumn id="38" name="Age 30"/>
    <x:tableColumn id="39" name="Age 31"/>
    <x:tableColumn id="40" name="Age 32"/>
    <x:tableColumn id="41" name="Age 33"/>
    <x:tableColumn id="42" name="Age 34"/>
    <x:tableColumn id="43" name="Age 35"/>
  </x:tableColumns>
  <x:tableStyleInfo name="TableStyleMedium2" showFirstColumn="0" showLastColumn="0" showRowStripes="1" showColumnStripes="0"/>
</x:table>
</file>

<file path=xl/tables/table2.xml><?xml version="1.0" encoding="utf-8"?>
<x:table xmlns:x="http://schemas.openxmlformats.org/spreadsheetml/2006/main" id="2" name="T11Inputs" displayName="T11Inputs" ref="A10:G75" headerRowCount="1" totalsRowCount="0" totalsRowShown="0">
  <x:autoFilter ref="A10:G75"/>
  <x:tableColumns count="7">
    <x:tableColumn id="1" name="Row ID"/>
    <x:tableColumn id="2" name="Label"/>
    <x:tableColumn id="3" name="Unit"/>
    <x:tableColumn id="4" name="Reducer"/>
    <x:tableColumn id="5" name="Total / closing"/>
    <x:tableColumn id="6" name="Note / source"/>
    <x:tableColumn id="7" name="Spacer"/>
  </x:tableColumns>
  <x:tableStyleInfo name="TableStyleMedium2" showFirstColumn="0" showLastColumn="0" showRowStripes="1" showColumnStripes="0"/>
</x:table>
</file>

<file path=xl/tables/table3.xml><?xml version="1.0" encoding="utf-8"?>
<x:table xmlns:x="http://schemas.openxmlformats.org/spreadsheetml/2006/main" id="3" name="T11Cohort" displayName="T11Cohort" ref="A10:AQ133" headerRowCount="1" totalsRowCount="0" totalsRowShown="0">
  <x:autoFilter ref="A10:AQ133"/>
  <x:tableColumns count="43">
    <x:tableColumn id="1" name="Row ID"/>
    <x:tableColumn id="2" name="Label"/>
    <x:tableColumn id="3" name="Unit"/>
    <x:tableColumn id="4" name="Reducer"/>
    <x:tableColumn id="5" name="Total / closing"/>
    <x:tableColumn id="6" name="Note / source"/>
    <x:tableColumn id="7" name="Spacer"/>
    <x:tableColumn id="8" name="Age 0"/>
    <x:tableColumn id="9" name="Age 1"/>
    <x:tableColumn id="10" name="Age 2"/>
    <x:tableColumn id="11" name="Age 3"/>
    <x:tableColumn id="12" name="Age 4"/>
    <x:tableColumn id="13" name="Age 5"/>
    <x:tableColumn id="14" name="Age 6"/>
    <x:tableColumn id="15" name="Age 7"/>
    <x:tableColumn id="16" name="Age 8"/>
    <x:tableColumn id="17" name="Age 9"/>
    <x:tableColumn id="18" name="Age 10"/>
    <x:tableColumn id="19" name="Age 11"/>
    <x:tableColumn id="20" name="Age 12"/>
    <x:tableColumn id="21" name="Age 13"/>
    <x:tableColumn id="22" name="Age 14"/>
    <x:tableColumn id="23" name="Age 15"/>
    <x:tableColumn id="24" name="Age 16"/>
    <x:tableColumn id="25" name="Age 17"/>
    <x:tableColumn id="26" name="Age 18"/>
    <x:tableColumn id="27" name="Age 19"/>
    <x:tableColumn id="28" name="Age 20"/>
    <x:tableColumn id="29" name="Age 21"/>
    <x:tableColumn id="30" name="Age 22"/>
    <x:tableColumn id="31" name="Age 23"/>
    <x:tableColumn id="32" name="Age 24"/>
    <x:tableColumn id="33" name="Age 25"/>
    <x:tableColumn id="34" name="Age 26"/>
    <x:tableColumn id="35" name="Age 27"/>
    <x:tableColumn id="36" name="Age 28"/>
    <x:tableColumn id="37" name="Age 29"/>
    <x:tableColumn id="38" name="Age 30"/>
    <x:tableColumn id="39" name="Age 31"/>
    <x:tableColumn id="40" name="Age 32"/>
    <x:tableColumn id="41" name="Age 33"/>
    <x:tableColumn id="42" name="Age 34"/>
    <x:tableColumn id="43" name="Age 35"/>
  </x:tableColumns>
  <x:tableStyleInfo name="TableStyleMedium2" showFirstColumn="0" showLastColumn="0" showRowStripes="1" showColumnStripes="0"/>
</x:table>
</file>

<file path=xl/tables/table4.xml><?xml version="1.0" encoding="utf-8"?>
<x:table xmlns:x="http://schemas.openxmlformats.org/spreadsheetml/2006/main" id="4" name="T11B2B" displayName="T11B2B" ref="A10:AQ17" headerRowCount="1" totalsRowCount="0" totalsRowShown="0">
  <x:autoFilter ref="A10:AQ17"/>
  <x:tableColumns count="43">
    <x:tableColumn id="1" name="Row ID"/>
    <x:tableColumn id="2" name="Label"/>
    <x:tableColumn id="3" name="Unit"/>
    <x:tableColumn id="4" name="Reducer"/>
    <x:tableColumn id="5" name="Total / closing"/>
    <x:tableColumn id="6" name="Note / source"/>
    <x:tableColumn id="7" name="Spacer"/>
    <x:tableColumn id="8" name="Age 0"/>
    <x:tableColumn id="9" name="Age 1"/>
    <x:tableColumn id="10" name="Age 2"/>
    <x:tableColumn id="11" name="Age 3"/>
    <x:tableColumn id="12" name="Age 4"/>
    <x:tableColumn id="13" name="Age 5"/>
    <x:tableColumn id="14" name="Age 6"/>
    <x:tableColumn id="15" name="Age 7"/>
    <x:tableColumn id="16" name="Age 8"/>
    <x:tableColumn id="17" name="Age 9"/>
    <x:tableColumn id="18" name="Age 10"/>
    <x:tableColumn id="19" name="Age 11"/>
    <x:tableColumn id="20" name="Age 12"/>
    <x:tableColumn id="21" name="Age 13"/>
    <x:tableColumn id="22" name="Age 14"/>
    <x:tableColumn id="23" name="Age 15"/>
    <x:tableColumn id="24" name="Age 16"/>
    <x:tableColumn id="25" name="Age 17"/>
    <x:tableColumn id="26" name="Age 18"/>
    <x:tableColumn id="27" name="Age 19"/>
    <x:tableColumn id="28" name="Age 20"/>
    <x:tableColumn id="29" name="Age 21"/>
    <x:tableColumn id="30" name="Age 22"/>
    <x:tableColumn id="31" name="Age 23"/>
    <x:tableColumn id="32" name="Age 24"/>
    <x:tableColumn id="33" name="Age 25"/>
    <x:tableColumn id="34" name="Age 26"/>
    <x:tableColumn id="35" name="Age 27"/>
    <x:tableColumn id="36" name="Age 28"/>
    <x:tableColumn id="37" name="Age 29"/>
    <x:tableColumn id="38" name="Age 30"/>
    <x:tableColumn id="39" name="Age 31"/>
    <x:tableColumn id="40" name="Age 32"/>
    <x:tableColumn id="41" name="Age 33"/>
    <x:tableColumn id="42" name="Age 34"/>
    <x:tableColumn id="43" name="Age 35"/>
  </x:tableColumns>
  <x:tableStyleInfo name="TableStyleMedium2" showFirstColumn="0" showLastColumn="0" showRowStripes="1" showColumnStripes="0"/>
</x:table>
</file>

<file path=xl/tables/table5.xml><?xml version="1.0" encoding="utf-8"?>
<x:table xmlns:x="http://schemas.openxmlformats.org/spreadsheetml/2006/main" id="5" name="T11Retention" displayName="T11Retention" ref="A10:BO11" headerRowCount="1" totalsRowCount="0" totalsRowShown="0">
  <x:autoFilter ref="A10:BO11"/>
  <x:tableColumns count="67">
    <x:tableColumn id="1" name="Row ID"/>
    <x:tableColumn id="2" name="Label"/>
    <x:tableColumn id="3" name="Unit"/>
    <x:tableColumn id="4" name="Reducer"/>
    <x:tableColumn id="5" name="Total / closing"/>
    <x:tableColumn id="6" name="Note / source"/>
    <x:tableColumn id="7" name="Spacer"/>
    <x:tableColumn id="8" name="Age 0"/>
    <x:tableColumn id="9" name="Age 1"/>
    <x:tableColumn id="10" name="Age 2"/>
    <x:tableColumn id="11" name="Age 3"/>
    <x:tableColumn id="12" name="Age 4"/>
    <x:tableColumn id="13" name="Age 5"/>
    <x:tableColumn id="14" name="Age 6"/>
    <x:tableColumn id="15" name="Age 7"/>
    <x:tableColumn id="16" name="Age 8"/>
    <x:tableColumn id="17" name="Age 9"/>
    <x:tableColumn id="18" name="Age 10"/>
    <x:tableColumn id="19" name="Age 11"/>
    <x:tableColumn id="20" name="Age 12"/>
    <x:tableColumn id="21" name="Age 13"/>
    <x:tableColumn id="22" name="Age 14"/>
    <x:tableColumn id="23" name="Age 15"/>
    <x:tableColumn id="24" name="Age 16"/>
    <x:tableColumn id="25" name="Age 17"/>
    <x:tableColumn id="26" name="Age 18"/>
    <x:tableColumn id="27" name="Age 19"/>
    <x:tableColumn id="28" name="Age 20"/>
    <x:tableColumn id="29" name="Age 21"/>
    <x:tableColumn id="30" name="Age 22"/>
    <x:tableColumn id="31" name="Age 23"/>
    <x:tableColumn id="32" name="Age 24"/>
    <x:tableColumn id="33" name="Age 25"/>
    <x:tableColumn id="34" name="Age 26"/>
    <x:tableColumn id="35" name="Age 27"/>
    <x:tableColumn id="36" name="Age 28"/>
    <x:tableColumn id="37" name="Age 29"/>
    <x:tableColumn id="38" name="Age 30"/>
    <x:tableColumn id="39" name="Age 31"/>
    <x:tableColumn id="40" name="Age 32"/>
    <x:tableColumn id="41" name="Age 33"/>
    <x:tableColumn id="42" name="Age 34"/>
    <x:tableColumn id="43" name="Age 35"/>
    <x:tableColumn id="44" name="Age 36"/>
    <x:tableColumn id="45" name="Age 37"/>
    <x:tableColumn id="46" name="Age 38"/>
    <x:tableColumn id="47" name="Age 39"/>
    <x:tableColumn id="48" name="Age 40"/>
    <x:tableColumn id="49" name="Age 41"/>
    <x:tableColumn id="50" name="Age 42"/>
    <x:tableColumn id="51" name="Age 43"/>
    <x:tableColumn id="52" name="Age 44"/>
    <x:tableColumn id="53" name="Age 45"/>
    <x:tableColumn id="54" name="Age 46"/>
    <x:tableColumn id="55" name="Age 47"/>
    <x:tableColumn id="56" name="Age 48"/>
    <x:tableColumn id="57" name="Age 49"/>
    <x:tableColumn id="58" name="Age 50"/>
    <x:tableColumn id="59" name="Age 51"/>
    <x:tableColumn id="60" name="Age 52"/>
    <x:tableColumn id="61" name="Age 53"/>
    <x:tableColumn id="62" name="Age 54"/>
    <x:tableColumn id="63" name="Age 55"/>
    <x:tableColumn id="64" name="Age 56"/>
    <x:tableColumn id="65" name="Age 57"/>
    <x:tableColumn id="66" name="Age 58"/>
    <x:tableColumn id="67" name="Age 59"/>
  </x:tableColumns>
  <x:tableStyleInfo name="TableStyleMedium2" showFirstColumn="0" showLastColumn="0" showRowStripes="1" showColumnStripes="0"/>
</x:table>
</file>

<file path=xl/tables/table6.xml><?xml version="1.0" encoding="utf-8"?>
<x:table xmlns:x="http://schemas.openxmlformats.org/spreadsheetml/2006/main" id="6" name="T11CalendarSeeds" displayName="T11CalendarSeeds" ref="A10:CX20" headerRowCount="1" totalsRowCount="0" totalsRowShown="0">
  <x:autoFilter ref="A10:CX20"/>
  <x:tableColumns count="102">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 id="44" name="M37"/>
    <x:tableColumn id="45" name="M38"/>
    <x:tableColumn id="46" name="M39"/>
    <x:tableColumn id="47" name="M40"/>
    <x:tableColumn id="48" name="M41"/>
    <x:tableColumn id="49" name="M42"/>
    <x:tableColumn id="50" name="M43"/>
    <x:tableColumn id="51" name="M44"/>
    <x:tableColumn id="52" name="M45"/>
    <x:tableColumn id="53" name="M46"/>
    <x:tableColumn id="54" name="M47"/>
    <x:tableColumn id="55" name="M48"/>
    <x:tableColumn id="56" name="M49"/>
    <x:tableColumn id="57" name="M50"/>
    <x:tableColumn id="58" name="M51"/>
    <x:tableColumn id="59" name="M52"/>
    <x:tableColumn id="60" name="M53"/>
    <x:tableColumn id="61" name="M54"/>
    <x:tableColumn id="62" name="M55"/>
    <x:tableColumn id="63" name="M56"/>
    <x:tableColumn id="64" name="M57"/>
    <x:tableColumn id="65" name="M58"/>
    <x:tableColumn id="66" name="M59"/>
    <x:tableColumn id="67" name="M60"/>
    <x:tableColumn id="68" name="M61"/>
    <x:tableColumn id="69" name="M62"/>
    <x:tableColumn id="70" name="M63"/>
    <x:tableColumn id="71" name="M64"/>
    <x:tableColumn id="72" name="M65"/>
    <x:tableColumn id="73" name="M66"/>
    <x:tableColumn id="74" name="M67"/>
    <x:tableColumn id="75" name="M68"/>
    <x:tableColumn id="76" name="M69"/>
    <x:tableColumn id="77" name="M70"/>
    <x:tableColumn id="78" name="M71"/>
    <x:tableColumn id="79" name="M72"/>
    <x:tableColumn id="80" name="M73"/>
    <x:tableColumn id="81" name="M74"/>
    <x:tableColumn id="82" name="M75"/>
    <x:tableColumn id="83" name="M76"/>
    <x:tableColumn id="84" name="M77"/>
    <x:tableColumn id="85" name="M78"/>
    <x:tableColumn id="86" name="M79"/>
    <x:tableColumn id="87" name="M80"/>
    <x:tableColumn id="88" name="M81"/>
    <x:tableColumn id="89" name="M82"/>
    <x:tableColumn id="90" name="M83"/>
    <x:tableColumn id="91" name="M84"/>
    <x:tableColumn id="92" name="M85"/>
    <x:tableColumn id="93" name="M86"/>
    <x:tableColumn id="94" name="M87"/>
    <x:tableColumn id="95" name="M88"/>
    <x:tableColumn id="96" name="M89"/>
    <x:tableColumn id="97" name="M90"/>
    <x:tableColumn id="98" name="M91"/>
    <x:tableColumn id="99" name="M92"/>
    <x:tableColumn id="100" name="M93"/>
    <x:tableColumn id="101" name="M94"/>
    <x:tableColumn id="102" name="M95"/>
  </x:tableColumns>
  <x:tableStyleInfo name="TableStyleMedium2" showFirstColumn="0" showLastColumn="0" showRowStripes="1" showColumnStripes="0"/>
</x:table>
</file>

<file path=xl/tables/table7.xml><?xml version="1.0" encoding="utf-8"?>
<x:table xmlns:x="http://schemas.openxmlformats.org/spreadsheetml/2006/main" id="7" name="T11TailCheck" displayName="T11TailCheck" ref="A10:AQ135" headerRowCount="1" totalsRowCount="0" totalsRowShown="0">
  <x:autoFilter ref="A10:AQ135"/>
  <x:tableColumns count="43">
    <x:tableColumn id="1" name="Row ID"/>
    <x:tableColumn id="2" name="Label"/>
    <x:tableColumn id="3" name="Unit"/>
    <x:tableColumn id="4" name="Reducer"/>
    <x:tableColumn id="5" name="Total / closing"/>
    <x:tableColumn id="6" name="Note / source"/>
    <x:tableColumn id="7" name="Spacer"/>
    <x:tableColumn id="8" name="Age 0"/>
    <x:tableColumn id="9" name="Age 1"/>
    <x:tableColumn id="10" name="Age 2"/>
    <x:tableColumn id="11" name="Age 3"/>
    <x:tableColumn id="12" name="Age 4"/>
    <x:tableColumn id="13" name="Age 5"/>
    <x:tableColumn id="14" name="Age 6"/>
    <x:tableColumn id="15" name="Age 7"/>
    <x:tableColumn id="16" name="Age 8"/>
    <x:tableColumn id="17" name="Age 9"/>
    <x:tableColumn id="18" name="Age 10"/>
    <x:tableColumn id="19" name="Age 11"/>
    <x:tableColumn id="20" name="Age 12"/>
    <x:tableColumn id="21" name="Age 13"/>
    <x:tableColumn id="22" name="Age 14"/>
    <x:tableColumn id="23" name="Age 15"/>
    <x:tableColumn id="24" name="Age 16"/>
    <x:tableColumn id="25" name="Age 17"/>
    <x:tableColumn id="26" name="Age 18"/>
    <x:tableColumn id="27" name="Age 19"/>
    <x:tableColumn id="28" name="Age 20"/>
    <x:tableColumn id="29" name="Age 21"/>
    <x:tableColumn id="30" name="Age 22"/>
    <x:tableColumn id="31" name="Age 23"/>
    <x:tableColumn id="32" name="Age 24"/>
    <x:tableColumn id="33" name="Age 25"/>
    <x:tableColumn id="34" name="Age 26"/>
    <x:tableColumn id="35" name="Age 27"/>
    <x:tableColumn id="36" name="Age 28"/>
    <x:tableColumn id="37" name="Age 29"/>
    <x:tableColumn id="38" name="Age 30"/>
    <x:tableColumn id="39" name="Age 31"/>
    <x:tableColumn id="40" name="Age 32"/>
    <x:tableColumn id="41" name="Age 33"/>
    <x:tableColumn id="42" name="Age 34"/>
    <x:tableColumn id="43" name="Age 35"/>
  </x:tableColumns>
  <x:tableStyleInfo name="TableStyleMedium2" showFirstColumn="0" showLastColumn="0" showRowStripes="1" showColumnStripes="0"/>
</x:table>
</file>

<file path=xl/tables/table8.xml><?xml version="1.0" encoding="utf-8"?>
<x:table xmlns:x="http://schemas.openxmlformats.org/spreadsheetml/2006/main" id="8" name="T11Checks" displayName="T11Checks" ref="A10:AQ22" headerRowCount="1" totalsRowCount="0" totalsRowShown="0">
  <x:autoFilter ref="A10:AQ22"/>
  <x:tableColumns count="43">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7bf5819a0b3f4e6a" /></Relationships>
</file>

<file path=xl/worksheets/_rels/sheet4.xml.rels>&#65279;<?xml version="1.0" encoding="utf-8"?><Relationships xmlns="http://schemas.openxmlformats.org/package/2006/relationships"><Relationship Type="http://schemas.openxmlformats.org/officeDocument/2006/relationships/table" Target="/xl/tables/table2.xml" Id="R7ebfdd2df5d34dee" /></Relationships>
</file>

<file path=xl/worksheets/_rels/sheet5.xml.rels>&#65279;<?xml version="1.0" encoding="utf-8"?><Relationships xmlns="http://schemas.openxmlformats.org/package/2006/relationships"><Relationship Type="http://schemas.openxmlformats.org/officeDocument/2006/relationships/table" Target="/xl/tables/table3.xml" Id="R41465451ff9b4674" /></Relationships>
</file>

<file path=xl/worksheets/_rels/sheet6.xml.rels>&#65279;<?xml version="1.0" encoding="utf-8"?><Relationships xmlns="http://schemas.openxmlformats.org/package/2006/relationships"><Relationship Type="http://schemas.openxmlformats.org/officeDocument/2006/relationships/table" Target="/xl/tables/table4.xml" Id="R72175b256c3845d0" /></Relationships>
</file>

<file path=xl/worksheets/_rels/sheet7.xml.rels>&#65279;<?xml version="1.0" encoding="utf-8"?><Relationships xmlns="http://schemas.openxmlformats.org/package/2006/relationships"><Relationship Type="http://schemas.openxmlformats.org/officeDocument/2006/relationships/table" Target="/xl/tables/table5.xml" Id="R07e80588e33046c1" /></Relationships>
</file>

<file path=xl/worksheets/_rels/sheet8.xml.rels>&#65279;<?xml version="1.0" encoding="utf-8"?><Relationships xmlns="http://schemas.openxmlformats.org/package/2006/relationships"><Relationship Type="http://schemas.openxmlformats.org/officeDocument/2006/relationships/table" Target="/xl/tables/table6.xml" Id="Rbe823dc404e94bc1" /></Relationships>
</file>

<file path=xl/worksheets/_rels/sheet9.xml.rels>&#65279;<?xml version="1.0" encoding="utf-8"?><Relationships xmlns="http://schemas.openxmlformats.org/package/2006/relationships"><Relationship Type="http://schemas.openxmlformats.org/officeDocument/2006/relationships/table" Target="/xl/tables/table7.xml" Id="R58b77d8c44434621" /></Relationships>
</file>

<file path=xl/worksheets/_rels/sheet10.xml.rels>&#65279;<?xml version="1.0" encoding="utf-8"?><Relationships xmlns="http://schemas.openxmlformats.org/package/2006/relationships"><Relationship Type="http://schemas.openxmlformats.org/officeDocument/2006/relationships/table" Target="/xl/tables/table8.xml" Id="Raf57adbe59f84c5d" /></Relationships>
</file>

<file path=xl/worksheets/sheet1.xml><?xml version="1.0" encoding="utf-8"?>
<worksheet xmlns="http://schemas.openxmlformats.org/spreadsheetml/2006/main">
  <sheetPr>
    <tabColor rgb="FF203864"/>
  </sheetPr>
  <sheetViews>
    <sheetView showGridLines="0" workbookViewId="0"/>
  </sheetViews>
  <sheetFormatPr defaultRowHeight="15"/>
  <cols>
    <col min="1" max="1" width="3" hidden="0" customWidth="1"/>
    <col min="2" max="2" width="22" hidden="0" customWidth="1"/>
    <col min="3" max="3" width="22" hidden="0" customWidth="1"/>
    <col min="4" max="4" width="22" hidden="0" customWidth="1"/>
    <col min="5" max="5" width="22" hidden="0" customWidth="1"/>
    <col min="6" max="6" width="22" hidden="0" customWidth="1"/>
    <col min="7" max="7" width="3" hidden="0" customWidth="1"/>
  </cols>
  <sheetData>
    <row r="1" ht="22" customHeight="1">
      <c r="A1" s="2"/>
      <c r="B1"/>
    </row>
    <row r="2" ht="30" customHeight="1">
      <c r="A2" s="2"/>
      <c r="B2" s="4" t="str">
        <v>Unit Economics Calculator</v>
      </c>
    </row>
    <row r="3" ht="22" customHeight="1">
      <c r="A3" s="2"/>
      <c r="B3"/>
    </row>
    <row r="4" ht="22" customHeight="1">
      <c r="A4" s="2"/>
      <c r="B4"/>
    </row>
    <row r="5" ht="26" customHeight="1">
      <c r="A5" s="2"/>
      <c r="B5" s="5" t="str">
        <v>Mirovest GmbH — fictional software and marketplace case</v>
      </c>
    </row>
    <row r="6" ht="22" customHeight="1">
      <c r="A6" s="2"/>
      <c r="B6" s="2"/>
    </row>
    <row r="7" ht="22" customHeight="1">
      <c r="A7" s="2"/>
      <c r="B7" s="2"/>
    </row>
    <row r="8" ht="26" customHeight="1">
      <c r="A8" s="2"/>
      <c r="B8" s="7" t="str">
        <v>Mirovest GmbH is fictional. Illustrative calculation — not investment, tax or legal advice.</v>
      </c>
    </row>
    <row r="9" ht="22" customHeight="1">
      <c r="A9" s="2"/>
      <c r="B9" s="2"/>
    </row>
    <row r="10" ht="22" customHeight="1">
      <c r="A10" s="2"/>
      <c r="B10" s="2"/>
    </row>
    <row r="11" ht="26" customHeight="1">
      <c r="A11" s="2"/>
      <c r="B11" s="7" t="str">
        <v>Crypto-assets are highly risky. Copy trading can lose money, including the entire amount invested.</v>
      </c>
    </row>
    <row r="12" ht="22" customHeight="1">
      <c r="A12" s="2"/>
      <c r="B12" s="2"/>
    </row>
    <row r="13" ht="22" customHeight="1">
      <c r="A13" s="2"/>
      <c r="B13" s="2"/>
    </row>
    <row r="14" ht="26" customHeight="1">
      <c r="A14" s="2"/>
      <c r="B14" s="7" t="str">
        <v>Base release CR02-2026-10-13-v1. Frozen 13 October 2026.</v>
      </c>
    </row>
    <row r="15" ht="22" customHeight="1">
      <c r="A15" s="2"/>
      <c r="B15" s="2"/>
    </row>
    <row r="16" ht="22" customHeight="1">
      <c r="A16" s="2"/>
      <c r="B16" s="2"/>
    </row>
    <row r="17" ht="26" customHeight="1">
      <c r="A17" s="2"/>
      <c r="B17" s="7" t="str">
        <v>Release bundle: live formulas over embedded data. No external workbook links.</v>
      </c>
    </row>
    <row r="18" ht="22" customHeight="1">
      <c r="A18" s="2"/>
      <c r="B18" s="2"/>
    </row>
    <row r="19" ht="22" customHeight="1">
      <c r="A19" s="2"/>
      <c r="B19" s="2"/>
    </row>
    <row r="20" ht="26" customHeight="1">
      <c r="A20" s="2"/>
      <c r="B20" s="7" t="str">
        <v>User copy: blue text and yellow cells are local inputs. Changes never sync to other files.</v>
      </c>
    </row>
    <row r="21" ht="22" customHeight="1">
      <c r="A21" s="2"/>
      <c r="B21" s="2"/>
    </row>
    <row r="22" ht="22" customHeight="1">
      <c r="A22" s="2"/>
      <c r="B22" s="2"/>
    </row>
    <row r="23" ht="40" customHeight="1">
      <c r="A23" s="2"/>
      <c r="B23" s="7" t="str">
        <v>Tested in Microsoft Excel (Windows, Microsoft 365): opens, recalculates, edits and saves. LibreOffice 26.8: opens and recalculates with identical results; saving from LibreOffice is not claimed. Google Sheets: not tested.</v>
      </c>
    </row>
    <row r="24" ht="22" customHeight="1">
      <c r="A24" s="2"/>
      <c r="B24" s="2"/>
    </row>
    <row r="25" ht="22" customHeight="1">
      <c r="A25" s="2"/>
      <c r="B25" s="2"/>
    </row>
    <row r="26" ht="40" customHeight="1">
      <c r="A26" s="2"/>
      <c r="B26" s="7" t="str">
        <v>36-month launch cohort. Choose channel, cohort month, ARPU, CAC, rates and retention. Annual contracts and country permissions are explicit. B2B stays separate. Cohort ages after M60 use the D10 extended-model rates; Tail_Check ties cohort M50 to D10.</v>
      </c>
    </row>
    <row r="27" ht="22" customHeight="1">
      <c r="A27" s="2"/>
      <c r="B27" s="2"/>
    </row>
    <row r="28" ht="22" customHeight="1">
      <c r="A28" s="2"/>
      <c r="B28" s="2"/>
    </row>
    <row r="29" ht="40" customHeight="1">
      <c r="A29" s="2"/>
      <c r="B29" s="7" t="str">
        <v>Regulatory, tax, payroll and accounting treatments (P01–P10) are illustrative assumptions for a fictional company and have not been verified by a lawyer, tax adviser or auditor. Account codes follow a DATEV SKR04-style layout for illustration; they are not an official DATEV mapping.</v>
      </c>
    </row>
  </sheetData>
  <mergeCells>
    <mergeCell ref="B2:F3"/>
    <mergeCell ref="B5:F6"/>
    <mergeCell ref="B8:F9"/>
    <mergeCell ref="B11:F12"/>
    <mergeCell ref="B14:F15"/>
    <mergeCell ref="B17:F18"/>
    <mergeCell ref="B20:F21"/>
    <mergeCell ref="B23:F24"/>
    <mergeCell ref="B26:F27"/>
    <mergeCell ref="B29:F30"/>
  </mergeCells>
  <pageMargins left="0.7" right="0.7" top="0.75" bottom="0.75" header="0.3" footer="0.3"/>
</worksheet>
</file>

<file path=xl/worksheets/sheet2.xml><?xml version="1.0" encoding="utf-8"?>
<worksheet xmlns="http://schemas.openxmlformats.org/spreadsheetml/2006/main">
  <sheetPr>
    <tabColor rgb="FFBF9000"/>
  </sheetPr>
  <sheetViews>
    <sheetView showGridLines="0" workbookViewId="0"/>
  </sheetViews>
  <sheetFormatPr defaultRowHeight="15"/>
  <cols>
    <col min="1" max="1" width="2" hidden="0" customWidth="1"/>
    <col min="2" max="2" width="24" hidden="0" customWidth="1"/>
    <col min="3" max="3" width="26" hidden="0" customWidth="1"/>
    <col min="4" max="4" width="62" hidden="0" customWidth="1"/>
    <col min="5" max="5" width="16" hidden="0" customWidth="1"/>
    <col min="6" max="6" width="16" hidden="0" customWidth="1"/>
    <col min="7" max="7" width="15" hidden="0" customWidth="1"/>
    <col min="8" max="8" width="16" hidden="0" customWidth="1"/>
  </cols>
  <sheetData>
    <row r="1" ht="30" customHeight="1">
      <c r="A1" s="10"/>
      <c r="B1" s="12" t="str">
        <v>Quick start — Unit Economics Calculator (D11)</v>
      </c>
      <c r="C1" s="12"/>
      <c r="D1" s="12"/>
      <c r="E1" s="12"/>
      <c r="F1" s="12"/>
      <c r="G1" s="12"/>
      <c r="H1" s="12"/>
    </row>
    <row r="2" ht="19" customHeight="1">
      <c r="A2" s="10"/>
      <c r="B2" s="13" t="str">
        <v>Mirovest GmbH — fictional software and marketplace case. Base release CR02-2026-10-13-v1, frozen 13 October 2026.</v>
      </c>
      <c r="C2" s="13"/>
      <c r="D2" s="13"/>
      <c r="E2" s="13"/>
      <c r="F2" s="13"/>
      <c r="G2" s="13"/>
      <c r="H2" s="13"/>
    </row>
    <row r="3" ht="19" customHeight="1">
      <c r="A3" s="10"/>
      <c r="B3" s="13" t="str">
        <v>Mirovest GmbH is fictional. Illustrative calculation — not investment, tax or legal advice.</v>
      </c>
      <c r="C3" s="13"/>
      <c r="D3" s="13"/>
      <c r="E3" s="13"/>
      <c r="F3" s="13"/>
      <c r="G3" s="13"/>
      <c r="H3" s="13"/>
    </row>
    <row r="4" ht="19" customHeight="1">
      <c r="A4" s="10"/>
      <c r="B4" s="13" t="str">
        <v>Crypto-assets are highly risky. Copy trading can lose money, including the entire amount invested.</v>
      </c>
      <c r="C4" s="13"/>
      <c r="D4" s="13"/>
      <c r="E4" s="13"/>
      <c r="F4" s="13"/>
      <c r="G4" s="13"/>
      <c r="H4" s="13"/>
    </row>
    <row r="5" ht="19" customHeight="1">
      <c r="A5" s="10"/>
      <c r="B5" s="10" t="str">
        <v>Read this sheet first. It lists every cell you can edit, what recalculates and what is frozen, how to read Checks, and one worked edit with exact before and after values.</v>
      </c>
      <c r="C5" s="10"/>
      <c r="D5" s="10"/>
      <c r="E5" s="10"/>
      <c r="F5" s="10"/>
      <c r="G5" s="10"/>
      <c r="H5" s="10"/>
    </row>
    <row r="6" ht="10" customHeight="1">
      <c r="A6" s="10"/>
      <c r="B6" s="10"/>
      <c r="C6" s="10"/>
      <c r="D6" s="10"/>
      <c r="E6" s="10"/>
      <c r="F6" s="10"/>
      <c r="G6" s="10"/>
      <c r="H6" s="10"/>
    </row>
    <row r="7" ht="24" customHeight="1">
      <c r="A7" s="10"/>
      <c r="B7" s="16" t="str">
        <v>1. Cells you can edit</v>
      </c>
      <c r="C7" s="16"/>
      <c r="D7" s="16"/>
      <c r="E7" s="16"/>
      <c r="F7" s="16"/>
      <c r="G7" s="16"/>
      <c r="H7" s="16"/>
    </row>
    <row r="8" ht="32" customHeight="1">
      <c r="A8" s="10"/>
      <c r="B8" s="10" t="str">
        <v>Inputs have blue text on a yellow fill. This list is generated from the workbook's own input definition, so it is complete: every other cell is a formula, a label or frozen data. Changes results = No marks inputs that no result uses.</v>
      </c>
      <c r="C8" s="10"/>
      <c r="D8" s="10"/>
      <c r="E8" s="10"/>
      <c r="F8" s="10"/>
      <c r="G8" s="10"/>
      <c r="H8" s="10"/>
    </row>
    <row r="9" ht="19" customHeight="1">
      <c r="A9" s="10"/>
      <c r="B9" s="20" t="str">
        <v>Sheet</v>
      </c>
      <c r="C9" s="20" t="str">
        <v>Cells</v>
      </c>
      <c r="D9" s="20" t="str">
        <v>What they mean</v>
      </c>
      <c r="E9" s="20" t="str">
        <v>Count</v>
      </c>
      <c r="F9" s="20" t="str">
        <v>Changes results</v>
      </c>
      <c r="G9" s="10"/>
      <c r="H9" s="10"/>
    </row>
    <row r="10" ht="58" customHeight="1">
      <c r="A10" s="10"/>
      <c r="B10" s="21" t="str">
        <v>Inputs</v>
      </c>
      <c r="C10" s="21" t="str">
        <v>E11:E13</v>
      </c>
      <c r="D10" s="21" t="str">
        <v>Launch month (subscriptions start; the CAC inputs apply to the cohort that starts then), licence month (copy trading starts in Germany, in Austria one month later) and B2B Teams start month. Model month 1 = January 2027.</v>
      </c>
      <c r="E10" s="21" t="n">
        <v>3</v>
      </c>
      <c r="F10" s="21" t="str">
        <v>Yes</v>
      </c>
      <c r="G10" s="10"/>
      <c r="H10" s="10"/>
    </row>
    <row r="11" ht="19" customHeight="1">
      <c r="A11" s="10"/>
      <c r="B11" s="21" t="str">
        <v>Inputs</v>
      </c>
      <c r="C11" s="21" t="str">
        <v>E14</v>
      </c>
      <c r="D11" s="21" t="str">
        <v>Share of users in Austria; the rest are in Germany.</v>
      </c>
      <c r="E11" s="21" t="n">
        <v>1</v>
      </c>
      <c r="F11" s="21" t="str">
        <v>Yes</v>
      </c>
      <c r="G11" s="10"/>
      <c r="H11" s="10"/>
    </row>
    <row r="12" ht="58" customHeight="1">
      <c r="A12" s="10"/>
      <c r="B12" s="21" t="str">
        <v>Inputs</v>
      </c>
      <c r="C12" s="21" t="str">
        <v>E15:E26</v>
      </c>
      <c r="D12" s="21" t="str">
        <v>R1 subscriptions: Plus and Pro monthly and annual prices (incl. VAT), Pro share of new payers, first-month and later conversion, annual-plan share, monthly churn, annual renewal, app-store billing share and app-store commission.</v>
      </c>
      <c r="E12" s="21" t="n">
        <v>12</v>
      </c>
      <c r="F12" s="21" t="str">
        <v>Yes</v>
      </c>
      <c r="G12" s="10"/>
      <c r="H12" s="10"/>
    </row>
    <row r="13" ht="45" customHeight="1">
      <c r="A13" s="10"/>
      <c r="B13" s="21" t="str">
        <v>Inputs</v>
      </c>
      <c r="C13" s="21" t="str">
        <v>E27:E31</v>
      </c>
      <c r="D13" s="21" t="str">
        <v>R2 copy trading: average copy fee per copied trader per month (incl. VAT), lead-trader share of the net fee, monthly copier start rate and churn, copied traders per copier.</v>
      </c>
      <c r="E13" s="21" t="n">
        <v>5</v>
      </c>
      <c r="F13" s="21" t="str">
        <v>Yes</v>
      </c>
      <c r="G13" s="10"/>
      <c r="H13" s="10"/>
    </row>
    <row r="14" ht="58" customHeight="1">
      <c r="A14" s="10"/>
      <c r="B14" s="21" t="str">
        <v>Inputs</v>
      </c>
      <c r="C14" s="21" t="str">
        <v>E32:E42</v>
      </c>
      <c r="D14" s="21" t="str">
        <v>Variable costs: card processing (percentage and fixed fee), subscription billing, KYC per check in USD and the USD per EUR rate, hosting per active user, support contacts per 1,000 users and price per contact, dispute rate and fee, fraud losses.</v>
      </c>
      <c r="E14" s="21" t="n">
        <v>11</v>
      </c>
      <c r="F14" s="21" t="str">
        <v>Yes</v>
      </c>
      <c r="G14" s="10"/>
      <c r="H14" s="10"/>
    </row>
    <row r="15" ht="19" customHeight="1">
      <c r="A15" s="10"/>
      <c r="B15" s="21" t="str">
        <v>Inputs</v>
      </c>
      <c r="C15" s="21" t="str">
        <v>E43:E45</v>
      </c>
      <c r="D15" s="21" t="str">
        <v>B2C VAT for Germany and Austria; input-VAT recovery share.</v>
      </c>
      <c r="E15" s="21" t="n">
        <v>3</v>
      </c>
      <c r="F15" s="21" t="str">
        <v>Yes</v>
      </c>
      <c r="G15" s="10"/>
      <c r="H15" s="10"/>
    </row>
    <row r="16" ht="32" customHeight="1">
      <c r="A16" s="10"/>
      <c r="B16" s="21" t="str">
        <v>Inputs</v>
      </c>
      <c r="C16" s="21" t="str">
        <v>E46:E49</v>
      </c>
      <c r="D16" s="21" t="str">
        <v>R7 B2B licences: monthly client churn, seats per client, net price per seat per month, onboarding fee (recognised over 12 months).</v>
      </c>
      <c r="E16" s="21" t="n">
        <v>4</v>
      </c>
      <c r="F16" s="21" t="str">
        <v>Yes</v>
      </c>
      <c r="G16" s="10"/>
      <c r="H16" s="10"/>
    </row>
    <row r="17" ht="19" customHeight="1">
      <c r="A17" s="10"/>
      <c r="B17" s="21" t="str">
        <v>Inputs</v>
      </c>
      <c r="C17" s="21" t="str">
        <v>E50</v>
      </c>
      <c r="D17" s="21" t="str">
        <v>Annual discount rate for LTV and payback.</v>
      </c>
      <c r="E17" s="21" t="n">
        <v>1</v>
      </c>
      <c r="F17" s="21" t="str">
        <v>Yes</v>
      </c>
      <c r="G17" s="10"/>
      <c r="H17" s="10"/>
    </row>
    <row r="18" ht="32" customHeight="1">
      <c r="A18" s="10"/>
      <c r="B18" s="21" t="str">
        <v>Inputs</v>
      </c>
      <c r="C18" s="21" t="str">
        <v>E52, E54</v>
      </c>
      <c r="D18" s="21" t="str">
        <v>Selectors: originating cohort month (1–60; the default is the launch month) and channel (1 paid, 2 organic, 3 referral, 4 trader).</v>
      </c>
      <c r="E18" s="21" t="n">
        <v>2</v>
      </c>
      <c r="F18" s="21" t="str">
        <v>Yes</v>
      </c>
      <c r="G18" s="10"/>
      <c r="H18" s="10"/>
    </row>
    <row r="19" ht="32" customHeight="1">
      <c r="A19" s="10"/>
      <c r="B19" s="21" t="str">
        <v>Inputs</v>
      </c>
      <c r="C19" s="21" t="str">
        <v>E53</v>
      </c>
      <c r="D19" s="21" t="str">
        <v>Support contacts are quoted per 1,000 users; keep this divisor at 1,000.</v>
      </c>
      <c r="E19" s="21" t="n">
        <v>1</v>
      </c>
      <c r="F19" s="21" t="str">
        <v>Yes</v>
      </c>
      <c r="G19" s="10"/>
      <c r="H19" s="10"/>
    </row>
    <row r="20" ht="45" customHeight="1">
      <c r="A20" s="10"/>
      <c r="B20" s="21" t="str">
        <v>Inputs</v>
      </c>
      <c r="C20" s="21" t="str">
        <v>E55:E58</v>
      </c>
      <c r="D20" s="21" t="str">
        <v>Cohort-attributed CAC per channel for the launch cohort, seeded from D10. Used when the cohort month is the launch month; other cohorts read the frozen D10 calendar on Calendar_Seeds.</v>
      </c>
      <c r="E20" s="21" t="n">
        <v>4</v>
      </c>
      <c r="F20" s="21" t="str">
        <v>Yes</v>
      </c>
      <c r="G20" s="10"/>
      <c r="H20" s="10"/>
    </row>
    <row r="21" ht="45" customHeight="1">
      <c r="A21" s="10"/>
      <c r="B21" s="21" t="str">
        <v>Inputs</v>
      </c>
      <c r="C21" s="21" t="str">
        <v>E59, E61, E63</v>
      </c>
      <c r="D21" s="21" t="str">
        <v>ARPU per stream (R1 per entitled subscriber, R2 per copier, R7 per client), seeded from D10. Editing one scales that stream's prices by new ARPU / original calibration (the frozen ARPU_SEED rows).</v>
      </c>
      <c r="E21" s="21" t="n">
        <v>3</v>
      </c>
      <c r="F21" s="21" t="str">
        <v>Yes</v>
      </c>
      <c r="G21" s="10"/>
      <c r="H21" s="10"/>
    </row>
    <row r="22" ht="45" customHeight="1">
      <c r="A22" s="10"/>
      <c r="B22" s="21" t="str">
        <v>Inputs</v>
      </c>
      <c r="C22" s="21" t="str">
        <v>E66:E67</v>
      </c>
      <c r="D22" s="21" t="str">
        <v>B2B acquisition cost per client and direct variable cost per client-month. Both are 0 in Base, so B2B LTV / CAC shows n/m until you enter a positive cost.</v>
      </c>
      <c r="E22" s="21" t="n">
        <v>2</v>
      </c>
      <c r="F22" s="21" t="str">
        <v>Yes</v>
      </c>
      <c r="G22" s="10"/>
      <c r="H22" s="10"/>
    </row>
    <row r="23" ht="45" customHeight="1">
      <c r="A23" s="10"/>
      <c r="B23" s="21" t="str">
        <v>Retention</v>
      </c>
      <c r="C23" s="21" t="str">
        <v>H11:AQ11</v>
      </c>
      <c r="D23" s="21" t="str">
        <v>Active share of original connected users by cohort age 0–35 (0–100%; keep it non-increasing, there is no reactivation). Feeds every age of the 36-month cohort.</v>
      </c>
      <c r="E23" s="21" t="n">
        <v>36</v>
      </c>
      <c r="F23" s="21" t="str">
        <v>Yes</v>
      </c>
      <c r="G23" s="10"/>
      <c r="H23" s="10"/>
    </row>
    <row r="24" ht="45" customHeight="1">
      <c r="A24" s="10"/>
      <c r="B24" s="21" t="str">
        <v>Retention</v>
      </c>
      <c r="C24" s="21" t="str">
        <v>AR11:BO11</v>
      </c>
      <c r="D24" s="21" t="str">
        <v>Active share for ages 36–59, beyond the 36-month LTV horizon. No result uses them; only the closing value in Retention!E11 shows the age-59 share.</v>
      </c>
      <c r="E24" s="21" t="n">
        <v>24</v>
      </c>
      <c r="F24" s="21" t="str">
        <v>No</v>
      </c>
      <c r="G24" s="10"/>
      <c r="H24" s="10"/>
    </row>
    <row r="25" ht="10" customHeight="1">
      <c r="A25" s="10"/>
      <c r="B25" s="10"/>
      <c r="C25" s="10"/>
      <c r="D25" s="10"/>
      <c r="E25" s="10"/>
      <c r="F25" s="10"/>
      <c r="G25" s="10"/>
      <c r="H25" s="10"/>
    </row>
    <row r="26" ht="24" customHeight="1">
      <c r="A26" s="10"/>
      <c r="B26" s="16" t="str">
        <v>2. What recalculates and what is frozen</v>
      </c>
      <c r="C26" s="16"/>
      <c r="D26" s="16"/>
      <c r="E26" s="16"/>
      <c r="F26" s="16"/>
      <c r="G26" s="16"/>
      <c r="H26" s="16"/>
    </row>
    <row r="27" ht="32" customHeight="1">
      <c r="A27" s="10"/>
      <c r="B27" s="19" t="str">
        <v>Live</v>
      </c>
      <c r="C27" s="10" t="str">
        <v>Every formula recalculates as soon as you change a cell (automatic calculation; press F9 if your Excel is set to Manual). Black formulas calculate on their own sheet, green ones link to another sheet. Inputs and Retention feed Cohort (36 ages), Tail_Check and B2B; Calculator reads Cohort, the CAC inputs and the frozen calendar.</v>
      </c>
      <c r="D27" s="10"/>
      <c r="E27" s="10"/>
      <c r="F27" s="10"/>
      <c r="G27" s="10"/>
      <c r="H27" s="10"/>
    </row>
    <row r="28" ht="58" customHeight="1">
      <c r="A28" s="10"/>
      <c r="B28" s="19" t="str">
        <v>Frozen</v>
      </c>
      <c r="C28" s="10" t="str">
        <v>Embedded D10 values that never change: the calendar CAC and arrivals by channel and the Connect and trader-KYC rates derived from D10, by model month up to M95 (Calendar_Seeds; M61–M95 come from the D10 extended model and serve cohort ages after M60); the fixed Tail_Check cohort month (M50); the original ARPU calibrations (ARPU_SEED rows on Inputs); and two reference rows that no formula reads (X.LTV_MONTHS: the horizon is fixed at 36 months; ARPU.R3: R3 is switched off). CONST rows on Inputs are structural constants. On Checks, the EXPECTED rows are frozen D10 controls. CAC and ARPU inputs start at D10 values but are yours to change.</v>
      </c>
      <c r="D28" s="10"/>
      <c r="E28" s="10"/>
      <c r="F28" s="10"/>
      <c r="G28" s="10"/>
      <c r="H28" s="10"/>
    </row>
    <row r="29" ht="19" customHeight="1">
      <c r="A29" s="10"/>
      <c r="B29" s="19" t="str">
        <v>Horizon</v>
      </c>
      <c r="C29" s="10" t="str">
        <v>LTV adds ages 0–35 with no terminal value; age 0 is undiscounted. B2B stays separate from the retail cohort.</v>
      </c>
      <c r="D29" s="10"/>
      <c r="E29" s="10"/>
      <c r="F29" s="10"/>
      <c r="G29" s="10"/>
      <c r="H29" s="10"/>
    </row>
    <row r="30" ht="19" customHeight="1">
      <c r="A30" s="10"/>
      <c r="B30" s="20" t="str">
        <v>Sheet</v>
      </c>
      <c r="C30" s="20" t="str">
        <v>Role</v>
      </c>
      <c r="D30" s="20" t="str">
        <v>What it holds</v>
      </c>
      <c r="E30" s="20" t="str">
        <v>Live formulas</v>
      </c>
      <c r="F30" s="20" t="str">
        <v>Input cells</v>
      </c>
      <c r="G30" s="20" t="str">
        <v>Frozen numbers</v>
      </c>
      <c r="H30" s="10"/>
    </row>
    <row r="31" ht="32" customHeight="1">
      <c r="A31" s="10"/>
      <c r="B31" s="21" t="str">
        <v>Calculator</v>
      </c>
      <c r="C31" s="21" t="str">
        <v>Results</v>
      </c>
      <c r="D31" s="21" t="str">
        <v>LTV, CAC, LTV / CAC and discounted payback for the selected cohort and channel, with the cumulative path by age.</v>
      </c>
      <c r="E31" s="21" t="n">
        <v>258</v>
      </c>
      <c r="F31" s="21" t="n">
        <v>0</v>
      </c>
      <c r="G31" s="21" t="n">
        <v>0</v>
      </c>
      <c r="H31" s="10"/>
    </row>
    <row r="32" ht="32" customHeight="1">
      <c r="A32" s="10"/>
      <c r="B32" s="21" t="str">
        <v>Inputs</v>
      </c>
      <c r="C32" s="21" t="str">
        <v>Inputs</v>
      </c>
      <c r="D32" s="21" t="str">
        <v>Assumptions, selectors, CAC and ARPU inputs; frozen ARPU calibrations, reference rows and structural constants.</v>
      </c>
      <c r="E32" s="21" t="n">
        <v>0</v>
      </c>
      <c r="F32" s="21" t="n">
        <v>52</v>
      </c>
      <c r="G32" s="21" t="n">
        <v>13</v>
      </c>
      <c r="H32" s="10"/>
    </row>
    <row r="33" ht="32" customHeight="1">
      <c r="A33" s="10"/>
      <c r="B33" s="21" t="str">
        <v>Cohort</v>
      </c>
      <c r="C33" s="21" t="str">
        <v>Calculation</v>
      </c>
      <c r="D33" s="21" t="str">
        <v>Month by month per original connected user: subscriptions, copiers, DE/AT permissions, revenue, variable costs and contribution.</v>
      </c>
      <c r="E33" s="21" t="n">
        <v>4547</v>
      </c>
      <c r="F33" s="21" t="n">
        <v>0</v>
      </c>
      <c r="G33" s="21" t="n">
        <v>0</v>
      </c>
      <c r="H33" s="10"/>
    </row>
    <row r="34" ht="19" customHeight="1">
      <c r="A34" s="10"/>
      <c r="B34" s="21" t="str">
        <v>B2B</v>
      </c>
      <c r="C34" s="21" t="str">
        <v>Calculation</v>
      </c>
      <c r="D34" s="21" t="str">
        <v>Separate B2B client economics and the 36-month B2B LTV.</v>
      </c>
      <c r="E34" s="21" t="n">
        <v>292</v>
      </c>
      <c r="F34" s="21" t="n">
        <v>0</v>
      </c>
      <c r="G34" s="21" t="n">
        <v>0</v>
      </c>
      <c r="H34" s="10"/>
    </row>
    <row r="35" ht="19" customHeight="1">
      <c r="A35" s="10"/>
      <c r="B35" s="21" t="str">
        <v>Retention</v>
      </c>
      <c r="C35" s="21" t="str">
        <v>Inputs</v>
      </c>
      <c r="D35" s="21" t="str">
        <v>Editable retention curve by cohort age.</v>
      </c>
      <c r="E35" s="21" t="n">
        <v>121</v>
      </c>
      <c r="F35" s="21" t="n">
        <v>60</v>
      </c>
      <c r="G35" s="21" t="n">
        <v>0</v>
      </c>
      <c r="H35" s="10"/>
    </row>
    <row r="36" ht="45" customHeight="1">
      <c r="A36" s="10"/>
      <c r="B36" s="21" t="str">
        <v>Calendar_Seeds</v>
      </c>
      <c r="C36" s="21" t="str">
        <v>Frozen data</v>
      </c>
      <c r="D36" s="21" t="str">
        <v>D10 calendar by model month: CAC and arrivals per channel (M1–M60); Connect and trader-KYC rates to M95 (M61–M95 from the D10 extended model).</v>
      </c>
      <c r="E36" s="21" t="n">
        <v>190</v>
      </c>
      <c r="F36" s="21" t="n">
        <v>0</v>
      </c>
      <c r="G36" s="21" t="n">
        <v>670</v>
      </c>
      <c r="H36" s="10"/>
    </row>
    <row r="37" ht="32" customHeight="1">
      <c r="A37" s="10"/>
      <c r="B37" s="21" t="str">
        <v>Tail_Check</v>
      </c>
      <c r="C37" s="21" t="str">
        <v>Reconciliation</v>
      </c>
      <c r="D37" s="21" t="str">
        <v>The Cohort formulas for the fixed M50 cohort, whose later ages fall after M60; its LTV is tied to D10 on Checks.</v>
      </c>
      <c r="E37" s="21" t="n">
        <v>4548</v>
      </c>
      <c r="F37" s="21" t="n">
        <v>0</v>
      </c>
      <c r="G37" s="21" t="n">
        <v>1</v>
      </c>
      <c r="H37" s="10"/>
    </row>
    <row r="38" ht="19" customHeight="1">
      <c r="A38" s="10"/>
      <c r="B38" s="21" t="str">
        <v>Checks</v>
      </c>
      <c r="C38" s="21" t="str">
        <v>Reconciliation</v>
      </c>
      <c r="D38" s="21" t="str">
        <v>D10 ties: frozen EXPECTED rows and live DIFFERENCE rows.</v>
      </c>
      <c r="E38" s="21" t="n">
        <v>148</v>
      </c>
      <c r="F38" s="21" t="n">
        <v>0</v>
      </c>
      <c r="G38" s="21" t="n">
        <v>76</v>
      </c>
      <c r="H38" s="10"/>
    </row>
    <row r="39" ht="10" customHeight="1">
      <c r="A39" s="10"/>
      <c r="B39" s="10"/>
      <c r="C39" s="10"/>
      <c r="D39" s="10"/>
      <c r="E39" s="10"/>
      <c r="F39" s="10"/>
      <c r="G39" s="10"/>
      <c r="H39" s="10"/>
    </row>
    <row r="40" ht="24" customHeight="1">
      <c r="A40" s="10"/>
      <c r="B40" s="16" t="str">
        <v>3. How to read Checks</v>
      </c>
      <c r="C40" s="16"/>
      <c r="D40" s="16"/>
      <c r="E40" s="16"/>
      <c r="F40" s="16"/>
      <c r="G40" s="16"/>
      <c r="H40" s="16"/>
    </row>
    <row r="41" ht="32" customHeight="1">
      <c r="A41" s="10"/>
      <c r="B41" s="19" t="str">
        <v>Two rows per tie</v>
      </c>
      <c r="C41" s="10" t="str">
        <v>Each tie has an EXPECTED row and a DIFFERENCE row. EXPECTED holds the D10 release value: a frozen control, not a pass or fail flag, so non-zero expected values are normal. DIFFERENCE is live: this workbook's value minus the D10 value, by month or as one total.</v>
      </c>
      <c r="D41" s="10"/>
      <c r="E41" s="10"/>
      <c r="F41" s="10"/>
      <c r="G41" s="10"/>
      <c r="H41" s="10"/>
    </row>
    <row r="42" ht="19" customHeight="1">
      <c r="A42" s="10"/>
      <c r="B42" s="19" t="str">
        <v>Release state</v>
      </c>
      <c r="C42" s="10" t="str">
        <v>Every difference is 0.00 (tolerance EUR 0.01). A difference outside its tolerance is highlighted red.</v>
      </c>
      <c r="D42" s="10"/>
      <c r="E42" s="10"/>
      <c r="F42" s="10"/>
      <c r="G42" s="10"/>
      <c r="H42" s="10"/>
    </row>
    <row r="43" ht="32" customHeight="1">
      <c r="A43" s="10"/>
      <c r="B43" s="19" t="str">
        <v>After your edit</v>
      </c>
      <c r="C43" s="10" t="str">
        <v>A non-zero difference on a line your edit touches is expected: it shows how far this copy has moved from the D10 release, in the line's own unit and sign. It is not a calculation error. A difference on a line you did not expect to move is worth a look.</v>
      </c>
      <c r="D43" s="10"/>
      <c r="E43" s="10"/>
      <c r="F43" s="10"/>
      <c r="G43" s="10"/>
      <c r="H43" s="10"/>
    </row>
    <row r="44" ht="19" customHeight="1">
      <c r="A44" s="10"/>
      <c r="B44" s="19" t="str">
        <v>Ties in this file</v>
      </c>
      <c r="C44" s="10" t="str">
        <v>6 ties, 76 tie points: UE.LTV, UE.CAC.PAID, UE.B2B_LTV, UE.AGE.DE.C10, UE.AGE.AT.C10, UE.LTV.C50.</v>
      </c>
      <c r="D44" s="10"/>
      <c r="E44" s="10"/>
      <c r="F44" s="10"/>
      <c r="G44" s="10"/>
      <c r="H44" s="10"/>
    </row>
    <row r="45" ht="32" customHeight="1">
      <c r="A45" s="10"/>
      <c r="B45" s="19" t="str">
        <v>Selections</v>
      </c>
      <c r="C45" s="10" t="str">
        <v>The ties use the launch cohort on the paid channel. Another channel or cohort month compares a different population with these D10 values, so its differences become non-zero by design. The tail tie UE.LTV.C50 uses the fixed cohort on Tail_Check, so the selectors do not move it.</v>
      </c>
      <c r="D45" s="10"/>
      <c r="E45" s="10"/>
      <c r="F45" s="10"/>
      <c r="G45" s="10"/>
      <c r="H45" s="10"/>
    </row>
    <row r="46" ht="10" customHeight="1">
      <c r="A46" s="10"/>
      <c r="B46" s="10"/>
      <c r="C46" s="10"/>
      <c r="D46" s="10"/>
      <c r="E46" s="10"/>
      <c r="F46" s="10"/>
      <c r="G46" s="10"/>
      <c r="H46" s="10"/>
    </row>
    <row r="47" ht="24" customHeight="1">
      <c r="A47" s="10"/>
      <c r="B47" s="16" t="str">
        <v>4. Your local copy</v>
      </c>
      <c r="C47" s="16"/>
      <c r="D47" s="16"/>
      <c r="E47" s="16"/>
      <c r="F47" s="16"/>
      <c r="G47" s="16"/>
      <c r="H47" s="16"/>
    </row>
    <row r="48" ht="45" customHeight="1">
      <c r="A48" s="10"/>
      <c r="B48" s="19" t="str">
        <v>Local copy</v>
      </c>
      <c r="C48" s="10" t="str">
        <v>This file is a standalone local user copy. Your edits stay in this file: they never sync to D10, to the other companion workbooks or to any source file, and the file fetches nothing (no external links, no macros). Save an edited copy under a new name to keep the release file. A new release replaces this file; your edits do not carry over.</v>
      </c>
      <c r="D48" s="10"/>
      <c r="E48" s="10"/>
      <c r="F48" s="10"/>
      <c r="G48" s="10"/>
      <c r="H48" s="10"/>
    </row>
    <row r="49" ht="10" customHeight="1">
      <c r="A49" s="10"/>
      <c r="B49" s="10"/>
      <c r="C49" s="10"/>
      <c r="D49" s="10"/>
      <c r="E49" s="10"/>
      <c r="F49" s="10"/>
      <c r="G49" s="10"/>
      <c r="H49" s="10"/>
    </row>
    <row r="50" ht="24" customHeight="1">
      <c r="A50" s="10"/>
      <c r="B50" s="16" t="str">
        <v>5. Worked edit: lower the paid CAC</v>
      </c>
      <c r="C50" s="16"/>
      <c r="D50" s="16"/>
      <c r="E50" s="16"/>
      <c r="F50" s="16"/>
      <c r="G50" s="16"/>
      <c r="H50" s="16"/>
    </row>
    <row r="51" ht="19" customHeight="1">
      <c r="A51" s="10"/>
      <c r="B51" s="10" t="str">
        <v>One edit, step by step. Release values and values after the edit come from this workbook's own formulas on a modified copy. Once you have made the edit, Live now equals After the edit.</v>
      </c>
      <c r="C51" s="10"/>
      <c r="D51" s="10"/>
      <c r="E51" s="10"/>
      <c r="F51" s="10"/>
      <c r="G51" s="10"/>
      <c r="H51" s="10"/>
    </row>
    <row r="52" ht="19" customHeight="1">
      <c r="A52" s="10"/>
      <c r="B52" s="20" t="str">
        <v>Step</v>
      </c>
      <c r="C52" s="20" t="str">
        <v>Where</v>
      </c>
      <c r="D52" s="20" t="str">
        <v>What to do and what you see</v>
      </c>
      <c r="E52" s="20"/>
      <c r="F52" s="20"/>
      <c r="G52" s="20"/>
      <c r="H52" s="20"/>
    </row>
    <row r="53" ht="32" customHeight="1">
      <c r="A53" s="10"/>
      <c r="B53" s="22" t="str">
        <v>Step 1</v>
      </c>
      <c r="C53" s="21" t="str">
        <v>Inputs!E55</v>
      </c>
      <c r="D53" s="21" t="str">
        <v>Go to Inputs, row CAC.PAID (paid cohort-attributed CAC). It holds 104.46 EUR per user, the D10 value for the launch cohort, which carries the M8–M9 pre-launch spend.</v>
      </c>
      <c r="E53" s="21"/>
      <c r="F53" s="21"/>
      <c r="G53" s="21"/>
      <c r="H53" s="21"/>
    </row>
    <row r="54" ht="19" customHeight="1">
      <c r="A54" s="10"/>
      <c r="B54" s="22" t="str">
        <v>Step 2</v>
      </c>
      <c r="C54" s="21" t="str">
        <v>Inputs!E55</v>
      </c>
      <c r="D54" s="21" t="str">
        <v>Type 25 and press Enter. Excel recalculates at once (press F9 if calculation is set to Manual).</v>
      </c>
      <c r="E54" s="21"/>
      <c r="F54" s="21"/>
      <c r="G54" s="21"/>
      <c r="H54" s="21"/>
    </row>
    <row r="55" ht="32" customHeight="1">
      <c r="A55" s="10"/>
      <c r="B55" s="22" t="str">
        <v>Step 3</v>
      </c>
      <c r="C55" s="21" t="str">
        <v>Calculator</v>
      </c>
      <c r="D55" s="21" t="str">
        <v>LTV does not depend on CAC and stays 32.33. LTV / CAC rises from 0.3095 to 1.2932 (Calculator shows two decimals). Discounted payback changes from not reached to 27 months: the first age, counted from 1, at which the cumulative discounted contribution reaches CAC.</v>
      </c>
      <c r="E55" s="21"/>
      <c r="F55" s="21"/>
      <c r="G55" s="21"/>
      <c r="H55" s="21"/>
    </row>
    <row r="56" ht="32" customHeight="1">
      <c r="A56" s="10"/>
      <c r="B56" s="22" t="str">
        <v>Step 4</v>
      </c>
      <c r="C56" s="21" t="str">
        <v>Checks!E14</v>
      </c>
      <c r="D56" s="21" t="str">
        <v>UE.CAC.PAID.DIFFERENCE now shows -79.46, highlighted: your CAC differs from the D10 value by that amount. Every other difference stays 0.00.</v>
      </c>
      <c r="E56" s="21"/>
      <c r="F56" s="21"/>
      <c r="G56" s="21"/>
      <c r="H56" s="21"/>
    </row>
    <row r="57" ht="19" customHeight="1">
      <c r="A57" s="10"/>
      <c r="B57" s="22" t="str">
        <v>Step 5</v>
      </c>
      <c r="C57" s="21" t="str">
        <v>—</v>
      </c>
      <c r="D57" s="21" t="str">
        <v>Undo (Ctrl+Z), or close the file without saving, to return to the release values.</v>
      </c>
      <c r="E57" s="21"/>
      <c r="F57" s="21"/>
      <c r="G57" s="21"/>
      <c r="H57" s="21"/>
    </row>
    <row r="58" ht="10" customHeight="1">
      <c r="A58" s="10"/>
      <c r="B58" s="10"/>
      <c r="C58" s="10"/>
      <c r="D58" s="10"/>
      <c r="E58" s="10"/>
      <c r="F58" s="10"/>
      <c r="G58" s="10"/>
      <c r="H58" s="10"/>
    </row>
    <row r="59" ht="19" customHeight="1">
      <c r="A59" s="10"/>
      <c r="B59" s="20" t="str">
        <v>Item</v>
      </c>
      <c r="C59" s="20" t="str">
        <v>Cell</v>
      </c>
      <c r="D59" s="20" t="str">
        <v>What it measures</v>
      </c>
      <c r="E59" s="20" t="str">
        <v>Release value</v>
      </c>
      <c r="F59" s="20" t="str">
        <v>After the edit</v>
      </c>
      <c r="G59" s="20" t="str">
        <v>Change</v>
      </c>
      <c r="H59" s="20" t="str">
        <v>Live now</v>
      </c>
    </row>
    <row r="60" ht="19" customHeight="1">
      <c r="A60" s="10"/>
      <c r="B60" s="21" t="str">
        <v>Paid CAC (edited cell)</v>
      </c>
      <c r="C60" s="21" t="str">
        <v>Inputs!E55</v>
      </c>
      <c r="D60" s="21" t="str">
        <v>Paid cohort-attributed CAC, EUR per original connected user</v>
      </c>
      <c r="E60" s="24" t="n">
        <v>104.46343779677113</v>
      </c>
      <c r="F60" s="24" t="n">
        <v>25</v>
      </c>
      <c r="G60" s="24" t="n">
        <v>-79.46343779677113</v>
      </c>
      <c r="H60" s="25">
        <f>'Inputs'!E55</f>
        <v>104.46343779677113</v>
      </c>
    </row>
    <row r="61" ht="19" customHeight="1">
      <c r="A61" s="10"/>
      <c r="B61" s="21" t="str">
        <v>LTV</v>
      </c>
      <c r="C61" s="21" t="str">
        <v>Calculator!E11</v>
      </c>
      <c r="D61" s="21" t="str">
        <v>36-month discounted LTV, EUR per user</v>
      </c>
      <c r="E61" s="24" t="n">
        <v>32.33029911500752</v>
      </c>
      <c r="F61" s="24" t="n">
        <v>32.33029911500752</v>
      </c>
      <c r="G61" s="24" t="n">
        <v>0</v>
      </c>
      <c r="H61" s="25">
        <f>'Calculator'!E11</f>
        <v>32.33029911500752</v>
      </c>
    </row>
    <row r="62" ht="19" customHeight="1">
      <c r="A62" s="10"/>
      <c r="B62" s="21" t="str">
        <v>LTV / CAC</v>
      </c>
      <c r="C62" s="21" t="str">
        <v>Calculator!E14</v>
      </c>
      <c r="D62" s="21" t="str">
        <v>LTV divided by CAC</v>
      </c>
      <c r="E62" s="26" t="n">
        <v>0.3094891360736629</v>
      </c>
      <c r="F62" s="26" t="n">
        <v>1.2932119646003009</v>
      </c>
      <c r="G62" s="26" t="n">
        <v>0.983722828526638</v>
      </c>
      <c r="H62" s="27">
        <f>'Calculator'!E14</f>
        <v>0.3094891360736629</v>
      </c>
    </row>
    <row r="63" ht="32" customHeight="1">
      <c r="A63" s="10"/>
      <c r="B63" s="21" t="str">
        <v>Discounted payback</v>
      </c>
      <c r="C63" s="21" t="str">
        <v>Calculator!E15</v>
      </c>
      <c r="D63" s="21" t="str">
        <v>First age, counted from 1, at which cumulative discounted contribution reaches CAC</v>
      </c>
      <c r="E63" s="28" t="str">
        <v>not reached</v>
      </c>
      <c r="F63" s="28" t="n">
        <v>27</v>
      </c>
      <c r="G63" s="21"/>
      <c r="H63" s="29" t="str">
        <f>'Calculator'!E15</f>
        <v>not reached</v>
      </c>
    </row>
  </sheetData>
  <mergeCells>
    <mergeCell ref="B1:H1"/>
    <mergeCell ref="B2:H2"/>
    <mergeCell ref="B3:H3"/>
    <mergeCell ref="B4:H4"/>
    <mergeCell ref="B5:H5"/>
    <mergeCell ref="B7:H7"/>
    <mergeCell ref="B8:H8"/>
    <mergeCell ref="B26:H26"/>
    <mergeCell ref="C27:H27"/>
    <mergeCell ref="C28:H28"/>
    <mergeCell ref="C29:H29"/>
    <mergeCell ref="B40:H40"/>
    <mergeCell ref="C41:H41"/>
    <mergeCell ref="C42:H42"/>
    <mergeCell ref="C43:H43"/>
    <mergeCell ref="C44:H44"/>
    <mergeCell ref="C45:H45"/>
    <mergeCell ref="B47:H47"/>
    <mergeCell ref="C48:H48"/>
    <mergeCell ref="B50:H50"/>
    <mergeCell ref="B51:H51"/>
    <mergeCell ref="D52:H52"/>
    <mergeCell ref="D53:H53"/>
    <mergeCell ref="D54:H54"/>
    <mergeCell ref="D55:H55"/>
    <mergeCell ref="D56:H56"/>
    <mergeCell ref="D57:H57"/>
  </mergeCells>
  <pageMargins left="0.7" right="0.7" top="0.75" bottom="0.75" header="0.3" footer="0.3"/>
</worksheet>
</file>

<file path=xl/worksheets/sheet3.xml><?xml version="1.0" encoding="utf-8"?>
<worksheet xmlns="http://schemas.openxmlformats.org/spreadsheetml/2006/main" xmlns:ns1="http://schemas.openxmlformats.org/officeDocument/2006/relationships">
  <sheetPr>
    <tabColor rgb="FF203864"/>
  </sheetPr>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s>
  <sheetData>
    <row r="1" ht="28" customHeight="1">
      <c r="A1" s="2"/>
      <c r="B1" s="30" t="str">
        <v>Unit economics / original connected user</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ht="22" customHeight="1">
      <c r="A6" s="2"/>
      <c r="B6" s="2"/>
      <c r="C6" s="2"/>
      <c r="D6" s="2"/>
      <c r="E6" s="2"/>
      <c r="F6" s="2"/>
      <c r="G6" s="2"/>
      <c r="H6" s="2" t="n">
        <v>0</v>
      </c>
      <c r="I6" s="2" t="n">
        <v>1</v>
      </c>
      <c r="J6" s="2" t="n">
        <v>2</v>
      </c>
      <c r="K6" s="2" t="n">
        <v>3</v>
      </c>
      <c r="L6" s="2" t="n">
        <v>4</v>
      </c>
      <c r="M6" s="2" t="n">
        <v>5</v>
      </c>
      <c r="N6" s="2" t="n">
        <v>6</v>
      </c>
      <c r="O6" s="2" t="n">
        <v>7</v>
      </c>
      <c r="P6" s="2" t="n">
        <v>8</v>
      </c>
      <c r="Q6" s="2" t="n">
        <v>9</v>
      </c>
      <c r="R6" s="2" t="n">
        <v>10</v>
      </c>
      <c r="S6" s="2" t="n">
        <v>11</v>
      </c>
      <c r="T6" s="2" t="n">
        <v>12</v>
      </c>
      <c r="U6" s="2" t="n">
        <v>13</v>
      </c>
      <c r="V6" s="2" t="n">
        <v>14</v>
      </c>
      <c r="W6" s="2" t="n">
        <v>15</v>
      </c>
      <c r="X6" s="2" t="n">
        <v>16</v>
      </c>
      <c r="Y6" s="2" t="n">
        <v>17</v>
      </c>
      <c r="Z6" s="2" t="n">
        <v>18</v>
      </c>
      <c r="AA6" s="2" t="n">
        <v>19</v>
      </c>
      <c r="AB6" s="2" t="n">
        <v>20</v>
      </c>
      <c r="AC6" s="2" t="n">
        <v>21</v>
      </c>
      <c r="AD6" s="2" t="n">
        <v>22</v>
      </c>
      <c r="AE6" s="2" t="n">
        <v>23</v>
      </c>
      <c r="AF6" s="2" t="n">
        <v>24</v>
      </c>
      <c r="AG6" s="2" t="n">
        <v>25</v>
      </c>
      <c r="AH6" s="2" t="n">
        <v>26</v>
      </c>
      <c r="AI6" s="2" t="n">
        <v>27</v>
      </c>
      <c r="AJ6" s="2" t="n">
        <v>28</v>
      </c>
      <c r="AK6" s="2" t="n">
        <v>29</v>
      </c>
      <c r="AL6" s="2" t="n">
        <v>30</v>
      </c>
      <c r="AM6" s="2" t="n">
        <v>31</v>
      </c>
      <c r="AN6" s="2" t="n">
        <v>32</v>
      </c>
      <c r="AO6" s="2" t="n">
        <v>33</v>
      </c>
      <c r="AP6" s="2" t="n">
        <v>34</v>
      </c>
      <c r="AQ6" s="2" t="n">
        <v>35</v>
      </c>
    </row>
    <row r="7" ht="22" customHeight="1">
      <c r="A7" s="2"/>
      <c r="B7" s="2"/>
      <c r="C7" s="2"/>
      <c r="D7" s="2"/>
      <c r="E7" s="2"/>
      <c r="F7" s="2"/>
      <c r="G7" s="2"/>
      <c r="H7" s="42">
        <f>'Cohort'!H7</f>
        <v>46661.0</v>
      </c>
      <c r="I7" s="42">
        <f>'Cohort'!I7</f>
        <v>46692.0</v>
      </c>
      <c r="J7" s="42">
        <f>'Cohort'!J7</f>
        <v>46722.0</v>
      </c>
      <c r="K7" s="42">
        <f>'Cohort'!K7</f>
        <v>46753.0</v>
      </c>
      <c r="L7" s="42">
        <f>'Cohort'!L7</f>
        <v>46784.0</v>
      </c>
      <c r="M7" s="42">
        <f>'Cohort'!M7</f>
        <v>46813.0</v>
      </c>
      <c r="N7" s="42">
        <f>'Cohort'!N7</f>
        <v>46844.0</v>
      </c>
      <c r="O7" s="42">
        <f>'Cohort'!O7</f>
        <v>46874.0</v>
      </c>
      <c r="P7" s="42">
        <f>'Cohort'!P7</f>
        <v>46905.0</v>
      </c>
      <c r="Q7" s="42">
        <f>'Cohort'!Q7</f>
        <v>46935.0</v>
      </c>
      <c r="R7" s="42">
        <f>'Cohort'!R7</f>
        <v>46966.0</v>
      </c>
      <c r="S7" s="42">
        <f>'Cohort'!S7</f>
        <v>46997.0</v>
      </c>
      <c r="T7" s="42">
        <f>'Cohort'!T7</f>
        <v>47027.0</v>
      </c>
      <c r="U7" s="42">
        <f>'Cohort'!U7</f>
        <v>47058.0</v>
      </c>
      <c r="V7" s="42">
        <f>'Cohort'!V7</f>
        <v>47088.0</v>
      </c>
      <c r="W7" s="42">
        <f>'Cohort'!W7</f>
        <v>47119.0</v>
      </c>
      <c r="X7" s="42">
        <f>'Cohort'!X7</f>
        <v>47150.0</v>
      </c>
      <c r="Y7" s="42">
        <f>'Cohort'!Y7</f>
        <v>47178.0</v>
      </c>
      <c r="Z7" s="42">
        <f>'Cohort'!Z7</f>
        <v>47209.0</v>
      </c>
      <c r="AA7" s="42">
        <f>'Cohort'!AA7</f>
        <v>47239.0</v>
      </c>
      <c r="AB7" s="42">
        <f>'Cohort'!AB7</f>
        <v>47270.0</v>
      </c>
      <c r="AC7" s="42">
        <f>'Cohort'!AC7</f>
        <v>47300.0</v>
      </c>
      <c r="AD7" s="42">
        <f>'Cohort'!AD7</f>
        <v>47331.0</v>
      </c>
      <c r="AE7" s="42">
        <f>'Cohort'!AE7</f>
        <v>47362.0</v>
      </c>
      <c r="AF7" s="42">
        <f>'Cohort'!AF7</f>
        <v>47392.0</v>
      </c>
      <c r="AG7" s="42">
        <f>'Cohort'!AG7</f>
        <v>47423.0</v>
      </c>
      <c r="AH7" s="42">
        <f>'Cohort'!AH7</f>
        <v>47453.0</v>
      </c>
      <c r="AI7" s="42">
        <f>'Cohort'!AI7</f>
        <v>47484.0</v>
      </c>
      <c r="AJ7" s="42">
        <f>'Cohort'!AJ7</f>
        <v>47515.0</v>
      </c>
      <c r="AK7" s="42">
        <f>'Cohort'!AK7</f>
        <v>47543.0</v>
      </c>
      <c r="AL7" s="42">
        <f>'Cohort'!AL7</f>
        <v>47574.0</v>
      </c>
      <c r="AM7" s="42">
        <f>'Cohort'!AM7</f>
        <v>47604.0</v>
      </c>
      <c r="AN7" s="42">
        <f>'Cohort'!AN7</f>
        <v>47635.0</v>
      </c>
      <c r="AO7" s="42">
        <f>'Cohort'!AO7</f>
        <v>47665.0</v>
      </c>
      <c r="AP7" s="42">
        <f>'Cohort'!AP7</f>
        <v>47696.0</v>
      </c>
      <c r="AQ7" s="42">
        <f>'Cohort'!AQ7</f>
        <v>47727.0</v>
      </c>
    </row>
    <row r="8" ht="22" customHeight="1">
      <c r="A8" s="2"/>
      <c r="B8" s="2"/>
      <c r="C8" s="2"/>
      <c r="D8" s="2"/>
      <c r="E8" s="2"/>
      <c r="F8" s="2"/>
      <c r="G8" s="2"/>
      <c r="H8" s="2">
        <f>YEAR(H7)</f>
        <v>2027</v>
      </c>
      <c r="I8" s="2">
        <f>YEAR(I7)</f>
        <v>2027</v>
      </c>
      <c r="J8" s="2">
        <f>YEAR(J7)</f>
        <v>2027</v>
      </c>
      <c r="K8" s="2">
        <f>YEAR(K7)</f>
        <v>2028</v>
      </c>
      <c r="L8" s="2">
        <f>YEAR(L7)</f>
        <v>2028</v>
      </c>
      <c r="M8" s="2">
        <f>YEAR(M7)</f>
        <v>2028</v>
      </c>
      <c r="N8" s="2">
        <f>YEAR(N7)</f>
        <v>2028</v>
      </c>
      <c r="O8" s="2">
        <f>YEAR(O7)</f>
        <v>2028</v>
      </c>
      <c r="P8" s="2">
        <f>YEAR(P7)</f>
        <v>2028</v>
      </c>
      <c r="Q8" s="2">
        <f>YEAR(Q7)</f>
        <v>2028</v>
      </c>
      <c r="R8" s="2">
        <f>YEAR(R7)</f>
        <v>2028</v>
      </c>
      <c r="S8" s="2">
        <f>YEAR(S7)</f>
        <v>2028</v>
      </c>
      <c r="T8" s="2">
        <f>YEAR(T7)</f>
        <v>2028</v>
      </c>
      <c r="U8" s="2">
        <f>YEAR(U7)</f>
        <v>2028</v>
      </c>
      <c r="V8" s="2">
        <f>YEAR(V7)</f>
        <v>2028</v>
      </c>
      <c r="W8" s="2">
        <f>YEAR(W7)</f>
        <v>2029</v>
      </c>
      <c r="X8" s="2">
        <f>YEAR(X7)</f>
        <v>2029</v>
      </c>
      <c r="Y8" s="2">
        <f>YEAR(Y7)</f>
        <v>2029</v>
      </c>
      <c r="Z8" s="2">
        <f>YEAR(Z7)</f>
        <v>2029</v>
      </c>
      <c r="AA8" s="2">
        <f>YEAR(AA7)</f>
        <v>2029</v>
      </c>
      <c r="AB8" s="2">
        <f>YEAR(AB7)</f>
        <v>2029</v>
      </c>
      <c r="AC8" s="2">
        <f>YEAR(AC7)</f>
        <v>2029</v>
      </c>
      <c r="AD8" s="2">
        <f>YEAR(AD7)</f>
        <v>2029</v>
      </c>
      <c r="AE8" s="2">
        <f>YEAR(AE7)</f>
        <v>2029</v>
      </c>
      <c r="AF8" s="2">
        <f>YEAR(AF7)</f>
        <v>2029</v>
      </c>
      <c r="AG8" s="2">
        <f>YEAR(AG7)</f>
        <v>2029</v>
      </c>
      <c r="AH8" s="2">
        <f>YEAR(AH7)</f>
        <v>2029</v>
      </c>
      <c r="AI8" s="2">
        <f>YEAR(AI7)</f>
        <v>2030</v>
      </c>
      <c r="AJ8" s="2">
        <f>YEAR(AJ7)</f>
        <v>2030</v>
      </c>
      <c r="AK8" s="2">
        <f>YEAR(AK7)</f>
        <v>2030</v>
      </c>
      <c r="AL8" s="2">
        <f>YEAR(AL7)</f>
        <v>2030</v>
      </c>
      <c r="AM8" s="2">
        <f>YEAR(AM7)</f>
        <v>2030</v>
      </c>
      <c r="AN8" s="2">
        <f>YEAR(AN7)</f>
        <v>2030</v>
      </c>
      <c r="AO8" s="2">
        <f>YEAR(AO7)</f>
        <v>2030</v>
      </c>
      <c r="AP8" s="2">
        <f>YEAR(AP7)</f>
        <v>2030</v>
      </c>
      <c r="AQ8" s="2">
        <f>YEAR(AQ7)</f>
        <v>2030</v>
      </c>
    </row>
    <row r="9" ht="22" customHeight="1">
      <c r="A9" s="2"/>
      <c r="B9" s="2"/>
      <c r="C9" s="2"/>
      <c r="D9" s="2"/>
      <c r="E9" s="2"/>
      <c r="F9" s="2"/>
      <c r="G9" s="2"/>
      <c r="H9" s="8">
        <f>ROUNDDOWN((MONTH(H7)-1)/'Inputs'!$E$68,0)+1</f>
        <v>4.0</v>
      </c>
      <c r="I9" s="8">
        <f>ROUNDDOWN((MONTH(I7)-1)/'Inputs'!$E$68,0)+1</f>
        <v>4.0</v>
      </c>
      <c r="J9" s="8">
        <f>ROUNDDOWN((MONTH(J7)-1)/'Inputs'!$E$68,0)+1</f>
        <v>4.0</v>
      </c>
      <c r="K9" s="8">
        <f>ROUNDDOWN((MONTH(K7)-1)/'Inputs'!$E$68,0)+1</f>
        <v>1.0</v>
      </c>
      <c r="L9" s="8">
        <f>ROUNDDOWN((MONTH(L7)-1)/'Inputs'!$E$68,0)+1</f>
        <v>1.0</v>
      </c>
      <c r="M9" s="8">
        <f>ROUNDDOWN((MONTH(M7)-1)/'Inputs'!$E$68,0)+1</f>
        <v>1.0</v>
      </c>
      <c r="N9" s="8">
        <f>ROUNDDOWN((MONTH(N7)-1)/'Inputs'!$E$68,0)+1</f>
        <v>2.0</v>
      </c>
      <c r="O9" s="8">
        <f>ROUNDDOWN((MONTH(O7)-1)/'Inputs'!$E$68,0)+1</f>
        <v>2.0</v>
      </c>
      <c r="P9" s="8">
        <f>ROUNDDOWN((MONTH(P7)-1)/'Inputs'!$E$68,0)+1</f>
        <v>2.0</v>
      </c>
      <c r="Q9" s="8">
        <f>ROUNDDOWN((MONTH(Q7)-1)/'Inputs'!$E$68,0)+1</f>
        <v>3.0</v>
      </c>
      <c r="R9" s="8">
        <f>ROUNDDOWN((MONTH(R7)-1)/'Inputs'!$E$68,0)+1</f>
        <v>3.0</v>
      </c>
      <c r="S9" s="8">
        <f>ROUNDDOWN((MONTH(S7)-1)/'Inputs'!$E$68,0)+1</f>
        <v>3.0</v>
      </c>
      <c r="T9" s="8">
        <f>ROUNDDOWN((MONTH(T7)-1)/'Inputs'!$E$68,0)+1</f>
        <v>4.0</v>
      </c>
      <c r="U9" s="8">
        <f>ROUNDDOWN((MONTH(U7)-1)/'Inputs'!$E$68,0)+1</f>
        <v>4.0</v>
      </c>
      <c r="V9" s="8">
        <f>ROUNDDOWN((MONTH(V7)-1)/'Inputs'!$E$68,0)+1</f>
        <v>4.0</v>
      </c>
      <c r="W9" s="8">
        <f>ROUNDDOWN((MONTH(W7)-1)/'Inputs'!$E$68,0)+1</f>
        <v>1.0</v>
      </c>
      <c r="X9" s="8">
        <f>ROUNDDOWN((MONTH(X7)-1)/'Inputs'!$E$68,0)+1</f>
        <v>1.0</v>
      </c>
      <c r="Y9" s="8">
        <f>ROUNDDOWN((MONTH(Y7)-1)/'Inputs'!$E$68,0)+1</f>
        <v>1.0</v>
      </c>
      <c r="Z9" s="8">
        <f>ROUNDDOWN((MONTH(Z7)-1)/'Inputs'!$E$68,0)+1</f>
        <v>2.0</v>
      </c>
      <c r="AA9" s="8">
        <f>ROUNDDOWN((MONTH(AA7)-1)/'Inputs'!$E$68,0)+1</f>
        <v>2.0</v>
      </c>
      <c r="AB9" s="8">
        <f>ROUNDDOWN((MONTH(AB7)-1)/'Inputs'!$E$68,0)+1</f>
        <v>2.0</v>
      </c>
      <c r="AC9" s="8">
        <f>ROUNDDOWN((MONTH(AC7)-1)/'Inputs'!$E$68,0)+1</f>
        <v>3.0</v>
      </c>
      <c r="AD9" s="8">
        <f>ROUNDDOWN((MONTH(AD7)-1)/'Inputs'!$E$68,0)+1</f>
        <v>3.0</v>
      </c>
      <c r="AE9" s="8">
        <f>ROUNDDOWN((MONTH(AE7)-1)/'Inputs'!$E$68,0)+1</f>
        <v>3.0</v>
      </c>
      <c r="AF9" s="8">
        <f>ROUNDDOWN((MONTH(AF7)-1)/'Inputs'!$E$68,0)+1</f>
        <v>4.0</v>
      </c>
      <c r="AG9" s="8">
        <f>ROUNDDOWN((MONTH(AG7)-1)/'Inputs'!$E$68,0)+1</f>
        <v>4.0</v>
      </c>
      <c r="AH9" s="8">
        <f>ROUNDDOWN((MONTH(AH7)-1)/'Inputs'!$E$68,0)+1</f>
        <v>4.0</v>
      </c>
      <c r="AI9" s="8">
        <f>ROUNDDOWN((MONTH(AI7)-1)/'Inputs'!$E$68,0)+1</f>
        <v>1.0</v>
      </c>
      <c r="AJ9" s="8">
        <f>ROUNDDOWN((MONTH(AJ7)-1)/'Inputs'!$E$68,0)+1</f>
        <v>1.0</v>
      </c>
      <c r="AK9" s="8">
        <f>ROUNDDOWN((MONTH(AK7)-1)/'Inputs'!$E$68,0)+1</f>
        <v>1.0</v>
      </c>
      <c r="AL9" s="8">
        <f>ROUNDDOWN((MONTH(AL7)-1)/'Inputs'!$E$68,0)+1</f>
        <v>2.0</v>
      </c>
      <c r="AM9" s="8">
        <f>ROUNDDOWN((MONTH(AM7)-1)/'Inputs'!$E$68,0)+1</f>
        <v>2.0</v>
      </c>
      <c r="AN9" s="8">
        <f>ROUNDDOWN((MONTH(AN7)-1)/'Inputs'!$E$68,0)+1</f>
        <v>2.0</v>
      </c>
      <c r="AO9" s="8">
        <f>ROUNDDOWN((MONTH(AO7)-1)/'Inputs'!$E$68,0)+1</f>
        <v>3.0</v>
      </c>
      <c r="AP9" s="8">
        <f>ROUNDDOWN((MONTH(AP7)-1)/'Inputs'!$E$68,0)+1</f>
        <v>3.0</v>
      </c>
      <c r="AQ9" s="8">
        <f>ROUNDDOWN((MONTH(AQ7)-1)/'Inputs'!$E$68,0)+1</f>
        <v>3.0</v>
      </c>
    </row>
    <row r="10" ht="34" customHeight="1">
      <c r="A10" s="34" t="str">
        <v>Row ID</v>
      </c>
      <c r="B10" s="34" t="str">
        <v>Label</v>
      </c>
      <c r="C10" s="34" t="str">
        <v>Unit</v>
      </c>
      <c r="D10" s="34" t="str">
        <v>Reducer</v>
      </c>
      <c r="E10" s="34" t="str">
        <v>Total / closing</v>
      </c>
      <c r="F10" s="34" t="str">
        <v>Note / source</v>
      </c>
      <c r="G10" s="34" t="str">
        <v>Spacer</v>
      </c>
      <c r="H10" s="34" t="str">
        <v>Age 0</v>
      </c>
      <c r="I10" s="34" t="str">
        <v>Age 1</v>
      </c>
      <c r="J10" s="34" t="str">
        <v>Age 2</v>
      </c>
      <c r="K10" s="34" t="str">
        <v>Age 3</v>
      </c>
      <c r="L10" s="34" t="str">
        <v>Age 4</v>
      </c>
      <c r="M10" s="34" t="str">
        <v>Age 5</v>
      </c>
      <c r="N10" s="34" t="str">
        <v>Age 6</v>
      </c>
      <c r="O10" s="34" t="str">
        <v>Age 7</v>
      </c>
      <c r="P10" s="34" t="str">
        <v>Age 8</v>
      </c>
      <c r="Q10" s="34" t="str">
        <v>Age 9</v>
      </c>
      <c r="R10" s="34" t="str">
        <v>Age 10</v>
      </c>
      <c r="S10" s="34" t="str">
        <v>Age 11</v>
      </c>
      <c r="T10" s="34" t="str">
        <v>Age 12</v>
      </c>
      <c r="U10" s="34" t="str">
        <v>Age 13</v>
      </c>
      <c r="V10" s="34" t="str">
        <v>Age 14</v>
      </c>
      <c r="W10" s="34" t="str">
        <v>Age 15</v>
      </c>
      <c r="X10" s="34" t="str">
        <v>Age 16</v>
      </c>
      <c r="Y10" s="34" t="str">
        <v>Age 17</v>
      </c>
      <c r="Z10" s="34" t="str">
        <v>Age 18</v>
      </c>
      <c r="AA10" s="34" t="str">
        <v>Age 19</v>
      </c>
      <c r="AB10" s="34" t="str">
        <v>Age 20</v>
      </c>
      <c r="AC10" s="34" t="str">
        <v>Age 21</v>
      </c>
      <c r="AD10" s="34" t="str">
        <v>Age 22</v>
      </c>
      <c r="AE10" s="34" t="str">
        <v>Age 23</v>
      </c>
      <c r="AF10" s="34" t="str">
        <v>Age 24</v>
      </c>
      <c r="AG10" s="34" t="str">
        <v>Age 25</v>
      </c>
      <c r="AH10" s="34" t="str">
        <v>Age 26</v>
      </c>
      <c r="AI10" s="34" t="str">
        <v>Age 27</v>
      </c>
      <c r="AJ10" s="34" t="str">
        <v>Age 28</v>
      </c>
      <c r="AK10" s="34" t="str">
        <v>Age 29</v>
      </c>
      <c r="AL10" s="34" t="str">
        <v>Age 30</v>
      </c>
      <c r="AM10" s="34" t="str">
        <v>Age 31</v>
      </c>
      <c r="AN10" s="34" t="str">
        <v>Age 32</v>
      </c>
      <c r="AO10" s="34" t="str">
        <v>Age 33</v>
      </c>
      <c r="AP10" s="34" t="str">
        <v>Age 34</v>
      </c>
      <c r="AQ10" s="34" t="str">
        <v>Age 35</v>
      </c>
    </row>
    <row r="11" ht="22" customHeight="1">
      <c r="A11" s="2" t="str">
        <v>LTV</v>
      </c>
      <c r="B11" s="6" t="str">
        <v>36-month discounted LTV</v>
      </c>
      <c r="C11" s="2" t="str">
        <v>EUR_per_user</v>
      </c>
      <c r="D11" s="2" t="str">
        <v>NA</v>
      </c>
      <c r="E11" s="36">
        <f>SUM('Cohort'!H132:AQ132)</f>
        <v>32.33029911500752</v>
      </c>
      <c r="F11" s="6" t="str">
        <v>No terminal value; after variable costs.</v>
      </c>
      <c r="G11" s="2"/>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row>
    <row r="12" ht="22" customHeight="1">
      <c r="A12" s="2" t="str">
        <v>CAC</v>
      </c>
      <c r="B12" s="6" t="str">
        <v>Cohort-attributed CAC</v>
      </c>
      <c r="C12" s="2" t="str">
        <v>EUR_per_user</v>
      </c>
      <c r="D12" s="2" t="str">
        <v>NA</v>
      </c>
      <c r="E12" s="36">
        <f>IF('Inputs'!$E$52='Inputs'!$E$11,IF('Inputs'!$E$54=1,'Inputs'!$E$55,IF('Inputs'!$E$54='Inputs'!$E$69,'Inputs'!$E$56,IF('Inputs'!$E$54='Inputs'!$E$70,'Inputs'!$E$57,'Inputs'!$E$58))),IF('Inputs'!$E$54=1,INDEX('Calendar_Seeds'!$H$11:$BO$11,1,'Inputs'!$E$52),IF('Inputs'!$E$54='Inputs'!$E$69,INDEX('Calendar_Seeds'!$H$13:$BO$13,1,'Inputs'!$E$52),IF('Inputs'!$E$54='Inputs'!$E$70,INDEX('Calendar_Seeds'!$H$15:$BO$15,1,'Inputs'!$E$52),INDEX('Calendar_Seeds'!$H$17:$BO$17,1,'Inputs'!$E$52)))))</f>
        <v>104.46343779677113</v>
      </c>
      <c r="F12" s="6" t="str">
        <v>Launch paid CAC carries the M8–M9 pre-launch spend.</v>
      </c>
      <c r="G12" s="2"/>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row>
    <row r="13" ht="28" customHeight="1">
      <c r="A13" s="2" t="str">
        <v>VALID</v>
      </c>
      <c r="B13" s="6" t="str">
        <v>Selected channel has originating arrivals</v>
      </c>
      <c r="C13" s="2" t="str">
        <v>flag</v>
      </c>
      <c r="D13" s="2" t="str">
        <v>NA</v>
      </c>
      <c r="E13" s="38">
        <f>IF(IF('Inputs'!$E$54=1,INDEX('Calendar_Seeds'!$H$12:$BO$12,1,'Inputs'!$E$52),IF('Inputs'!$E$54='Inputs'!$E$69,INDEX('Calendar_Seeds'!$H$14:$BO$14,1,'Inputs'!$E$52),IF('Inputs'!$E$54='Inputs'!$E$70,INDEX('Calendar_Seeds'!$H$16:$BO$16,1,'Inputs'!$E$52),INDEX('Calendar_Seeds'!$H$18:$BO$18,1,'Inputs'!$E$52))))&gt;0,1,0)</f>
        <v>1</v>
      </c>
      <c r="F13" s="6" t="str">
        <v>Zero-arrival channels are unavailable.</v>
      </c>
      <c r="G13" s="2"/>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row>
    <row r="14" ht="22" customHeight="1">
      <c r="A14" s="2" t="str">
        <v>LTV_CAC</v>
      </c>
      <c r="B14" s="6" t="str">
        <v>LTV / CAC</v>
      </c>
      <c r="C14" s="2" t="str">
        <v>ratio</v>
      </c>
      <c r="D14" s="2" t="str">
        <v>NA</v>
      </c>
      <c r="E14" s="35">
        <f>IF(AND(E13=1,E12&gt;0),E11/E12,"n/m")</f>
        <v>0.3094891360736629</v>
      </c>
      <c r="F14" s="6" t="str">
        <v>n/m if missing cohort or CAC&lt;=0.</v>
      </c>
      <c r="G14" s="2"/>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row>
    <row r="15" ht="22" customHeight="1">
      <c r="A15" s="2" t="str">
        <v>PAYBACK</v>
      </c>
      <c r="B15" s="6" t="str">
        <v>Discounted payback</v>
      </c>
      <c r="C15" s="2" t="str">
        <v>months</v>
      </c>
      <c r="D15" s="2" t="str">
        <v>NA</v>
      </c>
      <c r="E15" s="39" t="str">
        <f>IF(SUM(H20:AQ20)&gt;0,MATCH(1,H20:AQ20,0),"not reached")</f>
        <v>not reached</v>
      </c>
      <c r="F15" s="6" t="str">
        <v>First age+1 reaching CAC; otherwise not reached.</v>
      </c>
      <c r="G15" s="2"/>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row>
    <row r="16" ht="22" customHeight="1">
      <c r="A16" s="2" t="str">
        <v>MONTHLY_RATE</v>
      </c>
      <c r="B16" s="6" t="str">
        <v>Monthly discount rate</v>
      </c>
      <c r="C16" s="2" t="str">
        <v>fraction</v>
      </c>
      <c r="D16" s="2" t="str">
        <v>NA</v>
      </c>
      <c r="E16" s="41">
        <f>(1+'Inputs'!$E$50)^(1/12)-1</f>
        <v>0.009488792934583046</v>
      </c>
      <c r="F16" s="6" t="str">
        <v>(1+annual rate)^(1/12)−1</v>
      </c>
      <c r="G16" s="2"/>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row>
    <row r="17" ht="22" customHeight="1">
      <c r="A17" s="2" t="str">
        <v>CONTRIBUTION</v>
      </c>
      <c r="B17" s="6" t="str">
        <v>Cohort contribution</v>
      </c>
      <c r="C17" s="2" t="str">
        <v>EUR_per_user</v>
      </c>
      <c r="D17" s="2" t="str">
        <v>NA</v>
      </c>
      <c r="E17" s="2"/>
      <c r="F17" s="6" t="str">
        <v>Per original connected user.</v>
      </c>
      <c r="G17" s="2"/>
      <c r="H17" s="36">
        <f>'Cohort'!H131</f>
        <v>0.4488204443305323</v>
      </c>
      <c r="I17" s="36">
        <f>'Cohort'!I131</f>
        <v>0.7093967014919733</v>
      </c>
      <c r="J17" s="36">
        <f>'Cohort'!J131</f>
        <v>0.7230395113254952</v>
      </c>
      <c r="K17" s="36">
        <f>'Cohort'!K131</f>
        <v>0.799247920275095</v>
      </c>
      <c r="L17" s="36">
        <f>'Cohort'!L131</f>
        <v>0.9086940365561221</v>
      </c>
      <c r="M17" s="36">
        <f>'Cohort'!M131</f>
        <v>0.9869808445729469</v>
      </c>
      <c r="N17" s="36">
        <f>'Cohort'!N131</f>
        <v>1.050495792139863</v>
      </c>
      <c r="O17" s="36">
        <f>'Cohort'!O131</f>
        <v>1.10044461611861</v>
      </c>
      <c r="P17" s="36">
        <f>'Cohort'!P131</f>
        <v>1.1381452832253125</v>
      </c>
      <c r="Q17" s="36">
        <f>'Cohort'!Q131</f>
        <v>1.1647881284053905</v>
      </c>
      <c r="R17" s="36">
        <f>'Cohort'!R131</f>
        <v>1.1937148565158484</v>
      </c>
      <c r="S17" s="36">
        <f>'Cohort'!S131</f>
        <v>1.2167958937364591</v>
      </c>
      <c r="T17" s="36">
        <f>'Cohort'!T131</f>
        <v>1.0117215787119032</v>
      </c>
      <c r="U17" s="36">
        <f>'Cohort'!U131</f>
        <v>1.0981297403046077</v>
      </c>
      <c r="V17" s="36">
        <f>'Cohort'!V131</f>
        <v>1.1135457142906737</v>
      </c>
      <c r="W17" s="36">
        <f>'Cohort'!W131</f>
        <v>1.1276167632467289</v>
      </c>
      <c r="X17" s="36">
        <f>'Cohort'!X131</f>
        <v>1.1389909318620728</v>
      </c>
      <c r="Y17" s="36">
        <f>'Cohort'!Y131</f>
        <v>1.1489873933056214</v>
      </c>
      <c r="Z17" s="36">
        <f>'Cohort'!Z131</f>
        <v>1.1579268576859838</v>
      </c>
      <c r="AA17" s="36">
        <f>'Cohort'!AA131</f>
        <v>1.1657798501990366</v>
      </c>
      <c r="AB17" s="36">
        <f>'Cohort'!AB131</f>
        <v>1.1726418758579895</v>
      </c>
      <c r="AC17" s="36">
        <f>'Cohort'!AC131</f>
        <v>1.1785872581539316</v>
      </c>
      <c r="AD17" s="36">
        <f>'Cohort'!AD131</f>
        <v>1.1834838950054156</v>
      </c>
      <c r="AE17" s="36">
        <f>'Cohort'!AE131</f>
        <v>1.1874825759824692</v>
      </c>
      <c r="AF17" s="36">
        <f>'Cohort'!AF131</f>
        <v>1.1126613286836748</v>
      </c>
      <c r="AG17" s="36">
        <f>'Cohort'!AG131</f>
        <v>1.129600161733933</v>
      </c>
      <c r="AH17" s="36">
        <f>'Cohort'!AH131</f>
        <v>1.121369283454309</v>
      </c>
      <c r="AI17" s="36">
        <f>'Cohort'!AI131</f>
        <v>1.1122600649890226</v>
      </c>
      <c r="AJ17" s="36">
        <f>'Cohort'!AJ131</f>
        <v>1.1021185184144136</v>
      </c>
      <c r="AK17" s="36">
        <f>'Cohort'!AK131</f>
        <v>1.0971774796099676</v>
      </c>
      <c r="AL17" s="36">
        <f>'Cohort'!AL131</f>
        <v>1.091866950089327</v>
      </c>
      <c r="AM17" s="36">
        <f>'Cohort'!AM131</f>
        <v>1.0862087508437785</v>
      </c>
      <c r="AN17" s="36">
        <f>'Cohort'!AN131</f>
        <v>1.0802388466408255</v>
      </c>
      <c r="AO17" s="36">
        <f>'Cohort'!AO131</f>
        <v>1.0739846670590985</v>
      </c>
      <c r="AP17" s="36">
        <f>'Cohort'!AP131</f>
        <v>1.0674011936254342</v>
      </c>
      <c r="AQ17" s="36">
        <f>'Cohort'!AQ131</f>
        <v>1.0605395559343442</v>
      </c>
    </row>
    <row r="18" ht="22" customHeight="1">
      <c r="A18" s="2" t="str">
        <v>DISCOUNTED</v>
      </c>
      <c r="B18" s="6" t="str">
        <v>Discounted contribution</v>
      </c>
      <c r="C18" s="2" t="str">
        <v>EUR_per_user</v>
      </c>
      <c r="D18" s="2" t="str">
        <v>NA</v>
      </c>
      <c r="E18" s="2"/>
      <c r="F18" s="6" t="str">
        <v>Age 0 undiscounted.</v>
      </c>
      <c r="G18" s="2"/>
      <c r="H18" s="36">
        <f>'Cohort'!H132</f>
        <v>0.4488204443305323</v>
      </c>
      <c r="I18" s="36">
        <f>'Cohort'!I132</f>
        <v>0.7027286547974027</v>
      </c>
      <c r="J18" s="36">
        <f>'Cohort'!J132</f>
        <v>0.7095108263316443</v>
      </c>
      <c r="K18" s="36">
        <f>'Cohort'!K132</f>
        <v>0.7769212660312402</v>
      </c>
      <c r="L18" s="36">
        <f>'Cohort'!L132</f>
        <v>0.8750072881471125</v>
      </c>
      <c r="M18" s="36">
        <f>'Cohort'!M132</f>
        <v>0.9414585729115562</v>
      </c>
      <c r="N18" s="36">
        <f>'Cohort'!N132</f>
        <v>0.992625221186385</v>
      </c>
      <c r="O18" s="36">
        <f>'Cohort'!O132</f>
        <v>1.0300485065267706</v>
      </c>
      <c r="P18" s="36">
        <f>'Cohort'!P132</f>
        <v>1.055323691106623</v>
      </c>
      <c r="Q18" s="36">
        <f>'Cohort'!Q132</f>
        <v>1.0698759342674669</v>
      </c>
      <c r="R18" s="36">
        <f>'Cohort'!R132</f>
        <v>1.0861394298586042</v>
      </c>
      <c r="S18" s="36">
        <f>'Cohort'!S132</f>
        <v>1.0967337660855137</v>
      </c>
      <c r="T18" s="36">
        <f>'Cohort'!T132</f>
        <v>0.9033228381356277</v>
      </c>
      <c r="U18" s="36">
        <f>'Cohort'!U132</f>
        <v>0.9712569265524922</v>
      </c>
      <c r="V18" s="36">
        <f>'Cohort'!V132</f>
        <v>0.9756342193626344</v>
      </c>
      <c r="W18" s="36">
        <f>'Cohort'!W132</f>
        <v>0.9786761282028571</v>
      </c>
      <c r="X18" s="36">
        <f>'Cohort'!X132</f>
        <v>0.9792559887550223</v>
      </c>
      <c r="Y18" s="36">
        <f>'Cohort'!Y132</f>
        <v>0.978565119597243</v>
      </c>
      <c r="Z18" s="36">
        <f>'Cohort'!Z132</f>
        <v>0.9769089610457885</v>
      </c>
      <c r="AA18" s="36">
        <f>'Cohort'!AA132</f>
        <v>0.9742894696897839</v>
      </c>
      <c r="AB18" s="36">
        <f>'Cohort'!AB132</f>
        <v>0.9708125038227398</v>
      </c>
      <c r="AC18" s="36">
        <f>'Cohort'!AC132</f>
        <v>0.9665630791426597</v>
      </c>
      <c r="AD18" s="36">
        <f>'Cohort'!AD132</f>
        <v>0.9614557715350577</v>
      </c>
      <c r="AE18" s="36">
        <f>'Cohort'!AE132</f>
        <v>0.9556364415333162</v>
      </c>
      <c r="AF18" s="36">
        <f>'Cohort'!AF132</f>
        <v>0.887006799014409</v>
      </c>
      <c r="AG18" s="36">
        <f>'Cohort'!AG132</f>
        <v>0.8920458942363798</v>
      </c>
      <c r="AH18" s="36">
        <f>'Cohort'!AH132</f>
        <v>0.8772221852744105</v>
      </c>
      <c r="AI18" s="36">
        <f>'Cohort'!AI132</f>
        <v>0.8619176883223703</v>
      </c>
      <c r="AJ18" s="36">
        <f>'Cohort'!AJ132</f>
        <v>0.8460309419536495</v>
      </c>
      <c r="AK18" s="36">
        <f>'Cohort'!AK132</f>
        <v>0.834321297830084</v>
      </c>
      <c r="AL18" s="36">
        <f>'Cohort'!AL132</f>
        <v>0.822478707722227</v>
      </c>
      <c r="AM18" s="36">
        <f>'Cohort'!AM132</f>
        <v>0.8105256044233458</v>
      </c>
      <c r="AN18" s="36">
        <f>'Cohort'!AN132</f>
        <v>0.7984941348984325</v>
      </c>
      <c r="AO18" s="36">
        <f>'Cohort'!AO132</f>
        <v>0.7864090790863334</v>
      </c>
      <c r="AP18" s="36">
        <f>'Cohort'!AP132</f>
        <v>0.7742418097153977</v>
      </c>
      <c r="AQ18" s="36">
        <f>'Cohort'!AQ132</f>
        <v>0.7620339235744035</v>
      </c>
    </row>
    <row r="19" ht="22" customHeight="1">
      <c r="A19" s="2" t="str">
        <v>CUMULATIVE</v>
      </c>
      <c r="B19" s="6" t="str">
        <v>Cumulative discounted contribution</v>
      </c>
      <c r="C19" s="2" t="str">
        <v>EUR_per_user</v>
      </c>
      <c r="D19" s="2" t="str">
        <v>NA</v>
      </c>
      <c r="E19" s="2"/>
      <c r="F19" s="6" t="str">
        <v>Horizon ends at age 35.</v>
      </c>
      <c r="G19" s="2"/>
      <c r="H19" s="36">
        <f>'Cohort'!H133</f>
        <v>0.4488204443305323</v>
      </c>
      <c r="I19" s="36">
        <f>'Cohort'!I133</f>
        <v>1.151549099127935</v>
      </c>
      <c r="J19" s="36">
        <f>'Cohort'!J133</f>
        <v>1.8610599254595792</v>
      </c>
      <c r="K19" s="36">
        <f>'Cohort'!K133</f>
        <v>2.6379811914908196</v>
      </c>
      <c r="L19" s="36">
        <f>'Cohort'!L133</f>
        <v>3.512988479637932</v>
      </c>
      <c r="M19" s="36">
        <f>'Cohort'!M133</f>
        <v>4.454447052549488</v>
      </c>
      <c r="N19" s="36">
        <f>'Cohort'!N133</f>
        <v>5.447072273735873</v>
      </c>
      <c r="O19" s="36">
        <f>'Cohort'!O133</f>
        <v>6.477120780262644</v>
      </c>
      <c r="P19" s="36">
        <f>'Cohort'!P133</f>
        <v>7.532444471369267</v>
      </c>
      <c r="Q19" s="36">
        <f>'Cohort'!Q133</f>
        <v>8.602320405636734</v>
      </c>
      <c r="R19" s="36">
        <f>'Cohort'!R133</f>
        <v>9.688459835495339</v>
      </c>
      <c r="S19" s="36">
        <f>'Cohort'!S133</f>
        <v>10.785193601580852</v>
      </c>
      <c r="T19" s="36">
        <f>'Cohort'!T133</f>
        <v>11.68851643971648</v>
      </c>
      <c r="U19" s="36">
        <f>'Cohort'!U133</f>
        <v>12.659773366268972</v>
      </c>
      <c r="V19" s="36">
        <f>'Cohort'!V133</f>
        <v>13.635407585631606</v>
      </c>
      <c r="W19" s="36">
        <f>'Cohort'!W133</f>
        <v>14.614083713834463</v>
      </c>
      <c r="X19" s="36">
        <f>'Cohort'!X133</f>
        <v>15.593339702589486</v>
      </c>
      <c r="Y19" s="36">
        <f>'Cohort'!Y133</f>
        <v>16.571904822186728</v>
      </c>
      <c r="Z19" s="36">
        <f>'Cohort'!Z133</f>
        <v>17.548813783232518</v>
      </c>
      <c r="AA19" s="36">
        <f>'Cohort'!AA133</f>
        <v>18.5231032529223</v>
      </c>
      <c r="AB19" s="36">
        <f>'Cohort'!AB133</f>
        <v>19.49391575674504</v>
      </c>
      <c r="AC19" s="36">
        <f>'Cohort'!AC133</f>
        <v>20.4604788358877</v>
      </c>
      <c r="AD19" s="36">
        <f>'Cohort'!AD133</f>
        <v>21.42193460742276</v>
      </c>
      <c r="AE19" s="36">
        <f>'Cohort'!AE133</f>
        <v>22.377571048956074</v>
      </c>
      <c r="AF19" s="36">
        <f>'Cohort'!AF133</f>
        <v>23.264577847970482</v>
      </c>
      <c r="AG19" s="36">
        <f>'Cohort'!AG133</f>
        <v>24.156623742206865</v>
      </c>
      <c r="AH19" s="36">
        <f>'Cohort'!AH133</f>
        <v>25.033845927481273</v>
      </c>
      <c r="AI19" s="36">
        <f>'Cohort'!AI133</f>
        <v>25.895763615803645</v>
      </c>
      <c r="AJ19" s="36">
        <f>'Cohort'!AJ133</f>
        <v>26.74179455775729</v>
      </c>
      <c r="AK19" s="36">
        <f>'Cohort'!AK133</f>
        <v>27.57611585558738</v>
      </c>
      <c r="AL19" s="36">
        <f>'Cohort'!AL133</f>
        <v>28.398594563309604</v>
      </c>
      <c r="AM19" s="36">
        <f>'Cohort'!AM133</f>
        <v>29.20912016773295</v>
      </c>
      <c r="AN19" s="36">
        <f>'Cohort'!AN133</f>
        <v>30.00761430263138</v>
      </c>
      <c r="AO19" s="36">
        <f>'Cohort'!AO133</f>
        <v>30.794023381717714</v>
      </c>
      <c r="AP19" s="36">
        <f>'Cohort'!AP133</f>
        <v>31.568265191433113</v>
      </c>
      <c r="AQ19" s="36">
        <f>'Cohort'!AQ133</f>
        <v>32.33029911500752</v>
      </c>
    </row>
    <row r="20" ht="22" customHeight="1">
      <c r="A20" s="2" t="str">
        <v>REACHED</v>
      </c>
      <c r="B20" s="6" t="str">
        <v>Payback reached</v>
      </c>
      <c r="C20" s="2" t="str">
        <v>flag</v>
      </c>
      <c r="D20" s="2" t="str">
        <v>NA</v>
      </c>
      <c r="E20" s="2"/>
      <c r="F20" s="6" t="str">
        <v>0 or 1</v>
      </c>
      <c r="G20" s="2"/>
      <c r="H20" s="37">
        <f>IF(AND(E13=1,H19&gt;=E12),1,0)</f>
        <v>0</v>
      </c>
      <c r="I20" s="37">
        <f>IF(AND(E13=1,I19&gt;=E12),1,0)</f>
        <v>0</v>
      </c>
      <c r="J20" s="37">
        <f>IF(AND(E13=1,J19&gt;=E12),1,0)</f>
        <v>0</v>
      </c>
      <c r="K20" s="37">
        <f>IF(AND(E13=1,K19&gt;=E12),1,0)</f>
        <v>0</v>
      </c>
      <c r="L20" s="37">
        <f>IF(AND(E13=1,L19&gt;=E12),1,0)</f>
        <v>0</v>
      </c>
      <c r="M20" s="37">
        <f>IF(AND(E13=1,M19&gt;=E12),1,0)</f>
        <v>0</v>
      </c>
      <c r="N20" s="37">
        <f>IF(AND(E13=1,N19&gt;=E12),1,0)</f>
        <v>0</v>
      </c>
      <c r="O20" s="37">
        <f>IF(AND(E13=1,O19&gt;=E12),1,0)</f>
        <v>0</v>
      </c>
      <c r="P20" s="37">
        <f>IF(AND(E13=1,P19&gt;=E12),1,0)</f>
        <v>0</v>
      </c>
      <c r="Q20" s="37">
        <f>IF(AND(E13=1,Q19&gt;=E12),1,0)</f>
        <v>0</v>
      </c>
      <c r="R20" s="37">
        <f>IF(AND(E13=1,R19&gt;=E12),1,0)</f>
        <v>0</v>
      </c>
      <c r="S20" s="37">
        <f>IF(AND(E13=1,S19&gt;=E12),1,0)</f>
        <v>0</v>
      </c>
      <c r="T20" s="37">
        <f>IF(AND(E13=1,T19&gt;=E12),1,0)</f>
        <v>0</v>
      </c>
      <c r="U20" s="37">
        <f>IF(AND(E13=1,U19&gt;=E12),1,0)</f>
        <v>0</v>
      </c>
      <c r="V20" s="37">
        <f>IF(AND(E13=1,V19&gt;=E12),1,0)</f>
        <v>0</v>
      </c>
      <c r="W20" s="37">
        <f>IF(AND(E13=1,W19&gt;=E12),1,0)</f>
        <v>0</v>
      </c>
      <c r="X20" s="37">
        <f>IF(AND(E13=1,X19&gt;=E12),1,0)</f>
        <v>0</v>
      </c>
      <c r="Y20" s="37">
        <f>IF(AND(E13=1,Y19&gt;=E12),1,0)</f>
        <v>0</v>
      </c>
      <c r="Z20" s="37">
        <f>IF(AND(E13=1,Z19&gt;=E12),1,0)</f>
        <v>0</v>
      </c>
      <c r="AA20" s="37">
        <f>IF(AND(E13=1,AA19&gt;=E12),1,0)</f>
        <v>0</v>
      </c>
      <c r="AB20" s="37">
        <f>IF(AND(E13=1,AB19&gt;=E12),1,0)</f>
        <v>0</v>
      </c>
      <c r="AC20" s="37">
        <f>IF(AND(E13=1,AC19&gt;=E12),1,0)</f>
        <v>0</v>
      </c>
      <c r="AD20" s="37">
        <f>IF(AND(E13=1,AD19&gt;=E12),1,0)</f>
        <v>0</v>
      </c>
      <c r="AE20" s="37">
        <f>IF(AND(E13=1,AE19&gt;=E12),1,0)</f>
        <v>0</v>
      </c>
      <c r="AF20" s="37">
        <f>IF(AND(E13=1,AF19&gt;=E12),1,0)</f>
        <v>0</v>
      </c>
      <c r="AG20" s="37">
        <f>IF(AND(E13=1,AG19&gt;=E12),1,0)</f>
        <v>0</v>
      </c>
      <c r="AH20" s="37">
        <f>IF(AND(E13=1,AH19&gt;=E12),1,0)</f>
        <v>0</v>
      </c>
      <c r="AI20" s="37">
        <f>IF(AND(E13=1,AI19&gt;=E12),1,0)</f>
        <v>0</v>
      </c>
      <c r="AJ20" s="37">
        <f>IF(AND(E13=1,AJ19&gt;=E12),1,0)</f>
        <v>0</v>
      </c>
      <c r="AK20" s="37">
        <f>IF(AND(E13=1,AK19&gt;=E12),1,0)</f>
        <v>0</v>
      </c>
      <c r="AL20" s="37">
        <f>IF(AND(E13=1,AL19&gt;=E12),1,0)</f>
        <v>0</v>
      </c>
      <c r="AM20" s="37">
        <f>IF(AND(E13=1,AM19&gt;=E12),1,0)</f>
        <v>0</v>
      </c>
      <c r="AN20" s="37">
        <f>IF(AND(E13=1,AN19&gt;=E12),1,0)</f>
        <v>0</v>
      </c>
      <c r="AO20" s="37">
        <f>IF(AND(E13=1,AO19&gt;=E12),1,0)</f>
        <v>0</v>
      </c>
      <c r="AP20" s="37">
        <f>IF(AND(E13=1,AP19&gt;=E12),1,0)</f>
        <v>0</v>
      </c>
      <c r="AQ20" s="37">
        <f>IF(AND(E13=1,AQ19&gt;=E12),1,0)</f>
        <v>0</v>
      </c>
    </row>
  </sheetData>
  <mergeCells>
    <mergeCell ref="B1:F1"/>
    <mergeCell ref="B2:F2"/>
    <mergeCell ref="B3:F3"/>
    <mergeCell ref="B4:F4"/>
    <mergeCell ref="B5:F5"/>
  </mergeCells>
  <pageMargins left="0.7" right="0.7" top="0.75" bottom="0.75" header="0.3" footer="0.3"/>
  <tableParts count="1">
    <tablePart ns1:id="R7bf5819a0b3f4e6a"/>
  </tableParts>
</worksheet>
</file>

<file path=xl/worksheets/sheet4.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s>
  <sheetData>
    <row r="1" ht="28" customHeight="1">
      <c r="A1" s="2"/>
      <c r="B1" s="30" t="str">
        <v>Calculation inputs</v>
      </c>
      <c r="C1" s="2"/>
      <c r="D1" s="2"/>
      <c r="E1" s="2"/>
      <c r="F1" s="2"/>
      <c r="G1" s="2"/>
    </row>
    <row r="2" ht="22" customHeight="1">
      <c r="A2" s="2"/>
      <c r="B2" s="2" t="str">
        <v>Mirovest GmbH — fictional</v>
      </c>
      <c r="C2" s="2"/>
      <c r="D2" s="2"/>
      <c r="E2" s="2"/>
      <c r="F2" s="2"/>
      <c r="G2" s="2"/>
    </row>
    <row r="3" ht="22" customHeight="1">
      <c r="A3" s="2"/>
      <c r="B3" s="2" t="str">
        <v>Base / local user copy</v>
      </c>
      <c r="C3" s="2"/>
      <c r="D3" s="2"/>
      <c r="E3" s="2"/>
      <c r="F3" s="2"/>
      <c r="G3" s="2"/>
    </row>
    <row r="4" ht="22" customHeight="1">
      <c r="A4" s="2"/>
      <c r="B4" s="2" t="str">
        <v>EUR; calculation costs positive, P&amp;L costs negative</v>
      </c>
      <c r="C4" s="2"/>
      <c r="D4" s="2"/>
      <c r="E4" s="2"/>
      <c r="F4" s="2"/>
      <c r="G4" s="2"/>
    </row>
    <row r="5" ht="22" customHeight="1">
      <c r="A5" s="2"/>
      <c r="B5" s="2" t="str">
        <v>Release CR02-2026-10-13-v1</v>
      </c>
      <c r="C5" s="2"/>
      <c r="D5" s="2"/>
      <c r="E5" s="2"/>
      <c r="F5" s="2"/>
      <c r="G5" s="2"/>
    </row>
    <row r="6" ht="22" customHeight="1">
      <c r="A6" s="2"/>
      <c r="B6" s="2"/>
      <c r="C6" s="2"/>
      <c r="D6" s="2"/>
      <c r="E6" s="2"/>
      <c r="F6" s="2"/>
      <c r="G6" s="2"/>
    </row>
    <row r="7" ht="22" customHeight="1">
      <c r="A7" s="2"/>
      <c r="B7" s="2"/>
      <c r="C7" s="2"/>
      <c r="D7" s="2"/>
      <c r="E7" s="2"/>
      <c r="F7" s="2"/>
      <c r="G7" s="2"/>
    </row>
    <row r="8" ht="22" customHeight="1">
      <c r="A8" s="2"/>
      <c r="B8" s="2"/>
      <c r="C8" s="2"/>
      <c r="D8" s="2"/>
      <c r="E8" s="2"/>
      <c r="F8" s="2"/>
      <c r="G8" s="2"/>
    </row>
    <row r="9" ht="22" customHeight="1">
      <c r="A9" s="2"/>
      <c r="B9" s="2"/>
      <c r="C9" s="2"/>
      <c r="D9" s="2"/>
      <c r="E9" s="2"/>
      <c r="F9" s="2"/>
      <c r="G9" s="2"/>
    </row>
    <row r="10" ht="34" customHeight="1">
      <c r="A10" s="34" t="str">
        <v>Row ID</v>
      </c>
      <c r="B10" s="34" t="str">
        <v>Label</v>
      </c>
      <c r="C10" s="34" t="str">
        <v>Unit</v>
      </c>
      <c r="D10" s="34" t="str">
        <v>Reducer</v>
      </c>
      <c r="E10" s="34" t="str">
        <v>Total / closing</v>
      </c>
      <c r="F10" s="34" t="str">
        <v>Note / source</v>
      </c>
      <c r="G10" s="34" t="str">
        <v>Spacer</v>
      </c>
    </row>
    <row r="11" ht="28" customHeight="1">
      <c r="A11" s="2" t="str">
        <v>T.LAUNCH</v>
      </c>
      <c r="B11" s="6" t="str">
        <v>Product launch month</v>
      </c>
      <c r="C11" s="2" t="str">
        <v>month_index</v>
      </c>
      <c r="D11" s="2" t="str">
        <v>NA</v>
      </c>
      <c r="E11" s="44" t="n">
        <v>10</v>
      </c>
      <c r="F11" s="6" t="str">
        <v>Assumption T.LAUNCH (see D01); IA; checked 2026-10-12; Policy P01; sources: SRC.S2.T.LAUNCH</v>
      </c>
      <c r="G11" s="2"/>
    </row>
    <row r="12" ht="28" customHeight="1">
      <c r="A12" s="2" t="str">
        <v>T.LICENCE</v>
      </c>
      <c r="B12" s="6" t="str">
        <v>Licence grant month (copy trading starts)</v>
      </c>
      <c r="C12" s="2" t="str">
        <v>month_index</v>
      </c>
      <c r="D12" s="2" t="str">
        <v>NA</v>
      </c>
      <c r="E12" s="44" t="n">
        <v>13</v>
      </c>
      <c r="F12" s="6" t="str">
        <v>Assumption T.LICENCE (see D01); IA; checked 2026-10-12; Policy P01; sources: SRC.S2.T.LICENCE, SRC.RU.A3.7</v>
      </c>
      <c r="G12" s="2"/>
    </row>
    <row r="13" ht="28" customHeight="1">
      <c r="A13" s="2" t="str">
        <v>T.TEAMS</v>
      </c>
      <c r="B13" s="6" t="str">
        <v>B2B Teams launch month</v>
      </c>
      <c r="C13" s="2" t="str">
        <v>month_index</v>
      </c>
      <c r="D13" s="2" t="str">
        <v>NA</v>
      </c>
      <c r="E13" s="44" t="n">
        <v>25</v>
      </c>
      <c r="F13" s="6" t="str">
        <v>Assumption T.TEAMS (see D01); IA; checked 2026-10-12; Policy P01; sources: SRC.S2.T.TEAMS</v>
      </c>
      <c r="G13" s="2"/>
    </row>
    <row r="14" ht="28" customHeight="1">
      <c r="A14" s="2" t="str">
        <v>MKT.AT_SHARE</v>
      </c>
      <c r="B14" s="6" t="str">
        <v>Share of users in Austria</v>
      </c>
      <c r="C14" s="2" t="str">
        <v>fraction</v>
      </c>
      <c r="D14" s="2" t="str">
        <v>NA</v>
      </c>
      <c r="E14" s="46" t="n">
        <v>0.1</v>
      </c>
      <c r="F14" s="6" t="str">
        <v>Assumption MKT.AT_SHARE (see D01); IA; checked 2026-10-12; sources: SRC.S2.MKT.AT_SHARE</v>
      </c>
      <c r="G14" s="2"/>
    </row>
    <row r="15" ht="28" customHeight="1">
      <c r="A15" s="2" t="str">
        <v>R1.P_PLUS_M</v>
      </c>
      <c r="B15" s="6" t="str">
        <v>Plus monthly price (incl. VAT)</v>
      </c>
      <c r="C15" s="2" t="str">
        <v>EUR</v>
      </c>
      <c r="D15" s="2" t="str">
        <v>NA</v>
      </c>
      <c r="E15" s="48" t="n">
        <v>9.99</v>
      </c>
      <c r="F15" s="6" t="str">
        <v>Assumption R1.P_PLUS_M (see D01); IA; checked 2026-10-12; sources: SRC.S2.R1.P_PLUS_M, SRC.RU.B9.14</v>
      </c>
      <c r="G15" s="2"/>
    </row>
    <row r="16" ht="28" customHeight="1">
      <c r="A16" s="2" t="str">
        <v>R1.P_PLUS_Y</v>
      </c>
      <c r="B16" s="6" t="str">
        <v>Plus annual price</v>
      </c>
      <c r="C16" s="2" t="str">
        <v>EUR</v>
      </c>
      <c r="D16" s="2" t="str">
        <v>NA</v>
      </c>
      <c r="E16" s="48" t="n">
        <v>89.99</v>
      </c>
      <c r="F16" s="6" t="str">
        <v>Assumption R1.P_PLUS_Y (see D01); IA; checked 2026-10-12; sources: SRC.S2.R1.P_PLUS_Y</v>
      </c>
      <c r="G16" s="2"/>
    </row>
    <row r="17" ht="28" customHeight="1">
      <c r="A17" s="2" t="str">
        <v>R1.P_PRO_M</v>
      </c>
      <c r="B17" s="6" t="str">
        <v>Pro monthly price (incl. terminal)</v>
      </c>
      <c r="C17" s="2" t="str">
        <v>EUR</v>
      </c>
      <c r="D17" s="2" t="str">
        <v>NA</v>
      </c>
      <c r="E17" s="48" t="n">
        <v>29.99</v>
      </c>
      <c r="F17" s="6" t="str">
        <v>Assumption R1.P_PRO_M (see D01); IA; checked 2026-10-12; sources: SRC.S2.R1.P_PRO_M, SRC.MP.C12, SRC.MP.C10</v>
      </c>
      <c r="G17" s="2"/>
    </row>
    <row r="18" ht="28" customHeight="1">
      <c r="A18" s="2" t="str">
        <v>R1.P_PRO_Y</v>
      </c>
      <c r="B18" s="6" t="str">
        <v>Pro annual price</v>
      </c>
      <c r="C18" s="2" t="str">
        <v>EUR</v>
      </c>
      <c r="D18" s="2" t="str">
        <v>NA</v>
      </c>
      <c r="E18" s="48" t="n">
        <v>269.99</v>
      </c>
      <c r="F18" s="6" t="str">
        <v>Assumption R1.P_PRO_Y (see D01); IA; checked 2026-10-12; sources: SRC.S2.R1.P_PRO_Y, SRC.MP.C10, SRC.MP.C12</v>
      </c>
      <c r="G18" s="2"/>
    </row>
    <row r="19" ht="28" customHeight="1">
      <c r="A19" s="2" t="str">
        <v>R1.MIX_PRO</v>
      </c>
      <c r="B19" s="6" t="str">
        <v>Pro share of new payers</v>
      </c>
      <c r="C19" s="2" t="str">
        <v>fraction</v>
      </c>
      <c r="D19" s="2" t="str">
        <v>NA</v>
      </c>
      <c r="E19" s="46" t="n">
        <v>0.25</v>
      </c>
      <c r="F19" s="6" t="str">
        <v>Assumption R1.MIX_PRO (see D01); IA; checked 2026-10-12; sources: SRC.S2.R1.MIX_PRO</v>
      </c>
      <c r="G19" s="2"/>
    </row>
    <row r="20" ht="28" customHeight="1">
      <c r="A20" s="2" t="str">
        <v>R1.CONV_FIRST</v>
      </c>
      <c r="B20" s="6" t="str">
        <v>New connected users who pay in their first month</v>
      </c>
      <c r="C20" s="2" t="str">
        <v>fraction</v>
      </c>
      <c r="D20" s="2" t="str">
        <v>NA</v>
      </c>
      <c r="E20" s="46" t="n">
        <v>0.08</v>
      </c>
      <c r="F20" s="6" t="str">
        <v>Assumption R1.CONV_FIRST (see D01); IA; checked 2026-10-13; sources: SRC.S2.R1.CONV_FIRST, SRC.RU.B9.7, SRC.RU.B9.9</v>
      </c>
      <c r="G20" s="2"/>
    </row>
    <row r="21" ht="28" customHeight="1">
      <c r="A21" s="2" t="str">
        <v>R1.CONV_LATE</v>
      </c>
      <c r="B21" s="6" t="str">
        <v>Monthly conversion of active non-payers</v>
      </c>
      <c r="C21" s="2" t="str">
        <v>fraction</v>
      </c>
      <c r="D21" s="2" t="str">
        <v>NA</v>
      </c>
      <c r="E21" s="46" t="n">
        <v>0.008</v>
      </c>
      <c r="F21" s="6" t="str">
        <v>Assumption R1.CONV_LATE (see D01); IA; checked 2026-10-13; sources: SRC.S2.R1.CONV_LATE</v>
      </c>
      <c r="G21" s="2"/>
    </row>
    <row r="22" ht="28" customHeight="1">
      <c r="A22" s="2" t="str">
        <v>R1.ANNUAL_SHARE</v>
      </c>
      <c r="B22" s="6" t="str">
        <v>Annual plans among new paid</v>
      </c>
      <c r="C22" s="2" t="str">
        <v>fraction</v>
      </c>
      <c r="D22" s="2" t="str">
        <v>NA</v>
      </c>
      <c r="E22" s="46" t="n">
        <v>0.3</v>
      </c>
      <c r="F22" s="6" t="str">
        <v>Assumption R1.ANNUAL_SHARE (see D01); IA; checked 2026-10-12; sources: SRC.S2.R1.ANNUAL_SHARE, SRC.RU.B9.13</v>
      </c>
      <c r="G22" s="2"/>
    </row>
    <row r="23" ht="28" customHeight="1">
      <c r="A23" s="2" t="str">
        <v>R1.CHURN_M</v>
      </c>
      <c r="B23" s="6" t="str">
        <v>Monthly-plan churn</v>
      </c>
      <c r="C23" s="2" t="str">
        <v>fraction</v>
      </c>
      <c r="D23" s="2" t="str">
        <v>NA</v>
      </c>
      <c r="E23" s="46" t="n">
        <v>0.09</v>
      </c>
      <c r="F23" s="6" t="str">
        <v>Assumption R1.CHURN_M (see D01); IA; checked 2026-10-12; sources: SRC.S2.R1.CHURN_M, SRC.RU.B9.10</v>
      </c>
      <c r="G23" s="2"/>
    </row>
    <row r="24" ht="28" customHeight="1">
      <c r="A24" s="2" t="str">
        <v>R1.RENEW_Y</v>
      </c>
      <c r="B24" s="6" t="str">
        <v>Annual renewal rate</v>
      </c>
      <c r="C24" s="2" t="str">
        <v>fraction</v>
      </c>
      <c r="D24" s="2" t="str">
        <v>NA</v>
      </c>
      <c r="E24" s="46" t="n">
        <v>0.35</v>
      </c>
      <c r="F24" s="6" t="str">
        <v>Assumption R1.RENEW_Y (see D01); IA; checked 2026-10-12; sources: SRC.S2.R1.RENEW_Y, SRC.RU.B9.12</v>
      </c>
      <c r="G24" s="2"/>
    </row>
    <row r="25" ht="28" customHeight="1">
      <c r="A25" s="2" t="str">
        <v>R1.STORE_SHARE</v>
      </c>
      <c r="B25" s="6" t="str">
        <v>Share of R1 billing through app stores</v>
      </c>
      <c r="C25" s="2" t="str">
        <v>fraction</v>
      </c>
      <c r="D25" s="2" t="str">
        <v>NA</v>
      </c>
      <c r="E25" s="46" t="n">
        <v>0.4</v>
      </c>
      <c r="F25" s="6" t="str">
        <v>Assumption R1.STORE_SHARE (see D01); IA; checked 2026-10-12; Policy P04; sources: SRC.S2.R1.STORE_SHARE</v>
      </c>
      <c r="G25" s="2"/>
    </row>
    <row r="26" ht="28" customHeight="1">
      <c r="A26" s="2" t="str">
        <v>R1.STORE_FEE</v>
      </c>
      <c r="B26" s="6" t="str">
        <v>App-store commission (blended)</v>
      </c>
      <c r="C26" s="2" t="str">
        <v>fraction</v>
      </c>
      <c r="D26" s="2" t="str">
        <v>NA</v>
      </c>
      <c r="E26" s="46" t="n">
        <v>0.15</v>
      </c>
      <c r="F26" s="6" t="str">
        <v>Assumption R1.STORE_FEE (see D01); IA; checked 2026-10-12; Policy P04; sources: SRC.S2.R1.STORE_FEE, SRC.RU.B6.13, SRC.RU.B6.19</v>
      </c>
      <c r="G26" s="2"/>
    </row>
    <row r="27" ht="42" customHeight="1">
      <c r="A27" s="2" t="str">
        <v>R2.PRICE</v>
      </c>
      <c r="B27" s="6" t="str">
        <v>Average copy fee per copied trader per month (incl. VAT; traders choose €9.99–49.99)</v>
      </c>
      <c r="C27" s="2" t="str">
        <v>EUR</v>
      </c>
      <c r="D27" s="2" t="str">
        <v>NA</v>
      </c>
      <c r="E27" s="48" t="n">
        <v>19.99</v>
      </c>
      <c r="F27" s="6" t="str">
        <v>Assumption R2.PRICE (see D01); IA; checked 2026-10-13; Policy P03; sources: SRC.S2.R2.PRICE, SRC.MP.C10, SRC.MP.C12</v>
      </c>
      <c r="G27" s="2"/>
    </row>
    <row r="28" ht="42" customHeight="1">
      <c r="A28" s="2" t="str">
        <v>R2.TRADER_SHARE</v>
      </c>
      <c r="B28" s="6" t="str">
        <v>Share of the net copy fee paid to the lead trader (signal-provider fee)</v>
      </c>
      <c r="C28" s="2" t="str">
        <v>fraction</v>
      </c>
      <c r="D28" s="2" t="str">
        <v>NA</v>
      </c>
      <c r="E28" s="46" t="n">
        <v>0.5</v>
      </c>
      <c r="F28" s="6" t="str">
        <v>Assumption R2.TRADER_SHARE (see D01); IA; checked 2026-10-12; Policy P03; sources: SRC.S2.R2.TRADER_SHARE, SRC.RU.B9.21, SRC.RU.B9.20</v>
      </c>
      <c r="G28" s="2"/>
    </row>
    <row r="29" ht="28" customHeight="1">
      <c r="A29" s="2" t="str">
        <v>R2.CONV</v>
      </c>
      <c r="B29" s="6" t="str">
        <v>Eligible active non-copiers who start copying per month</v>
      </c>
      <c r="C29" s="2" t="str">
        <v>fraction</v>
      </c>
      <c r="D29" s="2" t="str">
        <v>NA</v>
      </c>
      <c r="E29" s="46" t="n">
        <v>0.025</v>
      </c>
      <c r="F29" s="6" t="str">
        <v>Assumption R2.CONV (see D01); IA; checked 2026-10-13; Policy P03; sources: SRC.S2.R2.CONV</v>
      </c>
      <c r="G29" s="2"/>
    </row>
    <row r="30" ht="28" customHeight="1">
      <c r="A30" s="2" t="str">
        <v>R2.CHURN</v>
      </c>
      <c r="B30" s="6" t="str">
        <v>Copier churn</v>
      </c>
      <c r="C30" s="2" t="str">
        <v>fraction</v>
      </c>
      <c r="D30" s="2" t="str">
        <v>NA</v>
      </c>
      <c r="E30" s="46" t="n">
        <v>0.06</v>
      </c>
      <c r="F30" s="6" t="str">
        <v>Assumption R2.CHURN (see D01); IA; checked 2026-10-12; Policy P03; sources: SRC.S2.R2.CHURN</v>
      </c>
      <c r="G30" s="2"/>
    </row>
    <row r="31" ht="28" customHeight="1">
      <c r="A31" s="2" t="str">
        <v>R2.REL</v>
      </c>
      <c r="B31" s="6" t="str">
        <v>Copied traders per copier</v>
      </c>
      <c r="C31" s="2" t="str">
        <v>count</v>
      </c>
      <c r="D31" s="2" t="str">
        <v>NA</v>
      </c>
      <c r="E31" s="50" t="n">
        <v>1.3</v>
      </c>
      <c r="F31" s="6" t="str">
        <v>Assumption R2.REL (see D01); IA; checked 2026-10-13; Policy P03; sources: SRC.S2.R2.REL</v>
      </c>
      <c r="G31" s="2"/>
    </row>
    <row r="32" ht="28" customHeight="1">
      <c r="A32" s="2" t="str">
        <v>COGS.WEB_PCT</v>
      </c>
      <c r="B32" s="6" t="str">
        <v>Card processing, percentage part</v>
      </c>
      <c r="C32" s="2" t="str">
        <v>fraction</v>
      </c>
      <c r="D32" s="2" t="str">
        <v>NA</v>
      </c>
      <c r="E32" s="46" t="n">
        <v>0.015</v>
      </c>
      <c r="F32" s="6" t="str">
        <v>Assumption COGS.WEB_PCT (see D01); VF; checked 2026-10-12; sources: SRC.S2.COGS.WEB_PCT, SRC.RU.B6.1</v>
      </c>
      <c r="G32" s="2"/>
    </row>
    <row r="33" ht="28" customHeight="1">
      <c r="A33" s="2" t="str">
        <v>COGS.WEB_FIX</v>
      </c>
      <c r="B33" s="6" t="str">
        <v>Card processing, fixed part</v>
      </c>
      <c r="C33" s="2" t="str">
        <v>EUR_per_charge</v>
      </c>
      <c r="D33" s="2" t="str">
        <v>NA</v>
      </c>
      <c r="E33" s="48" t="n">
        <v>0.25</v>
      </c>
      <c r="F33" s="6" t="str">
        <v>Assumption COGS.WEB_FIX (see D01); VF; checked 2026-10-12; sources: SRC.S2.COGS.WEB_FIX, SRC.RU.B6.1</v>
      </c>
      <c r="G33" s="2"/>
    </row>
    <row r="34" ht="28" customHeight="1">
      <c r="A34" s="2" t="str">
        <v>COGS.BILLING</v>
      </c>
      <c r="B34" s="6" t="str">
        <v>Subscription billing</v>
      </c>
      <c r="C34" s="2" t="str">
        <v>fraction</v>
      </c>
      <c r="D34" s="2" t="str">
        <v>NA</v>
      </c>
      <c r="E34" s="46" t="n">
        <v>0.007</v>
      </c>
      <c r="F34" s="6" t="str">
        <v>Assumption COGS.BILLING (see D01); VF; checked 2026-10-12; sources: SRC.S2.COGS.BILLING, SRC.RU.B6.8</v>
      </c>
      <c r="G34" s="2"/>
    </row>
    <row r="35" ht="42" customHeight="1">
      <c r="A35" s="2" t="str">
        <v>COGS.KYC.UNIT_USD</v>
      </c>
      <c r="B35" s="6" t="str">
        <v>Identity check (KYC) per verification, USD (new copiers and new paid lead traders, deduplicated)</v>
      </c>
      <c r="C35" s="2" t="str">
        <v>USD_per_check</v>
      </c>
      <c r="D35" s="2" t="str">
        <v>NA</v>
      </c>
      <c r="E35" s="48" t="n">
        <v>1.85</v>
      </c>
      <c r="F35" s="6" t="str">
        <v>Assumption COGS.KYC.UNIT_USD (see D01); VF; checked 2026-10-12; sources: SRC.S2.COGS.KYC, SRC.RU.B5.2</v>
      </c>
      <c r="G35" s="2"/>
    </row>
    <row r="36" ht="28" customHeight="1">
      <c r="A36" s="2" t="str">
        <v>GEN.FX_USD</v>
      </c>
      <c r="B36" s="6" t="str">
        <v>USD per EUR</v>
      </c>
      <c r="C36" s="2" t="str">
        <v>USD_per_EUR</v>
      </c>
      <c r="D36" s="2" t="str">
        <v>NA</v>
      </c>
      <c r="E36" s="48" t="n">
        <v>1.15</v>
      </c>
      <c r="F36" s="6" t="str">
        <v>Assumption GEN.FX_USD (see D01); IA; checked 2026-10-12; sources: SRC.S2.GEN.FX_USD</v>
      </c>
      <c r="G36" s="2"/>
    </row>
    <row r="37" ht="28" customHeight="1">
      <c r="A37" s="2" t="str">
        <v>COGS.CLOUD.VARIABLE</v>
      </c>
      <c r="B37" s="6" t="str">
        <v>Hosting: variable cost per monthly active user</v>
      </c>
      <c r="C37" s="2" t="str">
        <v>EUR_per_user</v>
      </c>
      <c r="D37" s="2" t="str">
        <v>NA</v>
      </c>
      <c r="E37" s="48" t="n">
        <v>0.1</v>
      </c>
      <c r="F37" s="6" t="str">
        <v>Assumption COGS.CLOUD.VARIABLE (see D01); IA; checked 2026-10-12; sources: SRC.S2.COGS.CLOUD</v>
      </c>
      <c r="G37" s="2"/>
    </row>
    <row r="38" ht="28" customHeight="1">
      <c r="A38" s="2" t="str">
        <v>COGS.SUPPORT.CONTACTS_PER_1000</v>
      </c>
      <c r="B38" s="6" t="str">
        <v>Outsourced first-line support: contacts per 1,000 monthly active users</v>
      </c>
      <c r="C38" s="2" t="str">
        <v>count</v>
      </c>
      <c r="D38" s="2" t="str">
        <v>NA</v>
      </c>
      <c r="E38" s="50" t="n">
        <v>25</v>
      </c>
      <c r="F38" s="6" t="str">
        <v>Assumption COGS.SUPPORT.CONTACTS_PER_1000 (see D01); IA; checked 2026-10-12; sources: SRC.S2.COGS.SUPPORT</v>
      </c>
      <c r="G38" s="2"/>
    </row>
    <row r="39" ht="28" customHeight="1">
      <c r="A39" s="2" t="str">
        <v>COGS.SUPPORT.PRICE</v>
      </c>
      <c r="B39" s="6" t="str">
        <v>Outsourced first-line support: price per contact</v>
      </c>
      <c r="C39" s="2" t="str">
        <v>EUR_per_charge</v>
      </c>
      <c r="D39" s="2" t="str">
        <v>NA</v>
      </c>
      <c r="E39" s="48" t="n">
        <v>4</v>
      </c>
      <c r="F39" s="6" t="str">
        <v>Assumption COGS.SUPPORT.PRICE (see D01); IA; checked 2026-10-12; sources: SRC.S2.COGS.SUPPORT</v>
      </c>
      <c r="G39" s="2"/>
    </row>
    <row r="40" ht="28" customHeight="1">
      <c r="A40" s="2" t="str">
        <v>COGS.CHARGEBACK.RATE</v>
      </c>
      <c r="B40" s="6" t="str">
        <v>Card disputes: share of web card volume disputed</v>
      </c>
      <c r="C40" s="2" t="str">
        <v>fraction</v>
      </c>
      <c r="D40" s="2" t="str">
        <v>NA</v>
      </c>
      <c r="E40" s="46" t="n">
        <v>0.003</v>
      </c>
      <c r="F40" s="6" t="str">
        <v>Assumption COGS.CHARGEBACK.RATE (see D01); IA; checked 2026-10-12; sources: SRC.S2.COGS.CHARGEBACK</v>
      </c>
      <c r="G40" s="2"/>
    </row>
    <row r="41" ht="28" customHeight="1">
      <c r="A41" s="2" t="str">
        <v>COGS.CHARGEBACK.FIX</v>
      </c>
      <c r="B41" s="6" t="str">
        <v>Card disputes: fee per dispute</v>
      </c>
      <c r="C41" s="2" t="str">
        <v>EUR_per_charge</v>
      </c>
      <c r="D41" s="2" t="str">
        <v>NA</v>
      </c>
      <c r="E41" s="48" t="n">
        <v>20</v>
      </c>
      <c r="F41" s="6" t="str">
        <v>Assumption COGS.CHARGEBACK.FIX (see D01); IA; checked 2026-10-12; sources: SRC.S2.COGS.CHARGEBACK</v>
      </c>
      <c r="G41" s="2"/>
    </row>
    <row r="42" ht="28" customHeight="1">
      <c r="A42" s="2" t="str">
        <v>COGS.FRAUD</v>
      </c>
      <c r="B42" s="6" t="str">
        <v>Fraud losses</v>
      </c>
      <c r="C42" s="2" t="str">
        <v>fraction</v>
      </c>
      <c r="D42" s="2" t="str">
        <v>NA</v>
      </c>
      <c r="E42" s="46" t="n">
        <v>0.002</v>
      </c>
      <c r="F42" s="6" t="str">
        <v>Assumption COGS.FRAUD (see D01); IA; checked 2026-10-12; sources: SRC.S2.COGS.FRAUD</v>
      </c>
      <c r="G42" s="2"/>
    </row>
    <row r="43" ht="28" customHeight="1">
      <c r="A43" s="2" t="str">
        <v>VAT.DE</v>
      </c>
      <c r="B43" s="6" t="str">
        <v>B2C VAT rate, Germany</v>
      </c>
      <c r="C43" s="2" t="str">
        <v>fraction</v>
      </c>
      <c r="D43" s="2" t="str">
        <v>NA</v>
      </c>
      <c r="E43" s="46" t="n">
        <v>0.19</v>
      </c>
      <c r="F43" s="6" t="str">
        <v>Assumption VAT.DE (see D01); VF; checked 2026-10-12; Policy P05; sources: SRC.S2.VAT.DE, SRC.GC.4.VAT_DE</v>
      </c>
      <c r="G43" s="2"/>
    </row>
    <row r="44" ht="28" customHeight="1">
      <c r="A44" s="2" t="str">
        <v>VAT.AT</v>
      </c>
      <c r="B44" s="6" t="str">
        <v>B2C VAT rate, Austria</v>
      </c>
      <c r="C44" s="2" t="str">
        <v>fraction</v>
      </c>
      <c r="D44" s="2" t="str">
        <v>NA</v>
      </c>
      <c r="E44" s="46" t="n">
        <v>0.2</v>
      </c>
      <c r="F44" s="6" t="str">
        <v>Assumption VAT.AT (see D01); VF; checked 2026-10-12; Policy P05; sources: SRC.S2.VAT.AT</v>
      </c>
      <c r="G44" s="2"/>
    </row>
    <row r="45" ht="28" customHeight="1">
      <c r="A45" s="2" t="str">
        <v>VAT.RECOVERY</v>
      </c>
      <c r="B45" s="6" t="str">
        <v>Input-VAT recovery</v>
      </c>
      <c r="C45" s="2" t="str">
        <v>fraction</v>
      </c>
      <c r="D45" s="2" t="str">
        <v>NA</v>
      </c>
      <c r="E45" s="46" t="n">
        <v>1</v>
      </c>
      <c r="F45" s="6" t="str">
        <v>Assumption VAT.RECOVERY (see D01); IA; checked 2026-10-12; Policy P05; sources: SRC.S2.VAT.RECOVERY</v>
      </c>
      <c r="G45" s="2"/>
    </row>
    <row r="46" ht="28" customHeight="1">
      <c r="A46" s="2" t="str">
        <v>R7.CHURN</v>
      </c>
      <c r="B46" s="6" t="str">
        <v>Client churn</v>
      </c>
      <c r="C46" s="2" t="str">
        <v>fraction</v>
      </c>
      <c r="D46" s="2" t="str">
        <v>NA</v>
      </c>
      <c r="E46" s="46" t="n">
        <v>0.02</v>
      </c>
      <c r="F46" s="6" t="str">
        <v>Assumption R7.CHURN (see D01); IA; checked 2026-10-12; sources: SRC.S2.R7.CHURN</v>
      </c>
      <c r="G46" s="2"/>
    </row>
    <row r="47" ht="28" customHeight="1">
      <c r="A47" s="2" t="str">
        <v>R7.SEATS</v>
      </c>
      <c r="B47" s="6" t="str">
        <v>Seats per client</v>
      </c>
      <c r="C47" s="2" t="str">
        <v>seats</v>
      </c>
      <c r="D47" s="2" t="str">
        <v>NA</v>
      </c>
      <c r="E47" s="48" t="n">
        <v>15</v>
      </c>
      <c r="F47" s="6" t="str">
        <v>Assumption R7.SEATS (see D01); IA; checked 2026-10-12; sources: SRC.S2.R7.SEATS</v>
      </c>
      <c r="G47" s="2"/>
    </row>
    <row r="48" ht="28" customHeight="1">
      <c r="A48" s="2" t="str">
        <v>R7.PRICE</v>
      </c>
      <c r="B48" s="6" t="str">
        <v>Price per seat per month (net)</v>
      </c>
      <c r="C48" s="2" t="str">
        <v>EUR_per_seat</v>
      </c>
      <c r="D48" s="2" t="str">
        <v>NA</v>
      </c>
      <c r="E48" s="48" t="n">
        <v>150</v>
      </c>
      <c r="F48" s="6" t="str">
        <v>Assumption R7.PRICE (see D01); IA; checked 2026-10-12; sources: SRC.S2.R7.PRICE</v>
      </c>
      <c r="G48" s="2"/>
    </row>
    <row r="49" ht="28" customHeight="1">
      <c r="A49" s="2" t="str">
        <v>R7.ONBOARD</v>
      </c>
      <c r="B49" s="6" t="str">
        <v>Onboarding fee (recognised over 12 months)</v>
      </c>
      <c r="C49" s="2" t="str">
        <v>EUR</v>
      </c>
      <c r="D49" s="2" t="str">
        <v>NA</v>
      </c>
      <c r="E49" s="48" t="n">
        <v>2000</v>
      </c>
      <c r="F49" s="6" t="str">
        <v>Assumption R7.ONBOARD (see D01); IA; checked 2026-10-12; sources: SRC.S2.R7.ONBOARD</v>
      </c>
      <c r="G49" s="2"/>
    </row>
    <row r="50" ht="28" customHeight="1">
      <c r="A50" s="2" t="str">
        <v>X.LTV_RATE</v>
      </c>
      <c r="B50" s="6" t="str">
        <v>Annual discount rate for LTV</v>
      </c>
      <c r="C50" s="2" t="str">
        <v>fraction</v>
      </c>
      <c r="D50" s="2" t="str">
        <v>NA</v>
      </c>
      <c r="E50" s="46" t="n">
        <v>0.12</v>
      </c>
      <c r="F50" s="6" t="str">
        <v>Assumption X.LTV_RATE (see D01); IA; checked 2026-10-12; sources: SRC.T03, SRC.S5.R-050</v>
      </c>
      <c r="G50" s="2"/>
    </row>
    <row r="51" ht="28" customHeight="1">
      <c r="A51" s="2" t="str">
        <v>X.LTV_MONTHS</v>
      </c>
      <c r="B51" s="6" t="str">
        <v>LTV horizon in months</v>
      </c>
      <c r="C51" s="2" t="str">
        <v>months</v>
      </c>
      <c r="D51" s="2" t="str">
        <v>NA</v>
      </c>
      <c r="E51" s="39" t="n">
        <v>36</v>
      </c>
      <c r="F51" s="6" t="str">
        <v>Assumption X.LTV_MONTHS (see D01); EC; checked 2026-10-12; sources: SRC.T03, SRC.S5.R-050</v>
      </c>
      <c r="G51" s="2"/>
    </row>
    <row r="52" ht="42" customHeight="1">
      <c r="A52" s="2" t="str">
        <v>COHORT</v>
      </c>
      <c r="B52" s="6" t="str">
        <v>Originating model month</v>
      </c>
      <c r="C52" s="2" t="str">
        <v>month_index</v>
      </c>
      <c r="D52" s="2" t="str">
        <v>NA</v>
      </c>
      <c r="E52" s="44" t="n">
        <v>10</v>
      </c>
      <c r="F52" s="6" t="str">
        <v>Launch cohort seed; changing it recomputes country permissions and all 36 ages. Calendar months after M60 use the D10 extended-model Connect and trader-KYC rates on Calendar_Seeds.</v>
      </c>
      <c r="G52" s="2"/>
    </row>
    <row r="53" ht="22" customHeight="1">
      <c r="A53" s="2" t="str">
        <v>THOUSAND</v>
      </c>
      <c r="B53" s="6" t="str">
        <v>Support contact-rate divisor</v>
      </c>
      <c r="C53" s="2" t="str">
        <v>number</v>
      </c>
      <c r="D53" s="2" t="str">
        <v>NA</v>
      </c>
      <c r="E53" s="48" t="n">
        <v>1000</v>
      </c>
      <c r="F53" s="6" t="str">
        <v>Support contacts are quoted per 1,000 users.</v>
      </c>
      <c r="G53" s="2"/>
    </row>
    <row r="54" ht="28" customHeight="1">
      <c r="A54" s="2" t="str">
        <v>CHANNEL</v>
      </c>
      <c r="B54" s="6" t="str">
        <v>Channel: 1 paid, 2 organic, 3 referral, 4 trader</v>
      </c>
      <c r="C54" s="2" t="str">
        <v>number</v>
      </c>
      <c r="D54" s="2" t="str">
        <v>NA</v>
      </c>
      <c r="E54" s="48" t="n">
        <v>1</v>
      </c>
      <c r="F54" s="6" t="str">
        <v>Channel affects CAC and arrival validity; states are per original connected user.</v>
      </c>
      <c r="G54" s="2"/>
    </row>
    <row r="55" ht="28" customHeight="1">
      <c r="A55" s="2" t="str">
        <v>CAC.PAID</v>
      </c>
      <c r="B55" s="6" t="str">
        <v>Paid cohort-attributed CAC</v>
      </c>
      <c r="C55" s="2" t="str">
        <v>EUR_per_user</v>
      </c>
      <c r="D55" s="2" t="str">
        <v>NA</v>
      </c>
      <c r="E55" s="48" t="n">
        <v>104.46343779677113</v>
      </c>
      <c r="F55" s="6" t="str">
        <v>D10 Unit_Economics!Q13 (UE.CAC.PAID), Base, frozen 13 October 2026; zero-arrival channels are unavailable</v>
      </c>
      <c r="G55" s="2"/>
    </row>
    <row r="56" ht="28" customHeight="1">
      <c r="A56" s="2" t="str">
        <v>CAC.ORGANIC</v>
      </c>
      <c r="B56" s="6" t="str">
        <v>Organic cohort-attributed CAC</v>
      </c>
      <c r="C56" s="2" t="str">
        <v>EUR_per_user</v>
      </c>
      <c r="D56" s="2" t="str">
        <v>NA</v>
      </c>
      <c r="E56" s="48" t="n">
        <v>8.705286483064262</v>
      </c>
      <c r="F56" s="6" t="str">
        <v>D10 Unit_Economics!Q16 (UE.CAC.ORGANIC), Base, frozen 13 October 2026; zero-arrival channels are unavailable</v>
      </c>
      <c r="G56" s="2"/>
    </row>
    <row r="57" ht="28" customHeight="1">
      <c r="A57" s="2" t="str">
        <v>CAC.REFERRAL</v>
      </c>
      <c r="B57" s="6" t="str">
        <v>Referral cohort-attributed CAC</v>
      </c>
      <c r="C57" s="2" t="str">
        <v>EUR_per_user</v>
      </c>
      <c r="D57" s="2" t="str">
        <v>NA</v>
      </c>
      <c r="E57" s="48" t="n">
        <v>0</v>
      </c>
      <c r="F57" s="6" t="str">
        <v>D10 Unit_Economics!Q19 (UE.CAC.REFERRAL), Base, frozen 13 October 2026; zero-arrival channels are unavailable</v>
      </c>
      <c r="G57" s="2"/>
    </row>
    <row r="58" ht="28" customHeight="1">
      <c r="A58" s="2" t="str">
        <v>CAC.TRADER</v>
      </c>
      <c r="B58" s="6" t="str">
        <v>Trader cohort-attributed CAC</v>
      </c>
      <c r="C58" s="2" t="str">
        <v>EUR_per_user</v>
      </c>
      <c r="D58" s="2" t="str">
        <v>NA</v>
      </c>
      <c r="E58" s="48" t="n">
        <v>0</v>
      </c>
      <c r="F58" s="6" t="str">
        <v>D10 Unit_Economics!Q22 (UE.CAC.TRADER), Base, frozen 13 October 2026; zero-arrival channels are unavailable</v>
      </c>
      <c r="G58" s="2"/>
    </row>
    <row r="59" ht="28" customHeight="1">
      <c r="A59" s="2" t="str">
        <v>ARPU.R1</v>
      </c>
      <c r="B59" s="6" t="str">
        <v>R1 ARPU / entitled subscriber</v>
      </c>
      <c r="C59" s="2" t="str">
        <v>EUR_per_user</v>
      </c>
      <c r="D59" s="2" t="str">
        <v>NA</v>
      </c>
      <c r="E59" s="48" t="n">
        <v>11.643860119047618</v>
      </c>
      <c r="F59" s="6" t="str">
        <v>D10 KPIs!Q17 (KPI.ARPU_R1), Base, frozen 13 October 2026; editing ARPU scales this stream's frozen prices</v>
      </c>
      <c r="G59" s="2"/>
    </row>
    <row r="60" ht="22" customHeight="1">
      <c r="A60" s="2" t="str">
        <v>ARPU_SEED.R1</v>
      </c>
      <c r="B60" s="6" t="str">
        <v>R1 original ARPU calibration</v>
      </c>
      <c r="C60" s="2" t="str">
        <v>EUR_per_user</v>
      </c>
      <c r="D60" s="2" t="str">
        <v>NA</v>
      </c>
      <c r="E60" s="35" t="n">
        <v>11.643860119047618</v>
      </c>
      <c r="F60" s="6" t="str">
        <v>D10 KPIs!Q17 (KPI.ARPU_R1), Base, frozen 13 October 2026</v>
      </c>
      <c r="G60" s="2"/>
    </row>
    <row r="61" ht="28" customHeight="1">
      <c r="A61" s="2" t="str">
        <v>ARPU.R2</v>
      </c>
      <c r="B61" s="6" t="str">
        <v>R2 ARPU / copier</v>
      </c>
      <c r="C61" s="2" t="str">
        <v>EUR_per_user</v>
      </c>
      <c r="D61" s="2" t="str">
        <v>NA</v>
      </c>
      <c r="E61" s="48" t="n">
        <v>21.837815126050423</v>
      </c>
      <c r="F61" s="6" t="str">
        <v>D10 KPIs!T18 (KPI.ARPU_R2), Base, frozen 13 October 2026; editing ARPU scales this stream's frozen prices</v>
      </c>
      <c r="G61" s="2"/>
    </row>
    <row r="62" ht="22" customHeight="1">
      <c r="A62" s="2" t="str">
        <v>ARPU_SEED.R2</v>
      </c>
      <c r="B62" s="6" t="str">
        <v>R2 original ARPU calibration</v>
      </c>
      <c r="C62" s="2" t="str">
        <v>EUR_per_user</v>
      </c>
      <c r="D62" s="2" t="str">
        <v>NA</v>
      </c>
      <c r="E62" s="35" t="n">
        <v>21.837815126050423</v>
      </c>
      <c r="F62" s="6" t="str">
        <v>D10 KPIs!T18 (KPI.ARPU_R2), Base, frozen 13 October 2026</v>
      </c>
      <c r="G62" s="2"/>
    </row>
    <row r="63" ht="28" customHeight="1">
      <c r="A63" s="2" t="str">
        <v>ARPU.R7</v>
      </c>
      <c r="B63" s="6" t="str">
        <v>R7 ARPU / client</v>
      </c>
      <c r="C63" s="2" t="str">
        <v>EUR_per_client</v>
      </c>
      <c r="D63" s="2" t="str">
        <v>NA</v>
      </c>
      <c r="E63" s="48" t="n">
        <v>2416.6666666666665</v>
      </c>
      <c r="F63" s="6" t="str">
        <v>D10 KPIs!AF45 (KPI.ARPU_R7), Base, frozen 13 October 2026; editing ARPU scales this stream's frozen prices</v>
      </c>
      <c r="G63" s="2"/>
    </row>
    <row r="64" ht="22" customHeight="1">
      <c r="A64" s="2" t="str">
        <v>ARPU_SEED.R7</v>
      </c>
      <c r="B64" s="6" t="str">
        <v>R7 original ARPU calibration</v>
      </c>
      <c r="C64" s="2" t="str">
        <v>EUR_per_client</v>
      </c>
      <c r="D64" s="2" t="str">
        <v>NA</v>
      </c>
      <c r="E64" s="35" t="n">
        <v>2416.6666666666665</v>
      </c>
      <c r="F64" s="6" t="str">
        <v>D10 KPIs!AF45 (KPI.ARPU_R7), Base, frozen 13 October 2026</v>
      </c>
      <c r="G64" s="2"/>
    </row>
    <row r="65" ht="28" customHeight="1">
      <c r="A65" s="2" t="str">
        <v>ARPU.R3</v>
      </c>
      <c r="B65" s="6" t="str">
        <v>R3 licensed / affiliate revenue</v>
      </c>
      <c r="C65" s="2" t="str">
        <v>EUR_per_user</v>
      </c>
      <c r="D65" s="2" t="str">
        <v>NA</v>
      </c>
      <c r="E65" s="35" t="n">
        <v>0</v>
      </c>
      <c r="F65" s="6" t="str">
        <v>R3 is switched off: no exchange rebate or affiliate revenue in this fictional release.</v>
      </c>
      <c r="G65" s="2"/>
    </row>
    <row r="66" ht="28" customHeight="1">
      <c r="A66" s="2" t="str">
        <v>B2B_CAC</v>
      </c>
      <c r="B66" s="6" t="str">
        <v>B2B acquisition cost / client</v>
      </c>
      <c r="C66" s="2" t="str">
        <v>EUR_per_client</v>
      </c>
      <c r="D66" s="2" t="str">
        <v>NA</v>
      </c>
      <c r="E66" s="48" t="n">
        <v>0</v>
      </c>
      <c r="F66" s="6" t="str">
        <v>Separate D10 B2B CAC is not supplied. Enter a cost; ratio is n/m at zero.</v>
      </c>
      <c r="G66" s="2"/>
    </row>
    <row r="67" ht="28" customHeight="1">
      <c r="A67" s="2" t="str">
        <v>B2B_VARIABLE</v>
      </c>
      <c r="B67" s="6" t="str">
        <v>Direct B2B variable cost / client-month</v>
      </c>
      <c r="C67" s="2" t="str">
        <v>EUR_per_client</v>
      </c>
      <c r="D67" s="2" t="str">
        <v>NA</v>
      </c>
      <c r="E67" s="48" t="n">
        <v>0</v>
      </c>
      <c r="F67" s="6" t="str">
        <v>D10 B2B LTV excludes shared fixed support; no direct variable cost supplied in Base.</v>
      </c>
      <c r="G67" s="2"/>
    </row>
    <row r="68" ht="22" customHeight="1">
      <c r="A68" s="2" t="str">
        <v>CONST.QuarterMonths</v>
      </c>
      <c r="B68" s="6" t="str">
        <v>Months per quarter</v>
      </c>
      <c r="C68" s="2" t="str">
        <v>number</v>
      </c>
      <c r="D68" s="2" t="str">
        <v>NA</v>
      </c>
      <c r="E68" s="35" t="n">
        <v>3</v>
      </c>
      <c r="F68" s="6" t="str">
        <v>Fixed structural constant, not an editable financial driver</v>
      </c>
      <c r="G68" s="2"/>
    </row>
    <row r="69" ht="22" customHeight="1">
      <c r="A69" s="2" t="str">
        <v>CONST.OrganicChannel</v>
      </c>
      <c r="B69" s="6" t="str">
        <v>Organic channel index</v>
      </c>
      <c r="C69" s="2" t="str">
        <v>number</v>
      </c>
      <c r="D69" s="2" t="str">
        <v>NA</v>
      </c>
      <c r="E69" s="35" t="n">
        <v>2</v>
      </c>
      <c r="F69" s="6" t="str">
        <v>Fixed structural constant, not an editable financial driver</v>
      </c>
      <c r="G69" s="2"/>
    </row>
    <row r="70" ht="22" customHeight="1">
      <c r="A70" s="2" t="str">
        <v>CONST.ReferralChannel</v>
      </c>
      <c r="B70" s="6" t="str">
        <v>Referral channel index</v>
      </c>
      <c r="C70" s="2" t="str">
        <v>number</v>
      </c>
      <c r="D70" s="2" t="str">
        <v>NA</v>
      </c>
      <c r="E70" s="35" t="n">
        <v>3</v>
      </c>
      <c r="F70" s="6" t="str">
        <v>Fixed structural constant, not an editable financial driver</v>
      </c>
      <c r="G70" s="2"/>
    </row>
    <row r="71" ht="22" customHeight="1">
      <c r="A71" s="2" t="str">
        <v>CONST.TraderChannel</v>
      </c>
      <c r="B71" s="6" t="str">
        <v>Trader channel index</v>
      </c>
      <c r="C71" s="2" t="str">
        <v>number</v>
      </c>
      <c r="D71" s="2" t="str">
        <v>NA</v>
      </c>
      <c r="E71" s="35" t="n">
        <v>4</v>
      </c>
      <c r="F71" s="6" t="str">
        <v>Fixed structural constant, not an editable financial driver</v>
      </c>
      <c r="G71" s="2"/>
    </row>
    <row r="72" ht="22" customHeight="1">
      <c r="A72" s="2" t="str">
        <v>CONST.HorizonMonths</v>
      </c>
      <c r="B72" s="6" t="str">
        <v>Source calendar horizon</v>
      </c>
      <c r="C72" s="2" t="str">
        <v>months</v>
      </c>
      <c r="D72" s="2" t="str">
        <v>NA</v>
      </c>
      <c r="E72" s="39" t="n">
        <v>60</v>
      </c>
      <c r="F72" s="6" t="str">
        <v>Fixed structural constant, not an editable financial driver</v>
      </c>
      <c r="G72" s="2"/>
    </row>
    <row r="73" ht="22" customHeight="1">
      <c r="A73" s="2" t="str">
        <v>CONST.ModelStart</v>
      </c>
      <c r="B73" s="6" t="str">
        <v>Source model start</v>
      </c>
      <c r="C73" s="2" t="str">
        <v>date</v>
      </c>
      <c r="D73" s="2" t="str">
        <v>NA</v>
      </c>
      <c r="E73" s="51" t="n">
        <v>46388</v>
      </c>
      <c r="F73" s="6" t="str">
        <v>Fixed structural constant, not an editable financial driver</v>
      </c>
      <c r="G73" s="2"/>
    </row>
    <row r="74" ht="22" customHeight="1">
      <c r="A74" s="2" t="str">
        <v>CONST.ModelYear</v>
      </c>
      <c r="B74" s="6" t="str">
        <v>Source model start year</v>
      </c>
      <c r="C74" s="2" t="str">
        <v>year</v>
      </c>
      <c r="D74" s="2" t="str">
        <v>NA</v>
      </c>
      <c r="E74" s="39" t="n">
        <v>2027</v>
      </c>
      <c r="F74" s="6" t="str">
        <v>Fixed structural constant, not an editable financial driver</v>
      </c>
      <c r="G74" s="2"/>
    </row>
    <row r="75" ht="22" customHeight="1">
      <c r="A75" s="2" t="str">
        <v>CONST.LTVMonths</v>
      </c>
      <c r="B75" s="6" t="str">
        <v>Fixed LTV horizon</v>
      </c>
      <c r="C75" s="2" t="str">
        <v>months</v>
      </c>
      <c r="D75" s="2" t="str">
        <v>NA</v>
      </c>
      <c r="E75" s="39" t="n">
        <v>36</v>
      </c>
      <c r="F75" s="6" t="str">
        <v>Fixed structural constant, not an editable financial driver</v>
      </c>
      <c r="G75" s="2"/>
    </row>
  </sheetData>
  <mergeCells>
    <mergeCell ref="B1:F1"/>
    <mergeCell ref="B2:F2"/>
    <mergeCell ref="B3:F3"/>
    <mergeCell ref="B4:F4"/>
    <mergeCell ref="B5:F5"/>
  </mergeCells>
  <dataValidations count="43">
    <dataValidation type="decimal" operator="between" sqref="E11">
      <formula1>1</formula1>
      <formula2>60</formula2>
    </dataValidation>
    <dataValidation type="decimal" operator="between" sqref="E12">
      <formula1>1</formula1>
      <formula2>60</formula2>
    </dataValidation>
    <dataValidation type="decimal" operator="between" sqref="E13">
      <formula1>1</formula1>
      <formula2>60</formula2>
    </dataValidation>
    <dataValidation type="decimal" operator="between" sqref="E14">
      <formula1>0</formula1>
      <formula2>1</formula2>
    </dataValidation>
    <dataValidation type="decimal" operator="greaterThanOrEqual" sqref="E15">
      <formula1>0</formula1>
    </dataValidation>
    <dataValidation type="decimal" operator="greaterThanOrEqual" sqref="E16">
      <formula1>0</formula1>
    </dataValidation>
    <dataValidation type="decimal" operator="greaterThanOrEqual" sqref="E17">
      <formula1>0</formula1>
    </dataValidation>
    <dataValidation type="decimal" operator="greaterThanOrEqual" sqref="E18">
      <formula1>0</formula1>
    </dataValidation>
    <dataValidation type="decimal" operator="between" sqref="E19">
      <formula1>0</formula1>
      <formula2>1</formula2>
    </dataValidation>
    <dataValidation type="decimal" operator="between" sqref="E20">
      <formula1>0</formula1>
      <formula2>1</formula2>
    </dataValidation>
    <dataValidation type="decimal" operator="between" sqref="E21">
      <formula1>0</formula1>
      <formula2>1</formula2>
    </dataValidation>
    <dataValidation type="decimal" operator="between" sqref="E22">
      <formula1>0</formula1>
      <formula2>1</formula2>
    </dataValidation>
    <dataValidation type="decimal" operator="between" sqref="E23">
      <formula1>0</formula1>
      <formula2>1</formula2>
    </dataValidation>
    <dataValidation type="decimal" operator="between" sqref="E24">
      <formula1>0</formula1>
      <formula2>1</formula2>
    </dataValidation>
    <dataValidation type="decimal" operator="between" sqref="E25">
      <formula1>0</formula1>
      <formula2>1</formula2>
    </dataValidation>
    <dataValidation type="decimal" operator="between" sqref="E26">
      <formula1>0</formula1>
      <formula2>1</formula2>
    </dataValidation>
    <dataValidation type="decimal" operator="greaterThanOrEqual" sqref="E27">
      <formula1>0</formula1>
    </dataValidation>
    <dataValidation type="decimal" operator="between" sqref="E28">
      <formula1>0</formula1>
      <formula2>1</formula2>
    </dataValidation>
    <dataValidation type="decimal" operator="between" sqref="E29">
      <formula1>0</formula1>
      <formula2>1</formula2>
    </dataValidation>
    <dataValidation type="decimal" operator="between" sqref="E30">
      <formula1>0</formula1>
      <formula2>1</formula2>
    </dataValidation>
    <dataValidation type="decimal" operator="greaterThanOrEqual" sqref="E31">
      <formula1>0</formula1>
    </dataValidation>
    <dataValidation type="decimal" operator="between" sqref="E32">
      <formula1>0</formula1>
      <formula2>1</formula2>
    </dataValidation>
    <dataValidation type="decimal" operator="greaterThanOrEqual" sqref="E33">
      <formula1>0</formula1>
    </dataValidation>
    <dataValidation type="decimal" operator="between" sqref="E34">
      <formula1>0</formula1>
      <formula2>1</formula2>
    </dataValidation>
    <dataValidation type="decimal" operator="greaterThanOrEqual" sqref="E35">
      <formula1>0</formula1>
    </dataValidation>
    <dataValidation type="decimal" operator="greaterThanOrEqual" sqref="E36">
      <formula1>0</formula1>
    </dataValidation>
    <dataValidation type="decimal" operator="greaterThanOrEqual" sqref="E37">
      <formula1>0</formula1>
    </dataValidation>
    <dataValidation type="decimal" operator="greaterThanOrEqual" sqref="E38">
      <formula1>0</formula1>
    </dataValidation>
    <dataValidation type="decimal" operator="greaterThanOrEqual" sqref="E39">
      <formula1>0</formula1>
    </dataValidation>
    <dataValidation type="decimal" operator="between" sqref="E40">
      <formula1>0</formula1>
      <formula2>1</formula2>
    </dataValidation>
    <dataValidation type="decimal" operator="greaterThanOrEqual" sqref="E41">
      <formula1>0</formula1>
    </dataValidation>
    <dataValidation type="decimal" operator="between" sqref="E42">
      <formula1>0</formula1>
      <formula2>1</formula2>
    </dataValidation>
    <dataValidation type="decimal" operator="between" sqref="E43">
      <formula1>0</formula1>
      <formula2>1</formula2>
    </dataValidation>
    <dataValidation type="decimal" operator="between" sqref="E44">
      <formula1>0</formula1>
      <formula2>1</formula2>
    </dataValidation>
    <dataValidation type="decimal" operator="between" sqref="E45">
      <formula1>0</formula1>
      <formula2>1</formula2>
    </dataValidation>
    <dataValidation type="decimal" operator="between" sqref="E46">
      <formula1>0</formula1>
      <formula2>1</formula2>
    </dataValidation>
    <dataValidation type="decimal" operator="greaterThanOrEqual" sqref="E47">
      <formula1>0</formula1>
    </dataValidation>
    <dataValidation type="decimal" operator="greaterThanOrEqual" sqref="E48">
      <formula1>0</formula1>
    </dataValidation>
    <dataValidation type="decimal" operator="greaterThanOrEqual" sqref="E49">
      <formula1>0</formula1>
    </dataValidation>
    <dataValidation type="decimal" operator="between" sqref="E50">
      <formula1>0</formula1>
      <formula2>1</formula2>
    </dataValidation>
    <dataValidation type="decimal" operator="greaterThanOrEqual" sqref="E51">
      <formula1>0</formula1>
    </dataValidation>
    <dataValidation type="whole" operator="between" sqref="E52">
      <formula1>1</formula1>
      <formula2>60</formula2>
    </dataValidation>
    <dataValidation type="whole" operator="between" sqref="E54">
      <formula1>1</formula1>
      <formula2>4</formula2>
    </dataValidation>
  </dataValidations>
  <pageMargins left="0.7" right="0.7" top="0.75" bottom="0.75" header="0.3" footer="0.3"/>
  <tableParts count="1">
    <tablePart ns1:id="R7ebfdd2df5d34dee"/>
  </tableParts>
</worksheet>
</file>

<file path=xl/worksheets/sheet5.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s>
  <sheetData>
    <row r="1" ht="28" customHeight="1">
      <c r="A1" s="2"/>
      <c r="B1" s="30" t="str">
        <v>Retail cohort / original connected user</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ht="22" customHeight="1">
      <c r="A6" s="2"/>
      <c r="B6" s="2"/>
      <c r="C6" s="2"/>
      <c r="D6" s="2"/>
      <c r="E6" s="2"/>
      <c r="F6" s="2"/>
      <c r="G6" s="2"/>
      <c r="H6" s="2" t="n">
        <v>0</v>
      </c>
      <c r="I6" s="2" t="n">
        <v>1</v>
      </c>
      <c r="J6" s="2" t="n">
        <v>2</v>
      </c>
      <c r="K6" s="2" t="n">
        <v>3</v>
      </c>
      <c r="L6" s="2" t="n">
        <v>4</v>
      </c>
      <c r="M6" s="2" t="n">
        <v>5</v>
      </c>
      <c r="N6" s="2" t="n">
        <v>6</v>
      </c>
      <c r="O6" s="2" t="n">
        <v>7</v>
      </c>
      <c r="P6" s="2" t="n">
        <v>8</v>
      </c>
      <c r="Q6" s="2" t="n">
        <v>9</v>
      </c>
      <c r="R6" s="2" t="n">
        <v>10</v>
      </c>
      <c r="S6" s="2" t="n">
        <v>11</v>
      </c>
      <c r="T6" s="2" t="n">
        <v>12</v>
      </c>
      <c r="U6" s="2" t="n">
        <v>13</v>
      </c>
      <c r="V6" s="2" t="n">
        <v>14</v>
      </c>
      <c r="W6" s="2" t="n">
        <v>15</v>
      </c>
      <c r="X6" s="2" t="n">
        <v>16</v>
      </c>
      <c r="Y6" s="2" t="n">
        <v>17</v>
      </c>
      <c r="Z6" s="2" t="n">
        <v>18</v>
      </c>
      <c r="AA6" s="2" t="n">
        <v>19</v>
      </c>
      <c r="AB6" s="2" t="n">
        <v>20</v>
      </c>
      <c r="AC6" s="2" t="n">
        <v>21</v>
      </c>
      <c r="AD6" s="2" t="n">
        <v>22</v>
      </c>
      <c r="AE6" s="2" t="n">
        <v>23</v>
      </c>
      <c r="AF6" s="2" t="n">
        <v>24</v>
      </c>
      <c r="AG6" s="2" t="n">
        <v>25</v>
      </c>
      <c r="AH6" s="2" t="n">
        <v>26</v>
      </c>
      <c r="AI6" s="2" t="n">
        <v>27</v>
      </c>
      <c r="AJ6" s="2" t="n">
        <v>28</v>
      </c>
      <c r="AK6" s="2" t="n">
        <v>29</v>
      </c>
      <c r="AL6" s="2" t="n">
        <v>30</v>
      </c>
      <c r="AM6" s="2" t="n">
        <v>31</v>
      </c>
      <c r="AN6" s="2" t="n">
        <v>32</v>
      </c>
      <c r="AO6" s="2" t="n">
        <v>33</v>
      </c>
      <c r="AP6" s="2" t="n">
        <v>34</v>
      </c>
      <c r="AQ6" s="2" t="n">
        <v>35</v>
      </c>
    </row>
    <row r="7" ht="22" customHeight="1">
      <c r="A7" s="2"/>
      <c r="B7" s="2"/>
      <c r="C7" s="2"/>
      <c r="D7" s="2"/>
      <c r="E7" s="2"/>
      <c r="F7" s="2"/>
      <c r="G7" s="2"/>
      <c r="H7" s="42">
        <f>EDATE('Inputs'!$E$73,'Inputs'!$E$52+H$6-1)</f>
        <v>46661.0</v>
      </c>
      <c r="I7" s="42">
        <f>EDATE('Inputs'!$E$73,'Inputs'!$E$52+I$6-1)</f>
        <v>46692.0</v>
      </c>
      <c r="J7" s="42">
        <f>EDATE('Inputs'!$E$73,'Inputs'!$E$52+J$6-1)</f>
        <v>46722.0</v>
      </c>
      <c r="K7" s="42">
        <f>EDATE('Inputs'!$E$73,'Inputs'!$E$52+K$6-1)</f>
        <v>46753.0</v>
      </c>
      <c r="L7" s="42">
        <f>EDATE('Inputs'!$E$73,'Inputs'!$E$52+L$6-1)</f>
        <v>46784.0</v>
      </c>
      <c r="M7" s="42">
        <f>EDATE('Inputs'!$E$73,'Inputs'!$E$52+M$6-1)</f>
        <v>46813.0</v>
      </c>
      <c r="N7" s="42">
        <f>EDATE('Inputs'!$E$73,'Inputs'!$E$52+N$6-1)</f>
        <v>46844.0</v>
      </c>
      <c r="O7" s="42">
        <f>EDATE('Inputs'!$E$73,'Inputs'!$E$52+O$6-1)</f>
        <v>46874.0</v>
      </c>
      <c r="P7" s="42">
        <f>EDATE('Inputs'!$E$73,'Inputs'!$E$52+P$6-1)</f>
        <v>46905.0</v>
      </c>
      <c r="Q7" s="42">
        <f>EDATE('Inputs'!$E$73,'Inputs'!$E$52+Q$6-1)</f>
        <v>46935.0</v>
      </c>
      <c r="R7" s="42">
        <f>EDATE('Inputs'!$E$73,'Inputs'!$E$52+R$6-1)</f>
        <v>46966.0</v>
      </c>
      <c r="S7" s="42">
        <f>EDATE('Inputs'!$E$73,'Inputs'!$E$52+S$6-1)</f>
        <v>46997.0</v>
      </c>
      <c r="T7" s="42">
        <f>EDATE('Inputs'!$E$73,'Inputs'!$E$52+T$6-1)</f>
        <v>47027.0</v>
      </c>
      <c r="U7" s="42">
        <f>EDATE('Inputs'!$E$73,'Inputs'!$E$52+U$6-1)</f>
        <v>47058.0</v>
      </c>
      <c r="V7" s="42">
        <f>EDATE('Inputs'!$E$73,'Inputs'!$E$52+V$6-1)</f>
        <v>47088.0</v>
      </c>
      <c r="W7" s="42">
        <f>EDATE('Inputs'!$E$73,'Inputs'!$E$52+W$6-1)</f>
        <v>47119.0</v>
      </c>
      <c r="X7" s="42">
        <f>EDATE('Inputs'!$E$73,'Inputs'!$E$52+X$6-1)</f>
        <v>47150.0</v>
      </c>
      <c r="Y7" s="42">
        <f>EDATE('Inputs'!$E$73,'Inputs'!$E$52+Y$6-1)</f>
        <v>47178.0</v>
      </c>
      <c r="Z7" s="42">
        <f>EDATE('Inputs'!$E$73,'Inputs'!$E$52+Z$6-1)</f>
        <v>47209.0</v>
      </c>
      <c r="AA7" s="42">
        <f>EDATE('Inputs'!$E$73,'Inputs'!$E$52+AA$6-1)</f>
        <v>47239.0</v>
      </c>
      <c r="AB7" s="42">
        <f>EDATE('Inputs'!$E$73,'Inputs'!$E$52+AB$6-1)</f>
        <v>47270.0</v>
      </c>
      <c r="AC7" s="42">
        <f>EDATE('Inputs'!$E$73,'Inputs'!$E$52+AC$6-1)</f>
        <v>47300.0</v>
      </c>
      <c r="AD7" s="42">
        <f>EDATE('Inputs'!$E$73,'Inputs'!$E$52+AD$6-1)</f>
        <v>47331.0</v>
      </c>
      <c r="AE7" s="42">
        <f>EDATE('Inputs'!$E$73,'Inputs'!$E$52+AE$6-1)</f>
        <v>47362.0</v>
      </c>
      <c r="AF7" s="42">
        <f>EDATE('Inputs'!$E$73,'Inputs'!$E$52+AF$6-1)</f>
        <v>47392.0</v>
      </c>
      <c r="AG7" s="42">
        <f>EDATE('Inputs'!$E$73,'Inputs'!$E$52+AG$6-1)</f>
        <v>47423.0</v>
      </c>
      <c r="AH7" s="42">
        <f>EDATE('Inputs'!$E$73,'Inputs'!$E$52+AH$6-1)</f>
        <v>47453.0</v>
      </c>
      <c r="AI7" s="42">
        <f>EDATE('Inputs'!$E$73,'Inputs'!$E$52+AI$6-1)</f>
        <v>47484.0</v>
      </c>
      <c r="AJ7" s="42">
        <f>EDATE('Inputs'!$E$73,'Inputs'!$E$52+AJ$6-1)</f>
        <v>47515.0</v>
      </c>
      <c r="AK7" s="42">
        <f>EDATE('Inputs'!$E$73,'Inputs'!$E$52+AK$6-1)</f>
        <v>47543.0</v>
      </c>
      <c r="AL7" s="42">
        <f>EDATE('Inputs'!$E$73,'Inputs'!$E$52+AL$6-1)</f>
        <v>47574.0</v>
      </c>
      <c r="AM7" s="42">
        <f>EDATE('Inputs'!$E$73,'Inputs'!$E$52+AM$6-1)</f>
        <v>47604.0</v>
      </c>
      <c r="AN7" s="42">
        <f>EDATE('Inputs'!$E$73,'Inputs'!$E$52+AN$6-1)</f>
        <v>47635.0</v>
      </c>
      <c r="AO7" s="42">
        <f>EDATE('Inputs'!$E$73,'Inputs'!$E$52+AO$6-1)</f>
        <v>47665.0</v>
      </c>
      <c r="AP7" s="42">
        <f>EDATE('Inputs'!$E$73,'Inputs'!$E$52+AP$6-1)</f>
        <v>47696.0</v>
      </c>
      <c r="AQ7" s="42">
        <f>EDATE('Inputs'!$E$73,'Inputs'!$E$52+AQ$6-1)</f>
        <v>47727.0</v>
      </c>
    </row>
    <row r="8" ht="22" customHeight="1">
      <c r="A8" s="2"/>
      <c r="B8" s="2"/>
      <c r="C8" s="2"/>
      <c r="D8" s="2"/>
      <c r="E8" s="2"/>
      <c r="F8" s="2"/>
      <c r="G8" s="2"/>
      <c r="H8" s="2">
        <f>YEAR(H7)</f>
        <v>2027</v>
      </c>
      <c r="I8" s="2">
        <f>YEAR(I7)</f>
        <v>2027</v>
      </c>
      <c r="J8" s="2">
        <f>YEAR(J7)</f>
        <v>2027</v>
      </c>
      <c r="K8" s="2">
        <f>YEAR(K7)</f>
        <v>2028</v>
      </c>
      <c r="L8" s="2">
        <f>YEAR(L7)</f>
        <v>2028</v>
      </c>
      <c r="M8" s="2">
        <f>YEAR(M7)</f>
        <v>2028</v>
      </c>
      <c r="N8" s="2">
        <f>YEAR(N7)</f>
        <v>2028</v>
      </c>
      <c r="O8" s="2">
        <f>YEAR(O7)</f>
        <v>2028</v>
      </c>
      <c r="P8" s="2">
        <f>YEAR(P7)</f>
        <v>2028</v>
      </c>
      <c r="Q8" s="2">
        <f>YEAR(Q7)</f>
        <v>2028</v>
      </c>
      <c r="R8" s="2">
        <f>YEAR(R7)</f>
        <v>2028</v>
      </c>
      <c r="S8" s="2">
        <f>YEAR(S7)</f>
        <v>2028</v>
      </c>
      <c r="T8" s="2">
        <f>YEAR(T7)</f>
        <v>2028</v>
      </c>
      <c r="U8" s="2">
        <f>YEAR(U7)</f>
        <v>2028</v>
      </c>
      <c r="V8" s="2">
        <f>YEAR(V7)</f>
        <v>2028</v>
      </c>
      <c r="W8" s="2">
        <f>YEAR(W7)</f>
        <v>2029</v>
      </c>
      <c r="X8" s="2">
        <f>YEAR(X7)</f>
        <v>2029</v>
      </c>
      <c r="Y8" s="2">
        <f>YEAR(Y7)</f>
        <v>2029</v>
      </c>
      <c r="Z8" s="2">
        <f>YEAR(Z7)</f>
        <v>2029</v>
      </c>
      <c r="AA8" s="2">
        <f>YEAR(AA7)</f>
        <v>2029</v>
      </c>
      <c r="AB8" s="2">
        <f>YEAR(AB7)</f>
        <v>2029</v>
      </c>
      <c r="AC8" s="2">
        <f>YEAR(AC7)</f>
        <v>2029</v>
      </c>
      <c r="AD8" s="2">
        <f>YEAR(AD7)</f>
        <v>2029</v>
      </c>
      <c r="AE8" s="2">
        <f>YEAR(AE7)</f>
        <v>2029</v>
      </c>
      <c r="AF8" s="2">
        <f>YEAR(AF7)</f>
        <v>2029</v>
      </c>
      <c r="AG8" s="2">
        <f>YEAR(AG7)</f>
        <v>2029</v>
      </c>
      <c r="AH8" s="2">
        <f>YEAR(AH7)</f>
        <v>2029</v>
      </c>
      <c r="AI8" s="2">
        <f>YEAR(AI7)</f>
        <v>2030</v>
      </c>
      <c r="AJ8" s="2">
        <f>YEAR(AJ7)</f>
        <v>2030</v>
      </c>
      <c r="AK8" s="2">
        <f>YEAR(AK7)</f>
        <v>2030</v>
      </c>
      <c r="AL8" s="2">
        <f>YEAR(AL7)</f>
        <v>2030</v>
      </c>
      <c r="AM8" s="2">
        <f>YEAR(AM7)</f>
        <v>2030</v>
      </c>
      <c r="AN8" s="2">
        <f>YEAR(AN7)</f>
        <v>2030</v>
      </c>
      <c r="AO8" s="2">
        <f>YEAR(AO7)</f>
        <v>2030</v>
      </c>
      <c r="AP8" s="2">
        <f>YEAR(AP7)</f>
        <v>2030</v>
      </c>
      <c r="AQ8" s="2">
        <f>YEAR(AQ7)</f>
        <v>2030</v>
      </c>
    </row>
    <row r="9" ht="22" customHeight="1">
      <c r="A9" s="2"/>
      <c r="B9" s="2"/>
      <c r="C9" s="2"/>
      <c r="D9" s="2"/>
      <c r="E9" s="2"/>
      <c r="F9" s="2"/>
      <c r="G9" s="2"/>
      <c r="H9" s="8">
        <f>ROUNDDOWN((MONTH(H7)-1)/'Inputs'!$E$68,0)+1</f>
        <v>4.0</v>
      </c>
      <c r="I9" s="8">
        <f>ROUNDDOWN((MONTH(I7)-1)/'Inputs'!$E$68,0)+1</f>
        <v>4.0</v>
      </c>
      <c r="J9" s="8">
        <f>ROUNDDOWN((MONTH(J7)-1)/'Inputs'!$E$68,0)+1</f>
        <v>4.0</v>
      </c>
      <c r="K9" s="8">
        <f>ROUNDDOWN((MONTH(K7)-1)/'Inputs'!$E$68,0)+1</f>
        <v>1.0</v>
      </c>
      <c r="L9" s="8">
        <f>ROUNDDOWN((MONTH(L7)-1)/'Inputs'!$E$68,0)+1</f>
        <v>1.0</v>
      </c>
      <c r="M9" s="8">
        <f>ROUNDDOWN((MONTH(M7)-1)/'Inputs'!$E$68,0)+1</f>
        <v>1.0</v>
      </c>
      <c r="N9" s="8">
        <f>ROUNDDOWN((MONTH(N7)-1)/'Inputs'!$E$68,0)+1</f>
        <v>2.0</v>
      </c>
      <c r="O9" s="8">
        <f>ROUNDDOWN((MONTH(O7)-1)/'Inputs'!$E$68,0)+1</f>
        <v>2.0</v>
      </c>
      <c r="P9" s="8">
        <f>ROUNDDOWN((MONTH(P7)-1)/'Inputs'!$E$68,0)+1</f>
        <v>2.0</v>
      </c>
      <c r="Q9" s="8">
        <f>ROUNDDOWN((MONTH(Q7)-1)/'Inputs'!$E$68,0)+1</f>
        <v>3.0</v>
      </c>
      <c r="R9" s="8">
        <f>ROUNDDOWN((MONTH(R7)-1)/'Inputs'!$E$68,0)+1</f>
        <v>3.0</v>
      </c>
      <c r="S9" s="8">
        <f>ROUNDDOWN((MONTH(S7)-1)/'Inputs'!$E$68,0)+1</f>
        <v>3.0</v>
      </c>
      <c r="T9" s="8">
        <f>ROUNDDOWN((MONTH(T7)-1)/'Inputs'!$E$68,0)+1</f>
        <v>4.0</v>
      </c>
      <c r="U9" s="8">
        <f>ROUNDDOWN((MONTH(U7)-1)/'Inputs'!$E$68,0)+1</f>
        <v>4.0</v>
      </c>
      <c r="V9" s="8">
        <f>ROUNDDOWN((MONTH(V7)-1)/'Inputs'!$E$68,0)+1</f>
        <v>4.0</v>
      </c>
      <c r="W9" s="8">
        <f>ROUNDDOWN((MONTH(W7)-1)/'Inputs'!$E$68,0)+1</f>
        <v>1.0</v>
      </c>
      <c r="X9" s="8">
        <f>ROUNDDOWN((MONTH(X7)-1)/'Inputs'!$E$68,0)+1</f>
        <v>1.0</v>
      </c>
      <c r="Y9" s="8">
        <f>ROUNDDOWN((MONTH(Y7)-1)/'Inputs'!$E$68,0)+1</f>
        <v>1.0</v>
      </c>
      <c r="Z9" s="8">
        <f>ROUNDDOWN((MONTH(Z7)-1)/'Inputs'!$E$68,0)+1</f>
        <v>2.0</v>
      </c>
      <c r="AA9" s="8">
        <f>ROUNDDOWN((MONTH(AA7)-1)/'Inputs'!$E$68,0)+1</f>
        <v>2.0</v>
      </c>
      <c r="AB9" s="8">
        <f>ROUNDDOWN((MONTH(AB7)-1)/'Inputs'!$E$68,0)+1</f>
        <v>2.0</v>
      </c>
      <c r="AC9" s="8">
        <f>ROUNDDOWN((MONTH(AC7)-1)/'Inputs'!$E$68,0)+1</f>
        <v>3.0</v>
      </c>
      <c r="AD9" s="8">
        <f>ROUNDDOWN((MONTH(AD7)-1)/'Inputs'!$E$68,0)+1</f>
        <v>3.0</v>
      </c>
      <c r="AE9" s="8">
        <f>ROUNDDOWN((MONTH(AE7)-1)/'Inputs'!$E$68,0)+1</f>
        <v>3.0</v>
      </c>
      <c r="AF9" s="8">
        <f>ROUNDDOWN((MONTH(AF7)-1)/'Inputs'!$E$68,0)+1</f>
        <v>4.0</v>
      </c>
      <c r="AG9" s="8">
        <f>ROUNDDOWN((MONTH(AG7)-1)/'Inputs'!$E$68,0)+1</f>
        <v>4.0</v>
      </c>
      <c r="AH9" s="8">
        <f>ROUNDDOWN((MONTH(AH7)-1)/'Inputs'!$E$68,0)+1</f>
        <v>4.0</v>
      </c>
      <c r="AI9" s="8">
        <f>ROUNDDOWN((MONTH(AI7)-1)/'Inputs'!$E$68,0)+1</f>
        <v>1.0</v>
      </c>
      <c r="AJ9" s="8">
        <f>ROUNDDOWN((MONTH(AJ7)-1)/'Inputs'!$E$68,0)+1</f>
        <v>1.0</v>
      </c>
      <c r="AK9" s="8">
        <f>ROUNDDOWN((MONTH(AK7)-1)/'Inputs'!$E$68,0)+1</f>
        <v>1.0</v>
      </c>
      <c r="AL9" s="8">
        <f>ROUNDDOWN((MONTH(AL7)-1)/'Inputs'!$E$68,0)+1</f>
        <v>2.0</v>
      </c>
      <c r="AM9" s="8">
        <f>ROUNDDOWN((MONTH(AM7)-1)/'Inputs'!$E$68,0)+1</f>
        <v>2.0</v>
      </c>
      <c r="AN9" s="8">
        <f>ROUNDDOWN((MONTH(AN7)-1)/'Inputs'!$E$68,0)+1</f>
        <v>2.0</v>
      </c>
      <c r="AO9" s="8">
        <f>ROUNDDOWN((MONTH(AO7)-1)/'Inputs'!$E$68,0)+1</f>
        <v>3.0</v>
      </c>
      <c r="AP9" s="8">
        <f>ROUNDDOWN((MONTH(AP7)-1)/'Inputs'!$E$68,0)+1</f>
        <v>3.0</v>
      </c>
      <c r="AQ9" s="8">
        <f>ROUNDDOWN((MONTH(AQ7)-1)/'Inputs'!$E$68,0)+1</f>
        <v>3.0</v>
      </c>
    </row>
    <row r="10" ht="34" customHeight="1">
      <c r="A10" s="34" t="str">
        <v>Row ID</v>
      </c>
      <c r="B10" s="34" t="str">
        <v>Label</v>
      </c>
      <c r="C10" s="34" t="str">
        <v>Unit</v>
      </c>
      <c r="D10" s="34" t="str">
        <v>Reducer</v>
      </c>
      <c r="E10" s="34" t="str">
        <v>Total / closing</v>
      </c>
      <c r="F10" s="34" t="str">
        <v>Note / source</v>
      </c>
      <c r="G10" s="34" t="str">
        <v>Spacer</v>
      </c>
      <c r="H10" s="34" t="str">
        <v>Age 0</v>
      </c>
      <c r="I10" s="34" t="str">
        <v>Age 1</v>
      </c>
      <c r="J10" s="34" t="str">
        <v>Age 2</v>
      </c>
      <c r="K10" s="34" t="str">
        <v>Age 3</v>
      </c>
      <c r="L10" s="34" t="str">
        <v>Age 4</v>
      </c>
      <c r="M10" s="34" t="str">
        <v>Age 5</v>
      </c>
      <c r="N10" s="34" t="str">
        <v>Age 6</v>
      </c>
      <c r="O10" s="34" t="str">
        <v>Age 7</v>
      </c>
      <c r="P10" s="34" t="str">
        <v>Age 8</v>
      </c>
      <c r="Q10" s="34" t="str">
        <v>Age 9</v>
      </c>
      <c r="R10" s="34" t="str">
        <v>Age 10</v>
      </c>
      <c r="S10" s="34" t="str">
        <v>Age 11</v>
      </c>
      <c r="T10" s="34" t="str">
        <v>Age 12</v>
      </c>
      <c r="U10" s="34" t="str">
        <v>Age 13</v>
      </c>
      <c r="V10" s="34" t="str">
        <v>Age 14</v>
      </c>
      <c r="W10" s="34" t="str">
        <v>Age 15</v>
      </c>
      <c r="X10" s="34" t="str">
        <v>Age 16</v>
      </c>
      <c r="Y10" s="34" t="str">
        <v>Age 17</v>
      </c>
      <c r="Z10" s="34" t="str">
        <v>Age 18</v>
      </c>
      <c r="AA10" s="34" t="str">
        <v>Age 19</v>
      </c>
      <c r="AB10" s="34" t="str">
        <v>Age 20</v>
      </c>
      <c r="AC10" s="34" t="str">
        <v>Age 21</v>
      </c>
      <c r="AD10" s="34" t="str">
        <v>Age 22</v>
      </c>
      <c r="AE10" s="34" t="str">
        <v>Age 23</v>
      </c>
      <c r="AF10" s="34" t="str">
        <v>Age 24</v>
      </c>
      <c r="AG10" s="34" t="str">
        <v>Age 25</v>
      </c>
      <c r="AH10" s="34" t="str">
        <v>Age 26</v>
      </c>
      <c r="AI10" s="34" t="str">
        <v>Age 27</v>
      </c>
      <c r="AJ10" s="34" t="str">
        <v>Age 28</v>
      </c>
      <c r="AK10" s="34" t="str">
        <v>Age 29</v>
      </c>
      <c r="AL10" s="34" t="str">
        <v>Age 30</v>
      </c>
      <c r="AM10" s="34" t="str">
        <v>Age 31</v>
      </c>
      <c r="AN10" s="34" t="str">
        <v>Age 32</v>
      </c>
      <c r="AO10" s="34" t="str">
        <v>Age 33</v>
      </c>
      <c r="AP10" s="34" t="str">
        <v>Age 34</v>
      </c>
      <c r="AQ10" s="34" t="str">
        <v>Age 35</v>
      </c>
    </row>
    <row r="11" ht="22" customHeight="1">
      <c r="A11" s="2" t="str">
        <v>RET</v>
      </c>
      <c r="B11" s="6" t="str">
        <v>Active share (retention curve)</v>
      </c>
      <c r="C11" s="2" t="str">
        <v>fraction</v>
      </c>
      <c r="D11" s="2" t="str">
        <v>NA</v>
      </c>
      <c r="E11" s="2"/>
      <c r="F11" s="6" t="str"/>
      <c r="G11" s="2"/>
      <c r="H11" s="41">
        <f>INDEX('Retention'!$H$11:$BO$11,1,H$6+1)</f>
        <v>1</v>
      </c>
      <c r="I11" s="41">
        <f>INDEX('Retention'!$H$11:$BO$11,1,I$6+1)</f>
        <v>0.7</v>
      </c>
      <c r="J11" s="41">
        <f>INDEX('Retention'!$H$11:$BO$11,1,J$6+1)</f>
        <v>0.6</v>
      </c>
      <c r="K11" s="41">
        <f>INDEX('Retention'!$H$11:$BO$11,1,K$6+1)</f>
        <v>0.55</v>
      </c>
      <c r="L11" s="41">
        <f>INDEX('Retention'!$H$11:$BO$11,1,L$6+1)</f>
        <v>0.5</v>
      </c>
      <c r="M11" s="41">
        <f>INDEX('Retention'!$H$11:$BO$11,1,M$6+1)</f>
        <v>0.47</v>
      </c>
      <c r="N11" s="41">
        <f>INDEX('Retention'!$H$11:$BO$11,1,N$6+1)</f>
        <v>0.45</v>
      </c>
      <c r="O11" s="41">
        <f>INDEX('Retention'!$H$11:$BO$11,1,O$6+1)</f>
        <v>0.43</v>
      </c>
      <c r="P11" s="41">
        <f>INDEX('Retention'!$H$11:$BO$11,1,P$6+1)</f>
        <v>0.41</v>
      </c>
      <c r="Q11" s="41">
        <f>INDEX('Retention'!$H$11:$BO$11,1,Q$6+1)</f>
        <v>0.39</v>
      </c>
      <c r="R11" s="41">
        <f>INDEX('Retention'!$H$11:$BO$11,1,R$6+1)</f>
        <v>0.38</v>
      </c>
      <c r="S11" s="41">
        <f>INDEX('Retention'!$H$11:$BO$11,1,S$6+1)</f>
        <v>0.37</v>
      </c>
      <c r="T11" s="41">
        <f>INDEX('Retention'!$H$11:$BO$11,1,T$6+1)</f>
        <v>0.36</v>
      </c>
      <c r="U11" s="41">
        <f>INDEX('Retention'!$H$11:$BO$11,1,U$6+1)</f>
        <v>0.3575</v>
      </c>
      <c r="V11" s="41">
        <f>INDEX('Retention'!$H$11:$BO$11,1,V$6+1)</f>
        <v>0.355</v>
      </c>
      <c r="W11" s="41">
        <f>INDEX('Retention'!$H$11:$BO$11,1,W$6+1)</f>
        <v>0.3525</v>
      </c>
      <c r="X11" s="41">
        <f>INDEX('Retention'!$H$11:$BO$11,1,X$6+1)</f>
        <v>0.35</v>
      </c>
      <c r="Y11" s="41">
        <f>INDEX('Retention'!$H$11:$BO$11,1,Y$6+1)</f>
        <v>0.3475</v>
      </c>
      <c r="Z11" s="41">
        <f>INDEX('Retention'!$H$11:$BO$11,1,Z$6+1)</f>
        <v>0.345</v>
      </c>
      <c r="AA11" s="41">
        <f>INDEX('Retention'!$H$11:$BO$11,1,AA$6+1)</f>
        <v>0.3425</v>
      </c>
      <c r="AB11" s="41">
        <f>INDEX('Retention'!$H$11:$BO$11,1,AB$6+1)</f>
        <v>0.34</v>
      </c>
      <c r="AC11" s="41">
        <f>INDEX('Retention'!$H$11:$BO$11,1,AC$6+1)</f>
        <v>0.3375</v>
      </c>
      <c r="AD11" s="41">
        <f>INDEX('Retention'!$H$11:$BO$11,1,AD$6+1)</f>
        <v>0.335</v>
      </c>
      <c r="AE11" s="41">
        <f>INDEX('Retention'!$H$11:$BO$11,1,AE$6+1)</f>
        <v>0.3325</v>
      </c>
      <c r="AF11" s="41">
        <f>INDEX('Retention'!$H$11:$BO$11,1,AF$6+1)</f>
        <v>0.33</v>
      </c>
      <c r="AG11" s="41">
        <f>INDEX('Retention'!$H$11:$BO$11,1,AG$6+1)</f>
        <v>0.3245</v>
      </c>
      <c r="AH11" s="41">
        <f>INDEX('Retention'!$H$11:$BO$11,1,AH$6+1)</f>
        <v>0.319</v>
      </c>
      <c r="AI11" s="41">
        <f>INDEX('Retention'!$H$11:$BO$11,1,AI$6+1)</f>
        <v>0.3135</v>
      </c>
      <c r="AJ11" s="41">
        <f>INDEX('Retention'!$H$11:$BO$11,1,AJ$6+1)</f>
        <v>0.308</v>
      </c>
      <c r="AK11" s="41">
        <f>INDEX('Retention'!$H$11:$BO$11,1,AK$6+1)</f>
        <v>0.305</v>
      </c>
      <c r="AL11" s="41">
        <f>INDEX('Retention'!$H$11:$BO$11,1,AL$6+1)</f>
        <v>0.302</v>
      </c>
      <c r="AM11" s="41">
        <f>INDEX('Retention'!$H$11:$BO$11,1,AM$6+1)</f>
        <v>0.299</v>
      </c>
      <c r="AN11" s="41">
        <f>INDEX('Retention'!$H$11:$BO$11,1,AN$6+1)</f>
        <v>0.296</v>
      </c>
      <c r="AO11" s="41">
        <f>INDEX('Retention'!$H$11:$BO$11,1,AO$6+1)</f>
        <v>0.293</v>
      </c>
      <c r="AP11" s="41">
        <f>INDEX('Retention'!$H$11:$BO$11,1,AP$6+1)</f>
        <v>0.29</v>
      </c>
      <c r="AQ11" s="41">
        <f>INDEX('Retention'!$H$11:$BO$11,1,AQ$6+1)</f>
        <v>0.287</v>
      </c>
    </row>
    <row r="12" ht="22" customHeight="1">
      <c r="A12" s="2" t="str">
        <v>Q</v>
      </c>
      <c r="B12" s="6" t="str">
        <v>Survival from the previous age</v>
      </c>
      <c r="C12" s="2" t="str">
        <v>fraction</v>
      </c>
      <c r="D12" s="2" t="str">
        <v>NA</v>
      </c>
      <c r="E12" s="2"/>
      <c r="F12" s="6" t="str"/>
      <c r="G12" s="2"/>
      <c r="H12" s="40">
        <f>1</f>
        <v>1</v>
      </c>
      <c r="I12" s="40">
        <f>IF(H11&gt;0,I11/H11,0)</f>
        <v>0.7</v>
      </c>
      <c r="J12" s="40">
        <f>IF(I11&gt;0,J11/I11,0)</f>
        <v>0.8571428571428572</v>
      </c>
      <c r="K12" s="40">
        <f>IF(J11&gt;0,K11/J11,0)</f>
        <v>0.9166666666666667</v>
      </c>
      <c r="L12" s="40">
        <f>IF(K11&gt;0,L11/K11,0)</f>
        <v>0.9090909090909091</v>
      </c>
      <c r="M12" s="40">
        <f>IF(L11&gt;0,M11/L11,0)</f>
        <v>0.94</v>
      </c>
      <c r="N12" s="40">
        <f>IF(M11&gt;0,N11/M11,0)</f>
        <v>0.9574468085106383</v>
      </c>
      <c r="O12" s="40">
        <f>IF(N11&gt;0,O11/N11,0)</f>
        <v>0.9555555555555555</v>
      </c>
      <c r="P12" s="40">
        <f>IF(O11&gt;0,P11/O11,0)</f>
        <v>0.9534883720930232</v>
      </c>
      <c r="Q12" s="40">
        <f>IF(P11&gt;0,Q11/P11,0)</f>
        <v>0.951219512195122</v>
      </c>
      <c r="R12" s="40">
        <f>IF(Q11&gt;0,R11/Q11,0)</f>
        <v>0.9743589743589743</v>
      </c>
      <c r="S12" s="40">
        <f>IF(R11&gt;0,S11/R11,0)</f>
        <v>0.9736842105263158</v>
      </c>
      <c r="T12" s="40">
        <f>IF(S11&gt;0,T11/S11,0)</f>
        <v>0.9729729729729729</v>
      </c>
      <c r="U12" s="40">
        <f>IF(T11&gt;0,U11/T11,0)</f>
        <v>0.9930555555555556</v>
      </c>
      <c r="V12" s="40">
        <f>IF(U11&gt;0,V11/U11,0)</f>
        <v>0.993006993006993</v>
      </c>
      <c r="W12" s="40">
        <f>IF(V11&gt;0,W11/V11,0)</f>
        <v>0.9929577464788732</v>
      </c>
      <c r="X12" s="40">
        <f>IF(W11&gt;0,X11/W11,0)</f>
        <v>0.9929078014184397</v>
      </c>
      <c r="Y12" s="40">
        <f>IF(X11&gt;0,Y11/X11,0)</f>
        <v>0.9928571428571429</v>
      </c>
      <c r="Z12" s="40">
        <f>IF(Y11&gt;0,Z11/Y11,0)</f>
        <v>0.9928057553956835</v>
      </c>
      <c r="AA12" s="40">
        <f>IF(Z11&gt;0,AA11/Z11,0)</f>
        <v>0.992753623188406</v>
      </c>
      <c r="AB12" s="40">
        <f>IF(AA11&gt;0,AB11/AA11,0)</f>
        <v>0.9927007299270073</v>
      </c>
      <c r="AC12" s="40">
        <f>IF(AB11&gt;0,AC11/AB11,0)</f>
        <v>0.9926470588235294</v>
      </c>
      <c r="AD12" s="40">
        <f>IF(AC11&gt;0,AD11/AC11,0)</f>
        <v>0.9925925925925926</v>
      </c>
      <c r="AE12" s="40">
        <f>IF(AD11&gt;0,AE11/AD11,0)</f>
        <v>0.9925373134328358</v>
      </c>
      <c r="AF12" s="40">
        <f>IF(AE11&gt;0,AF11/AE11,0)</f>
        <v>0.9924812030075187</v>
      </c>
      <c r="AG12" s="40">
        <f>IF(AF11&gt;0,AG11/AF11,0)</f>
        <v>0.9833333333333333</v>
      </c>
      <c r="AH12" s="40">
        <f>IF(AG11&gt;0,AH11/AG11,0)</f>
        <v>0.983050847457627</v>
      </c>
      <c r="AI12" s="40">
        <f>IF(AH11&gt;0,AI11/AH11,0)</f>
        <v>0.9827586206896551</v>
      </c>
      <c r="AJ12" s="40">
        <f>IF(AI11&gt;0,AJ11/AI11,0)</f>
        <v>0.9824561403508771</v>
      </c>
      <c r="AK12" s="40">
        <f>IF(AJ11&gt;0,AK11/AJ11,0)</f>
        <v>0.9902597402597403</v>
      </c>
      <c r="AL12" s="40">
        <f>IF(AK11&gt;0,AL11/AK11,0)</f>
        <v>0.9901639344262295</v>
      </c>
      <c r="AM12" s="40">
        <f>IF(AL11&gt;0,AM11/AL11,0)</f>
        <v>0.9900662251655629</v>
      </c>
      <c r="AN12" s="40">
        <f>IF(AM11&gt;0,AN11/AM11,0)</f>
        <v>0.9899665551839465</v>
      </c>
      <c r="AO12" s="40">
        <f>IF(AN11&gt;0,AO11/AN11,0)</f>
        <v>0.9898648648648648</v>
      </c>
      <c r="AP12" s="40">
        <f>IF(AO11&gt;0,AP11/AO11,0)</f>
        <v>0.9897610921501706</v>
      </c>
      <c r="AQ12" s="40">
        <f>IF(AP11&gt;0,AQ11/AP11,0)</f>
        <v>0.9896551724137931</v>
      </c>
    </row>
    <row r="13" ht="22" customHeight="1">
      <c r="A13" s="2" t="str">
        <v>R1_GATE</v>
      </c>
      <c r="B13" s="6" t="str">
        <v>Subscriptions launched (1 = yes)</v>
      </c>
      <c r="C13" s="2" t="str">
        <v>flag</v>
      </c>
      <c r="D13" s="2" t="str">
        <v>NA</v>
      </c>
      <c r="E13" s="2"/>
      <c r="F13" s="6" t="str"/>
      <c r="G13" s="2"/>
      <c r="H13" s="38">
        <f>IF('Inputs'!$E$52+H$6&gt;='Inputs'!$E$11,1,0)</f>
        <v>1</v>
      </c>
      <c r="I13" s="38">
        <f>IF('Inputs'!$E$52+I$6&gt;='Inputs'!$E$11,1,0)</f>
        <v>1</v>
      </c>
      <c r="J13" s="38">
        <f>IF('Inputs'!$E$52+J$6&gt;='Inputs'!$E$11,1,0)</f>
        <v>1</v>
      </c>
      <c r="K13" s="38">
        <f>IF('Inputs'!$E$52+K$6&gt;='Inputs'!$E$11,1,0)</f>
        <v>1</v>
      </c>
      <c r="L13" s="38">
        <f>IF('Inputs'!$E$52+L$6&gt;='Inputs'!$E$11,1,0)</f>
        <v>1</v>
      </c>
      <c r="M13" s="38">
        <f>IF('Inputs'!$E$52+M$6&gt;='Inputs'!$E$11,1,0)</f>
        <v>1</v>
      </c>
      <c r="N13" s="38">
        <f>IF('Inputs'!$E$52+N$6&gt;='Inputs'!$E$11,1,0)</f>
        <v>1</v>
      </c>
      <c r="O13" s="38">
        <f>IF('Inputs'!$E$52+O$6&gt;='Inputs'!$E$11,1,0)</f>
        <v>1</v>
      </c>
      <c r="P13" s="38">
        <f>IF('Inputs'!$E$52+P$6&gt;='Inputs'!$E$11,1,0)</f>
        <v>1</v>
      </c>
      <c r="Q13" s="38">
        <f>IF('Inputs'!$E$52+Q$6&gt;='Inputs'!$E$11,1,0)</f>
        <v>1</v>
      </c>
      <c r="R13" s="38">
        <f>IF('Inputs'!$E$52+R$6&gt;='Inputs'!$E$11,1,0)</f>
        <v>1</v>
      </c>
      <c r="S13" s="38">
        <f>IF('Inputs'!$E$52+S$6&gt;='Inputs'!$E$11,1,0)</f>
        <v>1</v>
      </c>
      <c r="T13" s="38">
        <f>IF('Inputs'!$E$52+T$6&gt;='Inputs'!$E$11,1,0)</f>
        <v>1</v>
      </c>
      <c r="U13" s="38">
        <f>IF('Inputs'!$E$52+U$6&gt;='Inputs'!$E$11,1,0)</f>
        <v>1</v>
      </c>
      <c r="V13" s="38">
        <f>IF('Inputs'!$E$52+V$6&gt;='Inputs'!$E$11,1,0)</f>
        <v>1</v>
      </c>
      <c r="W13" s="38">
        <f>IF('Inputs'!$E$52+W$6&gt;='Inputs'!$E$11,1,0)</f>
        <v>1</v>
      </c>
      <c r="X13" s="38">
        <f>IF('Inputs'!$E$52+X$6&gt;='Inputs'!$E$11,1,0)</f>
        <v>1</v>
      </c>
      <c r="Y13" s="38">
        <f>IF('Inputs'!$E$52+Y$6&gt;='Inputs'!$E$11,1,0)</f>
        <v>1</v>
      </c>
      <c r="Z13" s="38">
        <f>IF('Inputs'!$E$52+Z$6&gt;='Inputs'!$E$11,1,0)</f>
        <v>1</v>
      </c>
      <c r="AA13" s="38">
        <f>IF('Inputs'!$E$52+AA$6&gt;='Inputs'!$E$11,1,0)</f>
        <v>1</v>
      </c>
      <c r="AB13" s="38">
        <f>IF('Inputs'!$E$52+AB$6&gt;='Inputs'!$E$11,1,0)</f>
        <v>1</v>
      </c>
      <c r="AC13" s="38">
        <f>IF('Inputs'!$E$52+AC$6&gt;='Inputs'!$E$11,1,0)</f>
        <v>1</v>
      </c>
      <c r="AD13" s="38">
        <f>IF('Inputs'!$E$52+AD$6&gt;='Inputs'!$E$11,1,0)</f>
        <v>1</v>
      </c>
      <c r="AE13" s="38">
        <f>IF('Inputs'!$E$52+AE$6&gt;='Inputs'!$E$11,1,0)</f>
        <v>1</v>
      </c>
      <c r="AF13" s="38">
        <f>IF('Inputs'!$E$52+AF$6&gt;='Inputs'!$E$11,1,0)</f>
        <v>1</v>
      </c>
      <c r="AG13" s="38">
        <f>IF('Inputs'!$E$52+AG$6&gt;='Inputs'!$E$11,1,0)</f>
        <v>1</v>
      </c>
      <c r="AH13" s="38">
        <f>IF('Inputs'!$E$52+AH$6&gt;='Inputs'!$E$11,1,0)</f>
        <v>1</v>
      </c>
      <c r="AI13" s="38">
        <f>IF('Inputs'!$E$52+AI$6&gt;='Inputs'!$E$11,1,0)</f>
        <v>1</v>
      </c>
      <c r="AJ13" s="38">
        <f>IF('Inputs'!$E$52+AJ$6&gt;='Inputs'!$E$11,1,0)</f>
        <v>1</v>
      </c>
      <c r="AK13" s="38">
        <f>IF('Inputs'!$E$52+AK$6&gt;='Inputs'!$E$11,1,0)</f>
        <v>1</v>
      </c>
      <c r="AL13" s="38">
        <f>IF('Inputs'!$E$52+AL$6&gt;='Inputs'!$E$11,1,0)</f>
        <v>1</v>
      </c>
      <c r="AM13" s="38">
        <f>IF('Inputs'!$E$52+AM$6&gt;='Inputs'!$E$11,1,0)</f>
        <v>1</v>
      </c>
      <c r="AN13" s="38">
        <f>IF('Inputs'!$E$52+AN$6&gt;='Inputs'!$E$11,1,0)</f>
        <v>1</v>
      </c>
      <c r="AO13" s="38">
        <f>IF('Inputs'!$E$52+AO$6&gt;='Inputs'!$E$11,1,0)</f>
        <v>1</v>
      </c>
      <c r="AP13" s="38">
        <f>IF('Inputs'!$E$52+AP$6&gt;='Inputs'!$E$11,1,0)</f>
        <v>1</v>
      </c>
      <c r="AQ13" s="38">
        <f>IF('Inputs'!$E$52+AQ$6&gt;='Inputs'!$E$11,1,0)</f>
        <v>1</v>
      </c>
    </row>
    <row r="14" ht="22" customHeight="1">
      <c r="A14" s="2" t="str">
        <v>FREE_BEFORE</v>
      </c>
      <c r="B14" s="6" t="str">
        <v>Active non-payers before conversion</v>
      </c>
      <c r="C14" s="2" t="str">
        <v>count</v>
      </c>
      <c r="D14" s="2" t="str">
        <v>NA</v>
      </c>
      <c r="E14" s="2"/>
      <c r="F14" s="6" t="str"/>
      <c r="G14" s="2"/>
      <c r="H14" s="37">
        <f>MAX(0,H11-SUM(0,0,0,0)*H12)</f>
        <v>1</v>
      </c>
      <c r="I14" s="37">
        <f>MAX(0,I11-SUM(H17,H22,H25,H30)*I12)</f>
        <v>0.644</v>
      </c>
      <c r="J14" s="37">
        <f>MAX(0,J11-SUM(I17,I22,I25,I30)*J12)</f>
        <v>0.550608</v>
      </c>
      <c r="K14" s="37">
        <f>MAX(0,K11-SUM(J17,J22,J25,J30)*K12)</f>
        <v>0.503463752</v>
      </c>
      <c r="L14" s="37">
        <f>MAX(0,L11-SUM(K17,K22,K25,K30)*L12)</f>
        <v>0.4565618072</v>
      </c>
      <c r="M14" s="37">
        <f>MAX(0,M11-SUM(L17,L22,L25,L30)*M12)</f>
        <v>0.4281149335604032</v>
      </c>
      <c r="N14" s="37">
        <f>MAX(0,N11-SUM(M17,M22,M25,M30)*N12)</f>
        <v>0.40889898979833544</v>
      </c>
      <c r="O14" s="37">
        <f>MAX(0,O11-SUM(N17,N22,N25,N30)*O12)</f>
        <v>0.3897806638947713</v>
      </c>
      <c r="P14" s="37">
        <f>MAX(0,P11-SUM(O17,O22,O25,O30)*P12)</f>
        <v>0.37075808319138887</v>
      </c>
      <c r="Q14" s="37">
        <f>MAX(0,Q11-SUM(P17,P22,P25,P30)*Q12)</f>
        <v>0.3518295559301344</v>
      </c>
      <c r="R14" s="37">
        <f>MAX(0,R11-SUM(Q17,Q22,Q25,Q30)*R12)</f>
        <v>0.34199337706684285</v>
      </c>
      <c r="S14" s="37">
        <f>MAX(0,S11-SUM(R17,R22,R25,R30)*S12)</f>
        <v>0.3322057495116685</v>
      </c>
      <c r="T14" s="37">
        <f>MAX(0,T11-SUM(S17,S22,S25,S30)*T12)</f>
        <v>0.3224658411654713</v>
      </c>
      <c r="U14" s="37">
        <f>MAX(0,U11-SUM(T17,T22,T25,T30)*U12)</f>
        <v>0.32505217210703297</v>
      </c>
      <c r="V14" s="37">
        <f>MAX(0,V11-SUM(U17,U22,U25,U30)*V12)</f>
        <v>0.3225026325929638</v>
      </c>
      <c r="W14" s="37">
        <f>MAX(0,W11-SUM(V17,V22,V25,V30)*W12)</f>
        <v>0.31995891442058166</v>
      </c>
      <c r="X14" s="37">
        <f>MAX(0,X11-SUM(W17,W22,W25,W30)*X12)</f>
        <v>0.3174207495025337</v>
      </c>
      <c r="Y14" s="37">
        <f>MAX(0,Y11-SUM(X17,X22,X25,X30)*Y12)</f>
        <v>0.314887898070329</v>
      </c>
      <c r="Z14" s="37">
        <f>MAX(0,Z11-SUM(Y17,Y22,Y25,Y30)*Z12)</f>
        <v>0.31236014581993715</v>
      </c>
      <c r="AA14" s="37">
        <f>MAX(0,AA11-SUM(Z17,Z22,Z25,Z30)*AA12)</f>
        <v>0.30983730134333076</v>
      </c>
      <c r="AB14" s="37">
        <f>MAX(0,AB11-SUM(AA17,AA22,AA25,AA30)*AB12)</f>
        <v>0.3073191938173966</v>
      </c>
      <c r="AC14" s="37">
        <f>MAX(0,AC11-SUM(AB17,AB22,AB25,AB30)*AC12)</f>
        <v>0.30480567092448974</v>
      </c>
      <c r="AD14" s="37">
        <f>MAX(0,AD11-SUM(AC17,AC22,AC25,AC30)*AD12)</f>
        <v>0.3022965969814714</v>
      </c>
      <c r="AE14" s="37">
        <f>MAX(0,AE11-SUM(AD17,AD22,AD25,AD30)*AE12)</f>
        <v>0.29979185125638114</v>
      </c>
      <c r="AF14" s="37">
        <f>MAX(0,AF11-SUM(AE17,AE22,AE25,AE30)*AF12)</f>
        <v>0.29729132645397544</v>
      </c>
      <c r="AG14" s="37">
        <f>MAX(0,AG11-SUM(AF17,AF22,AF25,AF30)*AG12)</f>
        <v>0.2938662858049634</v>
      </c>
      <c r="AH14" s="37">
        <f>MAX(0,AH11-SUM(AG17,AG22,AG25,AG30)*AH12)</f>
        <v>0.2888020237949106</v>
      </c>
      <c r="AI14" s="37">
        <f>MAX(0,AI11-SUM(AH17,AH22,AH25,AH30)*AI12)</f>
        <v>0.28374077207018694</v>
      </c>
      <c r="AJ14" s="37">
        <f>MAX(0,AJ11-SUM(AI17,AI22,AI25,AI30)*AJ12)</f>
        <v>0.2786824670767654</v>
      </c>
      <c r="AK14" s="37">
        <f>MAX(0,AK11-SUM(AJ17,AJ22,AJ25,AJ30)*AK12)</f>
        <v>0.27588843531545104</v>
      </c>
      <c r="AL14" s="37">
        <f>MAX(0,AL11-SUM(AK17,AK22,AK25,AK30)*AL12)</f>
        <v>0.27309594530997644</v>
      </c>
      <c r="AM14" s="37">
        <f>MAX(0,AM11-SUM(AL17,AL22,AL25,AL30)*AM12)</f>
        <v>0.2703049573311528</v>
      </c>
      <c r="AN14" s="37">
        <f>MAX(0,AN11-SUM(AM17,AM22,AM25,AM30)*AN12)</f>
        <v>0.2675154371844906</v>
      </c>
      <c r="AO14" s="37">
        <f>MAX(0,AO11-SUM(AN17,AN22,AN25,AN30)*AO12)</f>
        <v>0.26472735564410876</v>
      </c>
      <c r="AP14" s="37">
        <f>MAX(0,AP11-SUM(AO17,AO22,AO25,AO30)*AP12)</f>
        <v>0.2619406879438343</v>
      </c>
      <c r="AQ14" s="37">
        <f>MAX(0,AQ11-SUM(AP17,AP22,AP25,AP30)*AQ12)</f>
        <v>0.25915541331973696</v>
      </c>
    </row>
    <row r="15" ht="22" customHeight="1">
      <c r="A15" s="2" t="str">
        <v>NEW</v>
      </c>
      <c r="B15" s="6" t="str">
        <v>New paying subscribers</v>
      </c>
      <c r="C15" s="2" t="str">
        <v>count</v>
      </c>
      <c r="D15" s="2" t="str">
        <v>NA</v>
      </c>
      <c r="E15" s="2"/>
      <c r="F15" s="6" t="str"/>
      <c r="G15" s="2"/>
      <c r="H15" s="38">
        <f>H14*'Inputs'!$E$20*H13</f>
        <v>0.08</v>
      </c>
      <c r="I15" s="38">
        <f>I14*'Inputs'!$E$21*I13</f>
        <v>0.005152</v>
      </c>
      <c r="J15" s="38">
        <f>J14*'Inputs'!$E$21*J13</f>
        <v>0.004404864</v>
      </c>
      <c r="K15" s="38">
        <f>K14*'Inputs'!$E$21*K13</f>
        <v>0.004027710016</v>
      </c>
      <c r="L15" s="38">
        <f>L14*'Inputs'!$E$21*L13</f>
        <v>0.0036524944576</v>
      </c>
      <c r="M15" s="38">
        <f>M14*'Inputs'!$E$21*M13</f>
        <v>0.0034249194684832255</v>
      </c>
      <c r="N15" s="38">
        <f>N14*'Inputs'!$E$21*N13</f>
        <v>0.0032711919183866837</v>
      </c>
      <c r="O15" s="38">
        <f>O14*'Inputs'!$E$21*O13</f>
        <v>0.0031182453111581704</v>
      </c>
      <c r="P15" s="38">
        <f>P14*'Inputs'!$E$21*P13</f>
        <v>0.002966064665531111</v>
      </c>
      <c r="Q15" s="38">
        <f>Q14*'Inputs'!$E$21*Q13</f>
        <v>0.002814636447441075</v>
      </c>
      <c r="R15" s="38">
        <f>R14*'Inputs'!$E$21*R13</f>
        <v>0.002735947016534743</v>
      </c>
      <c r="S15" s="38">
        <f>S14*'Inputs'!$E$21*S13</f>
        <v>0.0026576459960933477</v>
      </c>
      <c r="T15" s="38">
        <f>T14*'Inputs'!$E$21*T13</f>
        <v>0.0025797267293237703</v>
      </c>
      <c r="U15" s="38">
        <f>U14*'Inputs'!$E$21*U13</f>
        <v>0.002600417376856264</v>
      </c>
      <c r="V15" s="38">
        <f>V14*'Inputs'!$E$21*V13</f>
        <v>0.0025800210607437105</v>
      </c>
      <c r="W15" s="38">
        <f>W14*'Inputs'!$E$21*W13</f>
        <v>0.0025596713153646536</v>
      </c>
      <c r="X15" s="38">
        <f>X14*'Inputs'!$E$21*X13</f>
        <v>0.0025393659960202693</v>
      </c>
      <c r="Y15" s="38">
        <f>Y14*'Inputs'!$E$21*Y13</f>
        <v>0.002519103184562632</v>
      </c>
      <c r="Z15" s="38">
        <f>Z14*'Inputs'!$E$21*Z13</f>
        <v>0.002498881166559497</v>
      </c>
      <c r="AA15" s="38">
        <f>AA14*'Inputs'!$E$21*AA13</f>
        <v>0.002478698410746646</v>
      </c>
      <c r="AB15" s="38">
        <f>AB14*'Inputs'!$E$21*AB13</f>
        <v>0.002458553550539173</v>
      </c>
      <c r="AC15" s="38">
        <f>AC14*'Inputs'!$E$21*AC13</f>
        <v>0.002438445367395918</v>
      </c>
      <c r="AD15" s="38">
        <f>AD14*'Inputs'!$E$21*AD13</f>
        <v>0.002418372775851771</v>
      </c>
      <c r="AE15" s="38">
        <f>AE14*'Inputs'!$E$21*AE13</f>
        <v>0.002398334810051049</v>
      </c>
      <c r="AF15" s="38">
        <f>AF14*'Inputs'!$E$21*AF13</f>
        <v>0.0023783306116318035</v>
      </c>
      <c r="AG15" s="38">
        <f>AG14*'Inputs'!$E$21*AG13</f>
        <v>0.0023509302864397072</v>
      </c>
      <c r="AH15" s="38">
        <f>AH14*'Inputs'!$E$21*AH13</f>
        <v>0.002310416190359285</v>
      </c>
      <c r="AI15" s="38">
        <f>AI14*'Inputs'!$E$21*AI13</f>
        <v>0.0022699261765614957</v>
      </c>
      <c r="AJ15" s="38">
        <f>AJ14*'Inputs'!$E$21*AJ13</f>
        <v>0.0022294597366141235</v>
      </c>
      <c r="AK15" s="38">
        <f>AK14*'Inputs'!$E$21*AK13</f>
        <v>0.0022071074825236086</v>
      </c>
      <c r="AL15" s="38">
        <f>AL14*'Inputs'!$E$21*AL13</f>
        <v>0.0021847675624798116</v>
      </c>
      <c r="AM15" s="38">
        <f>AM14*'Inputs'!$E$21*AM13</f>
        <v>0.0021624396586492223</v>
      </c>
      <c r="AN15" s="38">
        <f>AN14*'Inputs'!$E$21*AN13</f>
        <v>0.002140123497475925</v>
      </c>
      <c r="AO15" s="38">
        <f>AO14*'Inputs'!$E$21*AO13</f>
        <v>0.00211781884515287</v>
      </c>
      <c r="AP15" s="38">
        <f>AP14*'Inputs'!$E$21*AP13</f>
        <v>0.0020955255035506742</v>
      </c>
      <c r="AQ15" s="38">
        <f>AQ14*'Inputs'!$E$21*AQ13</f>
        <v>0.0020732433065578956</v>
      </c>
    </row>
    <row r="16" ht="22" customHeight="1">
      <c r="A16" s="2" t="str">
        <v>PLUS.M</v>
      </c>
      <c r="B16" s="6" t="str">
        <v>Plus monthly plans</v>
      </c>
      <c r="C16" s="2" t="str">
        <v>count</v>
      </c>
      <c r="D16" s="2" t="str">
        <v>NA</v>
      </c>
      <c r="E16" s="2"/>
      <c r="F16" s="6" t="str"/>
      <c r="G16" s="2"/>
      <c r="H16" s="38">
        <f>0*(1-'Inputs'!$E$23)+H15*(1-'Inputs'!$E$19)*(1-'Inputs'!$E$22)</f>
        <v>0.041999999999999996</v>
      </c>
      <c r="I16" s="38">
        <f>H16*(1-'Inputs'!$E$23)+I15*(1-'Inputs'!$E$19)*(1-'Inputs'!$E$22)</f>
        <v>0.0409248</v>
      </c>
      <c r="J16" s="38">
        <f>I16*(1-'Inputs'!$E$23)+J15*(1-'Inputs'!$E$19)*(1-'Inputs'!$E$22)</f>
        <v>0.03955412159999999</v>
      </c>
      <c r="K16" s="38">
        <f>J16*(1-'Inputs'!$E$23)+K15*(1-'Inputs'!$E$19)*(1-'Inputs'!$E$22)</f>
        <v>0.03810879841439999</v>
      </c>
      <c r="L16" s="38">
        <f>K16*(1-'Inputs'!$E$23)+L15*(1-'Inputs'!$E$19)*(1-'Inputs'!$E$22)</f>
        <v>0.036596566147343995</v>
      </c>
      <c r="M16" s="38">
        <f>L16*(1-'Inputs'!$E$23)+M15*(1-'Inputs'!$E$19)*(1-'Inputs'!$E$22)</f>
        <v>0.03510095791503673</v>
      </c>
      <c r="N16" s="38">
        <f>M16*(1-'Inputs'!$E$23)+N15*(1-'Inputs'!$E$19)*(1-'Inputs'!$E$22)</f>
        <v>0.03365924745983643</v>
      </c>
      <c r="O16" s="38">
        <f>N16*(1-'Inputs'!$E$23)+O15*(1-'Inputs'!$E$19)*(1-'Inputs'!$E$22)</f>
        <v>0.03226699397680919</v>
      </c>
      <c r="P16" s="38">
        <f>O16*(1-'Inputs'!$E$23)+P15*(1-'Inputs'!$E$19)*(1-'Inputs'!$E$22)</f>
        <v>0.0309201484683002</v>
      </c>
      <c r="Q16" s="38">
        <f>P16*(1-'Inputs'!$E$23)+Q15*(1-'Inputs'!$E$19)*(1-'Inputs'!$E$22)</f>
        <v>0.029615019241059748</v>
      </c>
      <c r="R16" s="38">
        <f>Q16*(1-'Inputs'!$E$23)+R15*(1-'Inputs'!$E$19)*(1-'Inputs'!$E$22)</f>
        <v>0.02838603969304511</v>
      </c>
      <c r="S16" s="38">
        <f>R16*(1-'Inputs'!$E$23)+S15*(1-'Inputs'!$E$19)*(1-'Inputs'!$E$22)</f>
        <v>0.027226560268620057</v>
      </c>
      <c r="T16" s="38">
        <f>S16*(1-'Inputs'!$E$23)+T15*(1-'Inputs'!$E$19)*(1-'Inputs'!$E$22)</f>
        <v>0.02613052637733923</v>
      </c>
      <c r="U16" s="38">
        <f>T16*(1-'Inputs'!$E$23)+U15*(1-'Inputs'!$E$19)*(1-'Inputs'!$E$22)</f>
        <v>0.025143998126228237</v>
      </c>
      <c r="V16" s="38">
        <f>U16*(1-'Inputs'!$E$23)+V15*(1-'Inputs'!$E$19)*(1-'Inputs'!$E$22)</f>
        <v>0.024235549351758142</v>
      </c>
      <c r="W16" s="38">
        <f>V16*(1-'Inputs'!$E$23)+W15*(1-'Inputs'!$E$19)*(1-'Inputs'!$E$22)</f>
        <v>0.023398177350666353</v>
      </c>
      <c r="X16" s="38">
        <f>W16*(1-'Inputs'!$E$23)+X15*(1-'Inputs'!$E$19)*(1-'Inputs'!$E$22)</f>
        <v>0.022625508537017024</v>
      </c>
      <c r="Y16" s="38">
        <f>X16*(1-'Inputs'!$E$23)+Y15*(1-'Inputs'!$E$19)*(1-'Inputs'!$E$22)</f>
        <v>0.021911741940580876</v>
      </c>
      <c r="Z16" s="38">
        <f>Y16*(1-'Inputs'!$E$23)+Z15*(1-'Inputs'!$E$19)*(1-'Inputs'!$E$22)</f>
        <v>0.021251597778372332</v>
      </c>
      <c r="AA16" s="38">
        <f>Z16*(1-'Inputs'!$E$23)+AA15*(1-'Inputs'!$E$19)*(1-'Inputs'!$E$22)</f>
        <v>0.020640270643960814</v>
      </c>
      <c r="AB16" s="38">
        <f>AA16*(1-'Inputs'!$E$23)+AB15*(1-'Inputs'!$E$19)*(1-'Inputs'!$E$22)</f>
        <v>0.020073386900037408</v>
      </c>
      <c r="AC16" s="38">
        <f>AB16*(1-'Inputs'!$E$23)+AC15*(1-'Inputs'!$E$19)*(1-'Inputs'!$E$22)</f>
        <v>0.019546965896916898</v>
      </c>
      <c r="AD16" s="38">
        <f>AC16*(1-'Inputs'!$E$23)+AD15*(1-'Inputs'!$E$19)*(1-'Inputs'!$E$22)</f>
        <v>0.01905738467351656</v>
      </c>
      <c r="AE16" s="38">
        <f>AD16*(1-'Inputs'!$E$23)+AE15*(1-'Inputs'!$E$19)*(1-'Inputs'!$E$22)</f>
        <v>0.01860134582817687</v>
      </c>
      <c r="AF16" s="38">
        <f>AE16*(1-'Inputs'!$E$23)+AF15*(1-'Inputs'!$E$19)*(1-'Inputs'!$E$22)</f>
        <v>0.01817584827474765</v>
      </c>
      <c r="AG16" s="38">
        <f>AF16*(1-'Inputs'!$E$23)+AG15*(1-'Inputs'!$E$19)*(1-'Inputs'!$E$22)</f>
        <v>0.017774260330401206</v>
      </c>
      <c r="AH16" s="38">
        <f>AG16*(1-'Inputs'!$E$23)+AH15*(1-'Inputs'!$E$19)*(1-'Inputs'!$E$22)</f>
        <v>0.01738754540060372</v>
      </c>
      <c r="AI16" s="38">
        <f>AH16*(1-'Inputs'!$E$23)+AI15*(1-'Inputs'!$E$19)*(1-'Inputs'!$E$22)</f>
        <v>0.01701437755724417</v>
      </c>
      <c r="AJ16" s="38">
        <f>AI16*(1-'Inputs'!$E$23)+AJ15*(1-'Inputs'!$E$19)*(1-'Inputs'!$E$22)</f>
        <v>0.016653549938814613</v>
      </c>
      <c r="AK16" s="38">
        <f>AJ16*(1-'Inputs'!$E$23)+AK15*(1-'Inputs'!$E$19)*(1-'Inputs'!$E$22)</f>
        <v>0.016313461872646193</v>
      </c>
      <c r="AL16" s="38">
        <f>AK16*(1-'Inputs'!$E$23)+AL15*(1-'Inputs'!$E$19)*(1-'Inputs'!$E$22)</f>
        <v>0.015992253274409937</v>
      </c>
      <c r="AM16" s="38">
        <f>AL16*(1-'Inputs'!$E$23)+AM15*(1-'Inputs'!$E$19)*(1-'Inputs'!$E$22)</f>
        <v>0.015688231300503886</v>
      </c>
      <c r="AN16" s="38">
        <f>AM16*(1-'Inputs'!$E$23)+AN15*(1-'Inputs'!$E$19)*(1-'Inputs'!$E$22)</f>
        <v>0.015399855319633398</v>
      </c>
      <c r="AO16" s="38">
        <f>AN16*(1-'Inputs'!$E$23)+AO15*(1-'Inputs'!$E$19)*(1-'Inputs'!$E$22)</f>
        <v>0.01512572323457165</v>
      </c>
      <c r="AP16" s="38">
        <f>AO16*(1-'Inputs'!$E$23)+AP15*(1-'Inputs'!$E$19)*(1-'Inputs'!$E$22)</f>
        <v>0.014864559032824305</v>
      </c>
      <c r="AQ16" s="38">
        <f>AP16*(1-'Inputs'!$E$23)+AQ15*(1-'Inputs'!$E$19)*(1-'Inputs'!$E$22)</f>
        <v>0.014615201455813014</v>
      </c>
    </row>
    <row r="17" ht="22" customHeight="1">
      <c r="A17" s="2" t="str">
        <v>PLUS.MA</v>
      </c>
      <c r="B17" s="6" t="str">
        <v>Plus monthly plans, active users</v>
      </c>
      <c r="C17" s="2" t="str">
        <v>count</v>
      </c>
      <c r="D17" s="2" t="str">
        <v>NA</v>
      </c>
      <c r="E17" s="2"/>
      <c r="F17" s="6" t="str"/>
      <c r="G17" s="2"/>
      <c r="H17" s="38">
        <f>0*H12*(1-'Inputs'!$E$23)+H15*(1-'Inputs'!$E$19)*(1-'Inputs'!$E$22)</f>
        <v>0.041999999999999996</v>
      </c>
      <c r="I17" s="38">
        <f>H17*I12*(1-'Inputs'!$E$23)+I15*(1-'Inputs'!$E$19)*(1-'Inputs'!$E$22)</f>
        <v>0.029458799999999997</v>
      </c>
      <c r="J17" s="38">
        <f>I17*J12*(1-'Inputs'!$E$23)+J15*(1-'Inputs'!$E$19)*(1-'Inputs'!$E$22)</f>
        <v>0.0252904176</v>
      </c>
      <c r="K17" s="38">
        <f>J17*K12*(1-'Inputs'!$E$23)+K15*(1-'Inputs'!$E$19)*(1-'Inputs'!$E$22)</f>
        <v>0.023210971106400004</v>
      </c>
      <c r="L17" s="38">
        <f>K17*L12*(1-'Inputs'!$E$23)+L15*(1-'Inputs'!$E$19)*(1-'Inputs'!$E$22)</f>
        <v>0.02111936296008</v>
      </c>
      <c r="M17" s="38">
        <f>L17*M12*(1-'Inputs'!$E$23)+M15*(1-'Inputs'!$E$19)*(1-'Inputs'!$E$22)</f>
        <v>0.019863585797006124</v>
      </c>
      <c r="N17" s="38">
        <f>M17*N12*(1-'Inputs'!$E$23)+N15*(1-'Inputs'!$E$19)*(1-'Inputs'!$E$22)</f>
        <v>0.019024053169650897</v>
      </c>
      <c r="O17" s="38">
        <f>N17*O12*(1-'Inputs'!$E$23)+O15*(1-'Inputs'!$E$19)*(1-'Inputs'!$E$22)</f>
        <v>0.01817954991121225</v>
      </c>
      <c r="P17" s="38">
        <f>O17*P12*(1-'Inputs'!$E$23)+P15*(1-'Inputs'!$E$19)*(1-'Inputs'!$E$22)</f>
        <v>0.01733111434910916</v>
      </c>
      <c r="Q17" s="38">
        <f>P17*Q12*(1-'Inputs'!$E$23)+Q15*(1-'Inputs'!$E$19)*(1-'Inputs'!$E$22)</f>
        <v>0.016479665799537885</v>
      </c>
      <c r="R17" s="38">
        <f>Q17*R12*(1-'Inputs'!$E$23)+R15*(1-'Inputs'!$E$19)*(1-'Inputs'!$E$22)</f>
        <v>0.016048342525937665</v>
      </c>
      <c r="S17" s="38">
        <f>R17*S12*(1-'Inputs'!$E$23)+S15*(1-'Inputs'!$E$19)*(1-'Inputs'!$E$22)</f>
        <v>0.015614940275536407</v>
      </c>
      <c r="T17" s="38">
        <f>S17*T12*(1-'Inputs'!$E$23)+T15*(1-'Inputs'!$E$19)*(1-'Inputs'!$E$22)</f>
        <v>0.015179909057937483</v>
      </c>
      <c r="U17" s="38">
        <f>T17*U12*(1-'Inputs'!$E$23)+U15*(1-'Inputs'!$E$19)*(1-'Inputs'!$E$22)</f>
        <v>0.015083007773609294</v>
      </c>
      <c r="V17" s="38">
        <f>U17*V12*(1-'Inputs'!$E$23)+V15*(1-'Inputs'!$E$19)*(1-'Inputs'!$E$22)</f>
        <v>0.014984065354133755</v>
      </c>
      <c r="W17" s="38">
        <f>V17*W12*(1-'Inputs'!$E$23)+W15*(1-'Inputs'!$E$19)*(1-'Inputs'!$E$22)</f>
        <v>0.014883302268657304</v>
      </c>
      <c r="X17" s="38">
        <f>W17*X12*(1-'Inputs'!$E$23)+X15*(1-'Inputs'!$E$19)*(1-'Inputs'!$E$22)</f>
        <v>0.014780916857321568</v>
      </c>
      <c r="Y17" s="38">
        <f>X17*Y12*(1-'Inputs'!$E$23)+Y15*(1-'Inputs'!$E$19)*(1-'Inputs'!$E$22)</f>
        <v>0.014677087552485419</v>
      </c>
      <c r="Z17" s="38">
        <f>Y17*Z12*(1-'Inputs'!$E$23)+Z15*(1-'Inputs'!$E$19)*(1-'Inputs'!$E$22)</f>
        <v>0.014571974877487757</v>
      </c>
      <c r="AA17" s="38">
        <f>Z17*AA12*(1-'Inputs'!$E$23)+AA15*(1-'Inputs'!$E$19)*(1-'Inputs'!$E$22)</f>
        <v>0.014465723245181115</v>
      </c>
      <c r="AB17" s="38">
        <f>AA17*AB12*(1-'Inputs'!$E$23)+AB15*(1-'Inputs'!$E$19)*(1-'Inputs'!$E$22)</f>
        <v>0.014358462576249233</v>
      </c>
      <c r="AC17" s="38">
        <f>AB17*AC12*(1-'Inputs'!$E$23)+AC15*(1-'Inputs'!$E$19)*(1-'Inputs'!$E$22)</f>
        <v>0.014250309755325638</v>
      </c>
      <c r="AD17" s="38">
        <f>AC17*AD12*(1-'Inputs'!$E$23)+AD15*(1-'Inputs'!$E$19)*(1-'Inputs'!$E$22)</f>
        <v>0.014141369941132612</v>
      </c>
      <c r="AE17" s="38">
        <f>AD17*AE12*(1-'Inputs'!$E$23)+AE15*(1-'Inputs'!$E$19)*(1-'Inputs'!$E$22)</f>
        <v>0.014031737745241578</v>
      </c>
      <c r="AF17" s="38">
        <f>AE17*AF12*(1-'Inputs'!$E$23)+AF15*(1-'Inputs'!$E$19)*(1-'Inputs'!$E$22)</f>
        <v>0.01392149829259856</v>
      </c>
      <c r="AG17" s="38">
        <f>AF17*AG12*(1-'Inputs'!$E$23)+AG15*(1-'Inputs'!$E$19)*(1-'Inputs'!$E$22)</f>
        <v>0.013691659122541125</v>
      </c>
      <c r="AH17" s="38">
        <f>AG17*AH12*(1-'Inputs'!$E$23)+AH15*(1-'Inputs'!$E$19)*(1-'Inputs'!$E$22)</f>
        <v>0.013461201864137278</v>
      </c>
      <c r="AI17" s="38">
        <f>AH17*AI12*(1-'Inputs'!$E$23)+AI15*(1-'Inputs'!$E$19)*(1-'Inputs'!$E$22)</f>
        <v>0.013230203323605142</v>
      </c>
      <c r="AJ17" s="38">
        <f>AI17*AJ12*(1-'Inputs'!$E$23)+AJ15*(1-'Inputs'!$E$19)*(1-'Inputs'!$E$22)</f>
        <v>0.012998732350685889</v>
      </c>
      <c r="AK17" s="38">
        <f>AJ17*AK12*(1-'Inputs'!$E$23)+AK15*(1-'Inputs'!$E$19)*(1-'Inputs'!$E$22)</f>
        <v>0.01287236183070434</v>
      </c>
      <c r="AL17" s="38">
        <f>AK17*AL12*(1-'Inputs'!$E$23)+AL15*(1-'Inputs'!$E$19)*(1-'Inputs'!$E$22)</f>
        <v>0.012745634046741791</v>
      </c>
      <c r="AM17" s="38">
        <f>AL17*AM12*(1-'Inputs'!$E$23)+AM15*(1-'Inputs'!$E$19)*(1-'Inputs'!$E$22)</f>
        <v>0.012618590647870227</v>
      </c>
      <c r="AN17" s="38">
        <f>AM17*AN12*(1-'Inputs'!$E$23)+AN15*(1-'Inputs'!$E$19)*(1-'Inputs'!$E$22)</f>
        <v>0.012491269106777952</v>
      </c>
      <c r="AO17" s="38">
        <f>AN17*AO12*(1-'Inputs'!$E$23)+AO15*(1-'Inputs'!$E$19)*(1-'Inputs'!$E$22)</f>
        <v>0.012363703143503248</v>
      </c>
      <c r="AP17" s="38">
        <f>AO17*AP12*(1-'Inputs'!$E$23)+AP15*(1-'Inputs'!$E$19)*(1-'Inputs'!$E$22)</f>
        <v>0.012235923106328293</v>
      </c>
      <c r="AQ17" s="38">
        <f>AP17*AQ12*(1-'Inputs'!$E$23)+AQ15*(1-'Inputs'!$E$19)*(1-'Inputs'!$E$22)</f>
        <v>0.012107956314148965</v>
      </c>
    </row>
    <row r="18" ht="22" customHeight="1">
      <c r="A18" s="2" t="str">
        <v>PLUS.YB</v>
      </c>
      <c r="B18" s="6" t="str">
        <v>Plus annual plans billed</v>
      </c>
      <c r="C18" s="2" t="str">
        <v>count</v>
      </c>
      <c r="D18" s="2" t="str">
        <v>NA</v>
      </c>
      <c r="E18" s="2"/>
      <c r="F18" s="6" t="str"/>
      <c r="G18" s="2"/>
      <c r="H18" s="38">
        <f>H15*(1-'Inputs'!$E$19)*'Inputs'!$E$22+0*'Inputs'!$E$24</f>
        <v>0.018</v>
      </c>
      <c r="I18" s="38">
        <f>I15*(1-'Inputs'!$E$19)*'Inputs'!$E$22+0*'Inputs'!$E$24</f>
        <v>0.0011592</v>
      </c>
      <c r="J18" s="38">
        <f>J15*(1-'Inputs'!$E$19)*'Inputs'!$E$22+0*'Inputs'!$E$24</f>
        <v>0.0009910943999999998</v>
      </c>
      <c r="K18" s="38">
        <f>K15*(1-'Inputs'!$E$19)*'Inputs'!$E$22+0*'Inputs'!$E$24</f>
        <v>0.0009062347536</v>
      </c>
      <c r="L18" s="38">
        <f>L15*(1-'Inputs'!$E$19)*'Inputs'!$E$22+0*'Inputs'!$E$24</f>
        <v>0.0008218112529599999</v>
      </c>
      <c r="M18" s="38">
        <f>M15*(1-'Inputs'!$E$19)*'Inputs'!$E$22+0*'Inputs'!$E$24</f>
        <v>0.0007706068804087257</v>
      </c>
      <c r="N18" s="38">
        <f>N15*(1-'Inputs'!$E$19)*'Inputs'!$E$22+0*'Inputs'!$E$24</f>
        <v>0.0007360181816370038</v>
      </c>
      <c r="O18" s="38">
        <f>O15*(1-'Inputs'!$E$19)*'Inputs'!$E$22+0*'Inputs'!$E$24</f>
        <v>0.0007016051950105883</v>
      </c>
      <c r="P18" s="38">
        <f>P15*(1-'Inputs'!$E$19)*'Inputs'!$E$22+0*'Inputs'!$E$24</f>
        <v>0.0006673645497445001</v>
      </c>
      <c r="Q18" s="38">
        <f>Q15*(1-'Inputs'!$E$19)*'Inputs'!$E$22+0*'Inputs'!$E$24</f>
        <v>0.0006332932006742418</v>
      </c>
      <c r="R18" s="38">
        <f>R15*(1-'Inputs'!$E$19)*'Inputs'!$E$22+0*'Inputs'!$E$24</f>
        <v>0.0006155880787203172</v>
      </c>
      <c r="S18" s="38">
        <f>S15*(1-'Inputs'!$E$19)*'Inputs'!$E$22+0*'Inputs'!$E$24</f>
        <v>0.0005979703491210032</v>
      </c>
      <c r="T18" s="38">
        <f>T15*(1-'Inputs'!$E$19)*'Inputs'!$E$22+H18*'Inputs'!$E$24</f>
        <v>0.006880438514097848</v>
      </c>
      <c r="U18" s="38">
        <f>U15*(1-'Inputs'!$E$19)*'Inputs'!$E$22+I18*'Inputs'!$E$24</f>
        <v>0.0009908139097926593</v>
      </c>
      <c r="V18" s="38">
        <f>V15*(1-'Inputs'!$E$19)*'Inputs'!$E$22+J18*'Inputs'!$E$24</f>
        <v>0.0009273877786673347</v>
      </c>
      <c r="W18" s="38">
        <f>W15*(1-'Inputs'!$E$19)*'Inputs'!$E$22+K18*'Inputs'!$E$24</f>
        <v>0.000893108209717047</v>
      </c>
      <c r="X18" s="38">
        <f>X15*(1-'Inputs'!$E$19)*'Inputs'!$E$22+L18*'Inputs'!$E$24</f>
        <v>0.0008589912876405606</v>
      </c>
      <c r="Y18" s="38">
        <f>Y15*(1-'Inputs'!$E$19)*'Inputs'!$E$22+M18*'Inputs'!$E$24</f>
        <v>0.0008365106246696462</v>
      </c>
      <c r="Z18" s="38">
        <f>Z15*(1-'Inputs'!$E$19)*'Inputs'!$E$22+N18*'Inputs'!$E$24</f>
        <v>0.0008198546260488382</v>
      </c>
      <c r="AA18" s="38">
        <f>AA15*(1-'Inputs'!$E$19)*'Inputs'!$E$22+O18*'Inputs'!$E$24</f>
        <v>0.0008032689606717013</v>
      </c>
      <c r="AB18" s="38">
        <f>AB15*(1-'Inputs'!$E$19)*'Inputs'!$E$22+P18*'Inputs'!$E$24</f>
        <v>0.0007867521412818889</v>
      </c>
      <c r="AC18" s="38">
        <f>AC15*(1-'Inputs'!$E$19)*'Inputs'!$E$22+Q18*'Inputs'!$E$24</f>
        <v>0.000770302827900066</v>
      </c>
      <c r="AD18" s="38">
        <f>AD15*(1-'Inputs'!$E$19)*'Inputs'!$E$22+R18*'Inputs'!$E$24</f>
        <v>0.0007595897021187595</v>
      </c>
      <c r="AE18" s="38">
        <f>AE15*(1-'Inputs'!$E$19)*'Inputs'!$E$22+S18*'Inputs'!$E$24</f>
        <v>0.0007489149544538371</v>
      </c>
      <c r="AF18" s="38">
        <f>AF15*(1-'Inputs'!$E$19)*'Inputs'!$E$22+T18*'Inputs'!$E$24</f>
        <v>0.0029432778675514025</v>
      </c>
      <c r="AG18" s="38">
        <f>AG15*(1-'Inputs'!$E$19)*'Inputs'!$E$22+U18*'Inputs'!$E$24</f>
        <v>0.0008757441828763648</v>
      </c>
      <c r="AH18" s="38">
        <f>AH15*(1-'Inputs'!$E$19)*'Inputs'!$E$22+V18*'Inputs'!$E$24</f>
        <v>0.0008444293653644062</v>
      </c>
      <c r="AI18" s="38">
        <f>AI15*(1-'Inputs'!$E$19)*'Inputs'!$E$22+W18*'Inputs'!$E$24</f>
        <v>0.0008233212631273028</v>
      </c>
      <c r="AJ18" s="38">
        <f>AJ15*(1-'Inputs'!$E$19)*'Inputs'!$E$22+X18*'Inputs'!$E$24</f>
        <v>0.000802275391412374</v>
      </c>
      <c r="AK18" s="38">
        <f>AK15*(1-'Inputs'!$E$19)*'Inputs'!$E$22+Y18*'Inputs'!$E$24</f>
        <v>0.0007893779022021881</v>
      </c>
      <c r="AL18" s="38">
        <f>AL15*(1-'Inputs'!$E$19)*'Inputs'!$E$22+Z18*'Inputs'!$E$24</f>
        <v>0.0007785218206750509</v>
      </c>
      <c r="AM18" s="38">
        <f>AM15*(1-'Inputs'!$E$19)*'Inputs'!$E$22+AA18*'Inputs'!$E$24</f>
        <v>0.0007676930594311703</v>
      </c>
      <c r="AN18" s="38">
        <f>AN15*(1-'Inputs'!$E$19)*'Inputs'!$E$22+AB18*'Inputs'!$E$24</f>
        <v>0.0007568910363807441</v>
      </c>
      <c r="AO18" s="38">
        <f>AO15*(1-'Inputs'!$E$19)*'Inputs'!$E$22+AC18*'Inputs'!$E$24</f>
        <v>0.0007461152299244188</v>
      </c>
      <c r="AP18" s="38">
        <f>AP15*(1-'Inputs'!$E$19)*'Inputs'!$E$22+AD18*'Inputs'!$E$24</f>
        <v>0.0007373496340404675</v>
      </c>
      <c r="AQ18" s="38">
        <f>AQ15*(1-'Inputs'!$E$19)*'Inputs'!$E$22+AE18*'Inputs'!$E$24</f>
        <v>0.0007285999780343694</v>
      </c>
    </row>
    <row r="19" ht="22" customHeight="1">
      <c r="A19" s="2" t="str">
        <v>PLUS.YBA</v>
      </c>
      <c r="B19" s="6" t="str">
        <v>Plus annual plans billed, active users</v>
      </c>
      <c r="C19" s="2" t="str">
        <v>count</v>
      </c>
      <c r="D19" s="2" t="str">
        <v>NA</v>
      </c>
      <c r="E19" s="2"/>
      <c r="F19" s="6" t="str"/>
      <c r="G19" s="2"/>
      <c r="H19" s="38">
        <f>H15*(1-'Inputs'!$E$19)*'Inputs'!$E$22+0*'Inputs'!$E$24</f>
        <v>0.018</v>
      </c>
      <c r="I19" s="38">
        <f>I15*(1-'Inputs'!$E$19)*'Inputs'!$E$22+0*'Inputs'!$E$24</f>
        <v>0.0011592</v>
      </c>
      <c r="J19" s="38">
        <f>J15*(1-'Inputs'!$E$19)*'Inputs'!$E$22+0*'Inputs'!$E$24</f>
        <v>0.0009910943999999998</v>
      </c>
      <c r="K19" s="38">
        <f>K15*(1-'Inputs'!$E$19)*'Inputs'!$E$22+0*'Inputs'!$E$24</f>
        <v>0.0009062347536</v>
      </c>
      <c r="L19" s="38">
        <f>L15*(1-'Inputs'!$E$19)*'Inputs'!$E$22+0*'Inputs'!$E$24</f>
        <v>0.0008218112529599999</v>
      </c>
      <c r="M19" s="38">
        <f>M15*(1-'Inputs'!$E$19)*'Inputs'!$E$22+0*'Inputs'!$E$24</f>
        <v>0.0007706068804087257</v>
      </c>
      <c r="N19" s="38">
        <f>N15*(1-'Inputs'!$E$19)*'Inputs'!$E$22+0*'Inputs'!$E$24</f>
        <v>0.0007360181816370038</v>
      </c>
      <c r="O19" s="38">
        <f>O15*(1-'Inputs'!$E$19)*'Inputs'!$E$22+0*'Inputs'!$E$24</f>
        <v>0.0007016051950105883</v>
      </c>
      <c r="P19" s="38">
        <f>P15*(1-'Inputs'!$E$19)*'Inputs'!$E$22+0*'Inputs'!$E$24</f>
        <v>0.0006673645497445001</v>
      </c>
      <c r="Q19" s="38">
        <f>Q15*(1-'Inputs'!$E$19)*'Inputs'!$E$22+0*'Inputs'!$E$24</f>
        <v>0.0006332932006742418</v>
      </c>
      <c r="R19" s="38">
        <f>R15*(1-'Inputs'!$E$19)*'Inputs'!$E$22+0*'Inputs'!$E$24</f>
        <v>0.0006155880787203172</v>
      </c>
      <c r="S19" s="38">
        <f>S15*(1-'Inputs'!$E$19)*'Inputs'!$E$22+0*'Inputs'!$E$24</f>
        <v>0.0005979703491210032</v>
      </c>
      <c r="T19" s="38">
        <f>T15*(1-'Inputs'!$E$19)*'Inputs'!$E$22+IF(H11&gt;0,H19*T11/H11,0)*'Inputs'!$E$24</f>
        <v>0.0028484385140978476</v>
      </c>
      <c r="U19" s="38">
        <f>U15*(1-'Inputs'!$E$19)*'Inputs'!$E$22+IF(I11&gt;0,I19*U11/I11,0)*'Inputs'!$E$24</f>
        <v>0.0007923009097926594</v>
      </c>
      <c r="V19" s="38">
        <f>V15*(1-'Inputs'!$E$19)*'Inputs'!$E$22+IF(J11&gt;0,J19*V11/J11,0)*'Inputs'!$E$24</f>
        <v>0.0007857438706673348</v>
      </c>
      <c r="W19" s="38">
        <f>W15*(1-'Inputs'!$E$19)*'Inputs'!$E$22+IF(K11&gt;0,K19*W11/K11,0)*'Inputs'!$E$24</f>
        <v>0.000779210978185047</v>
      </c>
      <c r="X19" s="38">
        <f>X15*(1-'Inputs'!$E$19)*'Inputs'!$E$22+IF(L11&gt;0,L19*X11/L11,0)*'Inputs'!$E$24</f>
        <v>0.0007727011060797605</v>
      </c>
      <c r="Y19" s="38">
        <f>Y15*(1-'Inputs'!$E$19)*'Inputs'!$E$22+IF(M11&gt;0,M19*Y11/M11,0)*'Inputs'!$E$24</f>
        <v>0.0007662132416961906</v>
      </c>
      <c r="Z19" s="38">
        <f>Z15*(1-'Inputs'!$E$19)*'Inputs'!$E$22+IF(N11&gt;0,N19*Z11/N11,0)*'Inputs'!$E$24</f>
        <v>0.0007597464745484828</v>
      </c>
      <c r="AA19" s="38">
        <f>AA15*(1-'Inputs'!$E$19)*'Inputs'!$E$22+IF(O11&gt;0,O19*AA11/O11,0)*'Inputs'!$E$24</f>
        <v>0.0007532999860270517</v>
      </c>
      <c r="AB19" s="38">
        <f>AB15*(1-'Inputs'!$E$19)*'Inputs'!$E$22+IF(P11&gt;0,P19*AB11/P11,0)*'Inputs'!$E$24</f>
        <v>0.00074687304013862</v>
      </c>
      <c r="AC19" s="38">
        <f>AC15*(1-'Inputs'!$E$19)*'Inputs'!$E$22+IF(Q11&gt;0,Q19*AC11/Q11,0)*'Inputs'!$E$24</f>
        <v>0.0007404649751759913</v>
      </c>
      <c r="AD19" s="38">
        <f>AD15*(1-'Inputs'!$E$19)*'Inputs'!$E$22+IF(R11&gt;0,R19*AD11/R11,0)*'Inputs'!$E$24</f>
        <v>0.0007340751962244306</v>
      </c>
      <c r="AE19" s="38">
        <f>AE15*(1-'Inputs'!$E$19)*'Inputs'!$E$22+IF(S11&gt;0,S19*AE11/S11,0)*'Inputs'!$E$24</f>
        <v>0.0007277031684208286</v>
      </c>
      <c r="AF19" s="38">
        <f>AF15*(1-'Inputs'!$E$19)*'Inputs'!$E$22+IF(T11&gt;0,T19*AF11/T11,0)*'Inputs'!$E$24</f>
        <v>0.001448998410890215</v>
      </c>
      <c r="AG19" s="38">
        <f>AG15*(1-'Inputs'!$E$19)*'Inputs'!$E$22+IF(U11&gt;0,U19*AG11/U11,0)*'Inputs'!$E$24</f>
        <v>0.0007806672188676789</v>
      </c>
      <c r="AH19" s="38">
        <f>AH15*(1-'Inputs'!$E$19)*'Inputs'!$E$22+IF(V11&gt;0,V19*AH11/V11,0)*'Inputs'!$E$24</f>
        <v>0.0007669656235632558</v>
      </c>
      <c r="AI19" s="38">
        <f>AI15*(1-'Inputs'!$E$19)*'Inputs'!$E$22+IF(W11&gt;0,W19*AI11/W11,0)*'Inputs'!$E$24</f>
        <v>0.0007532835303826606</v>
      </c>
      <c r="AJ19" s="38">
        <f>AJ15*(1-'Inputs'!$E$19)*'Inputs'!$E$22+IF(X11&gt;0,X19*AJ11/X11,0)*'Inputs'!$E$24</f>
        <v>0.000739620381410744</v>
      </c>
      <c r="AK19" s="38">
        <f>AK15*(1-'Inputs'!$E$19)*'Inputs'!$E$22+IF(Y11&gt;0,Y19*AK11/Y11,0)*'Inputs'!$E$24</f>
        <v>0.0007319754815564977</v>
      </c>
      <c r="AL19" s="38">
        <f>AL15*(1-'Inputs'!$E$19)*'Inputs'!$E$22+IF(Z11&gt;0,Z19*AL11/Z11,0)*'Inputs'!$E$24</f>
        <v>0.0007243414040500579</v>
      </c>
      <c r="AM19" s="38">
        <f>AM15*(1-'Inputs'!$E$19)*'Inputs'!$E$22+IF(AA11&gt;0,AA19*AM11/AA11,0)*'Inputs'!$E$24</f>
        <v>0.0007167178094376252</v>
      </c>
      <c r="AN19" s="38">
        <f>AN15*(1-'Inputs'!$E$19)*'Inputs'!$E$22+IF(AB11&gt;0,AB19*AN11/AB11,0)*'Inputs'!$E$24</f>
        <v>0.0007091043956331448</v>
      </c>
      <c r="AO19" s="38">
        <f>AO15*(1-'Inputs'!$E$19)*'Inputs'!$E$22+IF(AC11&gt;0,AC19*AO11/AC11,0)*'Inputs'!$E$24</f>
        <v>0.0007015008940980561</v>
      </c>
      <c r="AP19" s="38">
        <f>AP15*(1-'Inputs'!$E$19)*'Inputs'!$E$22+IF(AD11&gt;0,AD19*AP11/AD11,0)*'Inputs'!$E$24</f>
        <v>0.0006939070664086918</v>
      </c>
      <c r="AQ19" s="38">
        <f>AQ15*(1-'Inputs'!$E$19)*'Inputs'!$E$22+IF(AE11&gt;0,AE19*AQ11/AE11,0)*'Inputs'!$E$24</f>
        <v>0.0006863227011721347</v>
      </c>
    </row>
    <row r="20" ht="22" customHeight="1">
      <c r="A20" s="2" t="str">
        <v>PLUS.YG</v>
      </c>
      <c r="B20" s="6" t="str">
        <v>Plus annual billing, gross</v>
      </c>
      <c r="C20" s="2" t="str">
        <v>EUR</v>
      </c>
      <c r="D20" s="2" t="str">
        <v>NA</v>
      </c>
      <c r="E20" s="2"/>
      <c r="F20" s="6" t="str"/>
      <c r="G20" s="2"/>
      <c r="H20" s="36">
        <f>H18*'Inputs'!$E$16*'Inputs'!$E$59/'Inputs'!$E$60</f>
        <v>1.6198199999999998</v>
      </c>
      <c r="I20" s="36">
        <f>I18*'Inputs'!$E$16*'Inputs'!$E$59/'Inputs'!$E$60</f>
        <v>0.104316408</v>
      </c>
      <c r="J20" s="36">
        <f>J18*'Inputs'!$E$16*'Inputs'!$E$59/'Inputs'!$E$60</f>
        <v>0.08918858505599998</v>
      </c>
      <c r="K20" s="36">
        <f>K18*'Inputs'!$E$16*'Inputs'!$E$59/'Inputs'!$E$60</f>
        <v>0.081552065476464</v>
      </c>
      <c r="L20" s="36">
        <f>L18*'Inputs'!$E$16*'Inputs'!$E$59/'Inputs'!$E$60</f>
        <v>0.07395479465387039</v>
      </c>
      <c r="M20" s="36">
        <f>M18*'Inputs'!$E$16*'Inputs'!$E$59/'Inputs'!$E$60</f>
        <v>0.06934691316798122</v>
      </c>
      <c r="N20" s="36">
        <f>N18*'Inputs'!$E$16*'Inputs'!$E$59/'Inputs'!$E$60</f>
        <v>0.06623427616551397</v>
      </c>
      <c r="O20" s="36">
        <f>O18*'Inputs'!$E$16*'Inputs'!$E$59/'Inputs'!$E$60</f>
        <v>0.06313745149900284</v>
      </c>
      <c r="P20" s="36">
        <f>P18*'Inputs'!$E$16*'Inputs'!$E$59/'Inputs'!$E$60</f>
        <v>0.06005613583150756</v>
      </c>
      <c r="Q20" s="36">
        <f>Q18*'Inputs'!$E$16*'Inputs'!$E$59/'Inputs'!$E$60</f>
        <v>0.05699005512867502</v>
      </c>
      <c r="R20" s="36">
        <f>R18*'Inputs'!$E$16*'Inputs'!$E$59/'Inputs'!$E$60</f>
        <v>0.05539677120404135</v>
      </c>
      <c r="S20" s="36">
        <f>S18*'Inputs'!$E$16*'Inputs'!$E$59/'Inputs'!$E$60</f>
        <v>0.05381135171739908</v>
      </c>
      <c r="T20" s="36">
        <f>T18*'Inputs'!$E$16*'Inputs'!$E$59/'Inputs'!$E$60</f>
        <v>0.6191706618836653</v>
      </c>
      <c r="U20" s="36">
        <f>U18*'Inputs'!$E$16*'Inputs'!$E$59/'Inputs'!$E$60</f>
        <v>0.0891633437422414</v>
      </c>
      <c r="V20" s="36">
        <f>V18*'Inputs'!$E$16*'Inputs'!$E$59/'Inputs'!$E$60</f>
        <v>0.08345562620227345</v>
      </c>
      <c r="W20" s="36">
        <f>W18*'Inputs'!$E$16*'Inputs'!$E$59/'Inputs'!$E$60</f>
        <v>0.08037080779243705</v>
      </c>
      <c r="X20" s="36">
        <f>X18*'Inputs'!$E$16*'Inputs'!$E$59/'Inputs'!$E$60</f>
        <v>0.07730062597477404</v>
      </c>
      <c r="Y20" s="36">
        <f>Y18*'Inputs'!$E$16*'Inputs'!$E$59/'Inputs'!$E$60</f>
        <v>0.07527759111402146</v>
      </c>
      <c r="Z20" s="36">
        <f>Z18*'Inputs'!$E$16*'Inputs'!$E$59/'Inputs'!$E$60</f>
        <v>0.07377871779813494</v>
      </c>
      <c r="AA20" s="36">
        <f>AA18*'Inputs'!$E$16*'Inputs'!$E$59/'Inputs'!$E$60</f>
        <v>0.0722861737708464</v>
      </c>
      <c r="AB20" s="36">
        <f>AB18*'Inputs'!$E$16*'Inputs'!$E$59/'Inputs'!$E$60</f>
        <v>0.07079982519395718</v>
      </c>
      <c r="AC20" s="36">
        <f>AC18*'Inputs'!$E$16*'Inputs'!$E$59/'Inputs'!$E$60</f>
        <v>0.06931955148272693</v>
      </c>
      <c r="AD20" s="36">
        <f>AD18*'Inputs'!$E$16*'Inputs'!$E$59/'Inputs'!$E$60</f>
        <v>0.06835547729366716</v>
      </c>
      <c r="AE20" s="36">
        <f>AE18*'Inputs'!$E$16*'Inputs'!$E$59/'Inputs'!$E$60</f>
        <v>0.06739485675130079</v>
      </c>
      <c r="AF20" s="36">
        <f>AF18*'Inputs'!$E$16*'Inputs'!$E$59/'Inputs'!$E$60</f>
        <v>0.2648655753009507</v>
      </c>
      <c r="AG20" s="36">
        <f>AG18*'Inputs'!$E$16*'Inputs'!$E$59/'Inputs'!$E$60</f>
        <v>0.07880821901704406</v>
      </c>
      <c r="AH20" s="36">
        <f>AH18*'Inputs'!$E$16*'Inputs'!$E$59/'Inputs'!$E$60</f>
        <v>0.07599019858914291</v>
      </c>
      <c r="AI20" s="36">
        <f>AI18*'Inputs'!$E$16*'Inputs'!$E$59/'Inputs'!$E$60</f>
        <v>0.07409068046882598</v>
      </c>
      <c r="AJ20" s="36">
        <f>AJ18*'Inputs'!$E$16*'Inputs'!$E$59/'Inputs'!$E$60</f>
        <v>0.07219676247319953</v>
      </c>
      <c r="AK20" s="36">
        <f>AK18*'Inputs'!$E$16*'Inputs'!$E$59/'Inputs'!$E$60</f>
        <v>0.07103611741917491</v>
      </c>
      <c r="AL20" s="36">
        <f>AL18*'Inputs'!$E$16*'Inputs'!$E$59/'Inputs'!$E$60</f>
        <v>0.07005917864254783</v>
      </c>
      <c r="AM20" s="36">
        <f>AM18*'Inputs'!$E$16*'Inputs'!$E$59/'Inputs'!$E$60</f>
        <v>0.06908469841821102</v>
      </c>
      <c r="AN20" s="36">
        <f>AN18*'Inputs'!$E$16*'Inputs'!$E$59/'Inputs'!$E$60</f>
        <v>0.06811262436390315</v>
      </c>
      <c r="AO20" s="36">
        <f>AO18*'Inputs'!$E$16*'Inputs'!$E$59/'Inputs'!$E$60</f>
        <v>0.06714290954089844</v>
      </c>
      <c r="AP20" s="36">
        <f>AP18*'Inputs'!$E$16*'Inputs'!$E$59/'Inputs'!$E$60</f>
        <v>0.06635409356730167</v>
      </c>
      <c r="AQ20" s="36">
        <f>AQ18*'Inputs'!$E$16*'Inputs'!$E$59/'Inputs'!$E$60</f>
        <v>0.0655667120233129</v>
      </c>
    </row>
    <row r="21" ht="22" customHeight="1">
      <c r="A21" s="2" t="str">
        <v>PLUS.YS</v>
      </c>
      <c r="B21" s="6" t="str">
        <v>Plus annual plans in service</v>
      </c>
      <c r="C21" s="2" t="str">
        <v>count</v>
      </c>
      <c r="D21" s="2" t="str">
        <v>NA</v>
      </c>
      <c r="E21" s="2"/>
      <c r="F21" s="6" t="str"/>
      <c r="G21" s="2"/>
      <c r="H21" s="37">
        <f>SUM(H18:H18)</f>
        <v>0.018</v>
      </c>
      <c r="I21" s="37">
        <f>SUM(H18:I18)</f>
        <v>0.019159199999999998</v>
      </c>
      <c r="J21" s="37">
        <f>SUM(H18:J18)</f>
        <v>0.020150294399999998</v>
      </c>
      <c r="K21" s="37">
        <f>SUM(H18:K18)</f>
        <v>0.021056529153599998</v>
      </c>
      <c r="L21" s="37">
        <f>SUM(H18:L18)</f>
        <v>0.021878340406559997</v>
      </c>
      <c r="M21" s="37">
        <f>SUM(H18:M18)</f>
        <v>0.022648947286968726</v>
      </c>
      <c r="N21" s="37">
        <f>SUM(H18:N18)</f>
        <v>0.023384965468605728</v>
      </c>
      <c r="O21" s="37">
        <f>SUM(H18:O18)</f>
        <v>0.024086570663616316</v>
      </c>
      <c r="P21" s="37">
        <f>SUM(H18:P18)</f>
        <v>0.024753935213360816</v>
      </c>
      <c r="Q21" s="37">
        <f>SUM(H18:Q18)</f>
        <v>0.025387228414035058</v>
      </c>
      <c r="R21" s="37">
        <f>SUM(H18:R18)</f>
        <v>0.026002816492755376</v>
      </c>
      <c r="S21" s="37">
        <f>SUM(H18:S18)</f>
        <v>0.02660078684187638</v>
      </c>
      <c r="T21" s="37">
        <f>SUM(I18:T18)</f>
        <v>0.015481225355974227</v>
      </c>
      <c r="U21" s="37">
        <f>SUM(J18:U18)</f>
        <v>0.015312839265766886</v>
      </c>
      <c r="V21" s="37">
        <f>SUM(K18:V18)</f>
        <v>0.015249132644434222</v>
      </c>
      <c r="W21" s="37">
        <f>SUM(L18:W18)</f>
        <v>0.015236006100551269</v>
      </c>
      <c r="X21" s="37">
        <f>SUM(M18:X18)</f>
        <v>0.015273186135231829</v>
      </c>
      <c r="Y21" s="37">
        <f>SUM(N18:Y18)</f>
        <v>0.01533908987949275</v>
      </c>
      <c r="Z21" s="37">
        <f>SUM(O18:Z18)</f>
        <v>0.015422926323904584</v>
      </c>
      <c r="AA21" s="37">
        <f>SUM(P18:AA18)</f>
        <v>0.015524590089565696</v>
      </c>
      <c r="AB21" s="37">
        <f>SUM(Q18:AB18)</f>
        <v>0.015643977681103087</v>
      </c>
      <c r="AC21" s="37">
        <f>SUM(R18:AC18)</f>
        <v>0.01578098730832891</v>
      </c>
      <c r="AD21" s="37">
        <f>SUM(S18:AD18)</f>
        <v>0.015924988931727353</v>
      </c>
      <c r="AE21" s="37">
        <f>SUM(T18:AE18)</f>
        <v>0.016075933537060185</v>
      </c>
      <c r="AF21" s="37">
        <f>SUM(U18:AF18)</f>
        <v>0.012138772890513742</v>
      </c>
      <c r="AG21" s="37">
        <f>SUM(V18:AG18)</f>
        <v>0.012023703163597447</v>
      </c>
      <c r="AH21" s="37">
        <f>SUM(W18:AH18)</f>
        <v>0.011940744750294519</v>
      </c>
      <c r="AI21" s="37">
        <f>SUM(X18:AI18)</f>
        <v>0.011870957803704774</v>
      </c>
      <c r="AJ21" s="37">
        <f>SUM(Y18:AJ18)</f>
        <v>0.011814241907476587</v>
      </c>
      <c r="AK21" s="37">
        <f>SUM(Z18:AK18)</f>
        <v>0.011767109185009129</v>
      </c>
      <c r="AL21" s="37">
        <f>SUM(AA18:AL18)</f>
        <v>0.011725776379635343</v>
      </c>
      <c r="AM21" s="37">
        <f>SUM(AB18:AM18)</f>
        <v>0.011690200478394811</v>
      </c>
      <c r="AN21" s="37">
        <f>SUM(AC18:AN18)</f>
        <v>0.011660339373493667</v>
      </c>
      <c r="AO21" s="37">
        <f>SUM(AD18:AO18)</f>
        <v>0.011636151775518019</v>
      </c>
      <c r="AP21" s="37">
        <f>SUM(AE18:AP18)</f>
        <v>0.011613911707439728</v>
      </c>
      <c r="AQ21" s="37">
        <f>SUM(AF18:AQ18)</f>
        <v>0.01159359673102026</v>
      </c>
    </row>
    <row r="22" ht="22" customHeight="1">
      <c r="A22" s="2" t="str">
        <v>PLUS.YA</v>
      </c>
      <c r="B22" s="6" t="str">
        <v>Plus annual plans, active users</v>
      </c>
      <c r="C22" s="2" t="str">
        <v>count</v>
      </c>
      <c r="D22" s="2" t="str">
        <v>NA</v>
      </c>
      <c r="E22" s="2"/>
      <c r="F22" s="6" t="str"/>
      <c r="G22" s="2"/>
      <c r="H22" s="37">
        <f>SUM(IF(H11&gt;0,H19*H11/H11,0))</f>
        <v>0.018</v>
      </c>
      <c r="I22" s="37">
        <f>SUM(IF(H11&gt;0,H19*I11/H11,0),IF(I11&gt;0,I19*I11/I11,0))</f>
        <v>0.0137592</v>
      </c>
      <c r="J22" s="37">
        <f>SUM(IF(H11&gt;0,H19*J11/H11,0),IF(I11&gt;0,I19*J11/I11,0),IF(J11&gt;0,J19*J11/J11,0))</f>
        <v>0.012784694399999998</v>
      </c>
      <c r="K22" s="37">
        <f>SUM(IF(H11&gt;0,H19*K11/H11,0),IF(I11&gt;0,I19*K11/I11,0),IF(J11&gt;0,J19*K11/J11,0),IF(K11&gt;0,K19*K11/K11,0))</f>
        <v>0.0126255379536</v>
      </c>
      <c r="L22" s="37">
        <f>SUM(IF(H11&gt;0,H19*L11/H11,0),IF(I11&gt;0,I19*L11/I11,0),IF(J11&gt;0,J19*L11/J11,0),IF(K11&gt;0,K19*L11/K11,0),IF(L11&gt;0,L19*L11/L11,0))</f>
        <v>0.012299573028959999</v>
      </c>
      <c r="M22" s="37">
        <f>SUM(IF(H11&gt;0,H19*M11/H11,0),IF(I11&gt;0,I19*M11/I11,0),IF(J11&gt;0,J19*M11/J11,0),IF(K11&gt;0,K19*M11/K11,0),IF(L11&gt;0,L19*M11/L11,0),IF(M11&gt;0,M19*M11/M11,0))</f>
        <v>0.012332205527631123</v>
      </c>
      <c r="N22" s="37">
        <f>SUM(IF(H11&gt;0,H19*N11/H11,0),IF(I11&gt;0,I19*N11/I11,0),IF(J11&gt;0,J19*N11/J11,0),IF(K11&gt;0,K19*N11/K11,0),IF(L11&gt;0,L19*N11/L11,0),IF(M11&gt;0,M19*N11/M11,0),IF(N11&gt;0,N19*N11/N11,0))</f>
        <v>0.012543449005964677</v>
      </c>
      <c r="O22" s="37">
        <f>SUM(IF(H11&gt;0,H19*O11/H11,0),IF(I11&gt;0,I19*O11/I11,0),IF(J11&gt;0,J19*O11/J11,0),IF(K11&gt;0,K19*O11/K11,0),IF(L11&gt;0,L19*O11/L11,0),IF(M11&gt;0,M19*O11/M11,0),IF(N11&gt;0,N19*O11/N11,0),IF(O11&gt;0,O19*O11/O11,0))</f>
        <v>0.012687567578487945</v>
      </c>
      <c r="P22" s="37">
        <f>SUM(IF(H11&gt;0,H19*P11/H11,0),IF(I11&gt;0,I19*P11/I11,0),IF(J11&gt;0,J19*P11/J11,0),IF(K11&gt;0,K19*P11/K11,0),IF(L11&gt;0,L19*P11/L11,0),IF(M11&gt;0,M19*P11/M11,0),IF(N11&gt;0,N19*P11/N11,0),IF(O11&gt;0,O19*P11/O11,0),IF(P11&gt;0,P19*P11/P11,0))</f>
        <v>0.012764812705977192</v>
      </c>
      <c r="Q22" s="37">
        <f>SUM(IF(H11&gt;0,H19*Q11/H11,0),IF(I11&gt;0,I19*Q11/I11,0),IF(J11&gt;0,J19*Q11/J11,0),IF(K11&gt;0,K19*Q11/K11,0),IF(L11&gt;0,L19*Q11/L11,0),IF(M11&gt;0,M19*Q11/M11,0),IF(N11&gt;0,N19*Q11/N11,0),IF(O11&gt;0,O19*Q11/O11,0),IF(P11&gt;0,P19*Q11/P11,0),IF(Q11&gt;0,Q19*Q11/Q11,0))</f>
        <v>0.012775432116115962</v>
      </c>
      <c r="R22" s="37">
        <f>SUM(IF(H11&gt;0,H19*R11/H11,0),IF(I11&gt;0,I19*R11/I11,0),IF(J11&gt;0,J19*R11/J11,0),IF(K11&gt;0,K19*R11/K11,0),IF(L11&gt;0,L19*R11/L11,0),IF(M11&gt;0,M19*R11/M11,0),IF(N11&gt;0,N19*R11/N11,0),IF(O11&gt;0,O19*R11/O11,0),IF(P11&gt;0,P19*R11/P11,0),IF(Q11&gt;0,Q19*R11/Q11,0),IF(R11&gt;0,R19*R11/R11,0))</f>
        <v>0.013063445012371767</v>
      </c>
      <c r="S22" s="37">
        <f>SUM(IF(H11&gt;0,H19*S11/H11,0),IF(I11&gt;0,I19*S11/I11,0),IF(J11&gt;0,J19*S11/J11,0),IF(K11&gt;0,K19*S11/K11,0),IF(L11&gt;0,L19*S11/L11,0),IF(M11&gt;0,M19*S11/M11,0),IF(N11&gt;0,N19*S11/N11,0),IF(O11&gt;0,O19*S11/O11,0),IF(P11&gt;0,P19*S11/P11,0),IF(Q11&gt;0,Q19*S11/Q11,0),IF(R11&gt;0,R19*S11/R11,0),IF(S11&gt;0,S19*S11/S11,0))</f>
        <v>0.013317640492746145</v>
      </c>
      <c r="T22" s="37">
        <f>SUM(IF(I11&gt;0,I19*T11/I11,0),IF(J11&gt;0,J19*T11/J11,0),IF(K11&gt;0,K19*T11/K11,0),IF(L11&gt;0,L19*T11/L11,0),IF(M11&gt;0,M19*T11/M11,0),IF(N11&gt;0,N19*T11/N11,0),IF(O11&gt;0,O19*T11/O11,0),IF(P11&gt;0,P19*T11/P11,0),IF(Q11&gt;0,Q19*T11/Q11,0),IF(R11&gt;0,R19*T11/R11,0),IF(S11&gt;0,S19*T11/S11,0),IF(T11&gt;0,T19*T11/T11,0))</f>
        <v>0.009326142777310312</v>
      </c>
      <c r="U22" s="37">
        <f>SUM(IF(J11&gt;0,J19*U11/J11,0),IF(K11&gt;0,K19*U11/K11,0),IF(L11&gt;0,L19*U11/L11,0),IF(M11&gt;0,M19*U11/M11,0),IF(N11&gt;0,N19*U11/N11,0),IF(O11&gt;0,O19*U11/O11,0),IF(P11&gt;0,P19*U11/P11,0),IF(Q11&gt;0,Q19*U11/Q11,0),IF(R11&gt;0,R19*U11/R11,0),IF(S11&gt;0,S19*U11/S11,0),IF(T11&gt;0,T19*U11/T11,0),IF(U11&gt;0,U19*U11/U11,0))</f>
        <v>0.009461658806704984</v>
      </c>
      <c r="V22" s="37">
        <f>SUM(IF(K11&gt;0,K19*V11/K11,0),IF(L11&gt;0,L19*V11/L11,0),IF(M11&gt;0,M19*V11/M11,0),IF(N11&gt;0,N19*V11/N11,0),IF(O11&gt;0,O19*V11/O11,0),IF(P11&gt;0,P19*V11/P11,0),IF(Q11&gt;0,Q19*V11/Q11,0),IF(R11&gt;0,R19*V11/R11,0),IF(S11&gt;0,S19*V11/S11,0),IF(T11&gt;0,T19*V11/T11,0),IF(U11&gt;0,U19*V11/U11,0),IF(V11&gt;0,V19*V11/V11,0))</f>
        <v>0.009594839711171584</v>
      </c>
      <c r="W22" s="37">
        <f>SUM(IF(L11&gt;0,L19*W11/L11,0),IF(M11&gt;0,M19*W11/M11,0),IF(N11&gt;0,N19*W11/N11,0),IF(O11&gt;0,O19*W11/O11,0),IF(P11&gt;0,P19*W11/P11,0),IF(Q11&gt;0,Q19*W11/Q11,0),IF(R11&gt;0,R19*W11/R11,0),IF(S11&gt;0,S19*W11/S11,0),IF(T11&gt;0,T19*W11/T11,0),IF(U11&gt;0,U19*W11/U11,0),IF(V11&gt;0,V19*W11/V11,0),IF(W11&gt;0,W19*W11/W11,0))</f>
        <v>0.009725667303535987</v>
      </c>
      <c r="X22" s="37">
        <f>SUM(IF(M11&gt;0,M19*X11/M11,0),IF(N11&gt;0,N19*X11/N11,0),IF(O11&gt;0,O19*X11/O11,0),IF(P11&gt;0,P19*X11/P11,0),IF(Q11&gt;0,Q19*X11/Q11,0),IF(R11&gt;0,R19*X11/R11,0),IF(S11&gt;0,S19*X11/S11,0),IF(T11&gt;0,T19*X11/T11,0),IF(U11&gt;0,U19*X11/U11,0),IF(V11&gt;0,V19*X11/V11,0),IF(W11&gt;0,W19*X11/W11,0),IF(X11&gt;0,X19*X11/X11,0))</f>
        <v>0.009854124168688883</v>
      </c>
      <c r="Y22" s="37">
        <f>SUM(IF(N11&gt;0,N19*Y11/N11,0),IF(O11&gt;0,O19*Y11/O11,0),IF(P11&gt;0,P19*Y11/P11,0),IF(Q11&gt;0,Q19*Y11/Q11,0),IF(R11&gt;0,R19*Y11/R11,0),IF(S11&gt;0,S19*Y11/S11,0),IF(T11&gt;0,T19*Y11/T11,0),IF(U11&gt;0,U19*Y11/U11,0),IF(V11&gt;0,V19*Y11/V11,0),IF(W11&gt;0,W19*Y11/W11,0),IF(X11&gt;0,X19*Y11/X11,0),IF(Y11&gt;0,Y19*Y11/Y11,0))</f>
        <v>0.00998019359440987</v>
      </c>
      <c r="Z22" s="37">
        <f>SUM(IF(O11&gt;0,O19*Z11/O11,0),IF(P11&gt;0,P19*Z11/P11,0),IF(Q11&gt;0,Q19*Z11/Q11,0),IF(R11&gt;0,R19*Z11/R11,0),IF(S11&gt;0,S19*Z11/S11,0),IF(T11&gt;0,T19*Z11/T11,0),IF(U11&gt;0,U19*Z11/U11,0),IF(V11&gt;0,V19*Z11/V11,0),IF(W11&gt;0,W19*Z11/W11,0),IF(X11&gt;0,X19*Z11/X11,0),IF(Y11&gt;0,Y19*Z11/Y11,0),IF(Z11&gt;0,Z19*Z11/Z11,0))</f>
        <v>0.010103859509120034</v>
      </c>
      <c r="AA22" s="37">
        <f>SUM(IF(P11&gt;0,P19*AA11/P11,0),IF(Q11&gt;0,Q19*AA11/Q11,0),IF(R11&gt;0,R19*AA11/R11,0),IF(S11&gt;0,S19*AA11/S11,0),IF(T11&gt;0,T19*AA11/T11,0),IF(U11&gt;0,U19*AA11/U11,0),IF(V11&gt;0,V19*AA11/V11,0),IF(W11&gt;0,W19*AA11/W11,0),IF(X11&gt;0,X19*AA11/X11,0),IF(Y11&gt;0,Y19*AA11/Y11,0),IF(Z11&gt;0,Z19*AA11/Z11,0),IF(AA11&gt;0,AA19*AA11/AA11,0))</f>
        <v>0.010225106425866718</v>
      </c>
      <c r="AB22" s="37">
        <f>SUM(IF(Q11&gt;0,Q19*AB11/Q11,0),IF(R11&gt;0,R19*AB11/R11,0),IF(S11&gt;0,S19*AB11/S11,0),IF(T11&gt;0,T19*AB11/T11,0),IF(U11&gt;0,U19*AB11/U11,0),IF(V11&gt;0,V19*AB11/V11,0),IF(W11&gt;0,W19*AB11/W11,0),IF(X11&gt;0,X19*AB11/X11,0),IF(Y11&gt;0,Y19*AB11/Y11,0),IF(Z11&gt;0,Z19*AB11/Z11,0),IF(AA11&gt;0,AA19*AB11/AA11,0),IF(AB11&gt;0,AB19*AB11/AB11,0))</f>
        <v>0.01034391939191411</v>
      </c>
      <c r="AC22" s="37">
        <f>SUM(IF(R11&gt;0,R19*AC11/R11,0),IF(S11&gt;0,S19*AC11/S11,0),IF(T11&gt;0,T19*AC11/T11,0),IF(U11&gt;0,U19*AC11/U11,0),IF(V11&gt;0,V19*AC11/V11,0),IF(W11&gt;0,W19*AC11/W11,0),IF(X11&gt;0,X19*AC11/X11,0),IF(Y11&gt;0,Y19*AC11/Y11,0),IF(Z11&gt;0,Z19*AC11/Z11,0),IF(AA11&gt;0,AA19*AC11/AA11,0),IF(AB11&gt;0,AB19*AC11/AB11,0),IF(AC11&gt;0,AC19*AC11/AC11,0))</f>
        <v>0.010460283943376034</v>
      </c>
      <c r="AD22" s="37">
        <f>SUM(IF(S11&gt;0,S19*AD11/S11,0),IF(T11&gt;0,T19*AD11/T11,0),IF(U11&gt;0,U19*AD11/U11,0),IF(V11&gt;0,V19*AD11/V11,0),IF(W11&gt;0,W19*AD11/W11,0),IF(X11&gt;0,X19*AD11/X11,0),IF(Y11&gt;0,Y19*AD11/Y11,0),IF(Z11&gt;0,Z19*AD11/Z11,0),IF(AA11&gt;0,AA19*AD11/AA11,0),IF(AB11&gt;0,AB19*AD11/AB11,0),IF(AC11&gt;0,AC19*AD11/AC11,0),IF(AD11&gt;0,AD19*AD11/AD11,0))</f>
        <v>0.01057418606438391</v>
      </c>
      <c r="AE22" s="37">
        <f>SUM(IF(T11&gt;0,T19*AE11/T11,0),IF(U11&gt;0,U19*AE11/U11,0),IF(V11&gt;0,V19*AE11/V11,0),IF(W11&gt;0,W19*AE11/W11,0),IF(X11&gt;0,X19*AE11/X11,0),IF(Y11&gt;0,Y19*AE11/Y11,0),IF(Z11&gt;0,Z19*AE11/Z11,0),IF(AA11&gt;0,AA19*AE11/AA11,0),IF(AB11&gt;0,AB19*AE11/AB11,0),IF(AC11&gt;0,AC19*AE11/AC11,0),IF(AD11&gt;0,AD19*AE11/AD11,0),IF(AE11&gt;0,AE19*AE11/AE11,0))</f>
        <v>0.010685612150333815</v>
      </c>
      <c r="AF22" s="37">
        <f>SUM(IF(U11&gt;0,U19*AF11/U11,0),IF(V11&gt;0,V19*AF11/V11,0),IF(W11&gt;0,W19*AF11/W11,0),IF(X11&gt;0,X19*AF11/X11,0),IF(Y11&gt;0,Y19*AF11/Y11,0),IF(Z11&gt;0,Z19*AF11/Z11,0),IF(AA11&gt;0,AA19*AF11/AA11,0),IF(AB11&gt;0,AB19*AF11/AB11,0),IF(AC11&gt;0,AC19*AF11/AC11,0),IF(AD11&gt;0,AD19*AF11/AD11,0),IF(AE11&gt;0,AE19*AF11/AE11,0),IF(AF11&gt;0,AF19*AF11/AF11,0))</f>
        <v>0.009443198974802254</v>
      </c>
      <c r="AG22" s="37">
        <f>SUM(IF(V11&gt;0,V19*AG11/V11,0),IF(W11&gt;0,W19*AG11/W11,0),IF(X11&gt;0,X19*AG11/X11,0),IF(Y11&gt;0,Y19*AG11/Y11,0),IF(Z11&gt;0,Z19*AG11/Z11,0),IF(AA11&gt;0,AA19*AG11/AA11,0),IF(AB11&gt;0,AB19*AG11/AB11,0),IF(AC11&gt;0,AC19*AG11/AC11,0),IF(AD11&gt;0,AD19*AG11/AD11,0),IF(AE11&gt;0,AE19*AG11/AE11,0),IF(AF11&gt;0,AF19*AG11/AF11,0),IF(AG11&gt;0,AG19*AG11/AG11,0))</f>
        <v>0.00934731410289348</v>
      </c>
      <c r="AH22" s="37">
        <f>SUM(IF(W11&gt;0,W19*AH11/W11,0),IF(X11&gt;0,X19*AH11/X11,0),IF(Y11&gt;0,Y19*AH11/Y11,0),IF(Z11&gt;0,Z19*AH11/Z11,0),IF(AA11&gt;0,AA19*AH11/AA11,0),IF(AB11&gt;0,AB19*AH11/AB11,0),IF(AC11&gt;0,AC19*AH11/AC11,0),IF(AD11&gt;0,AD19*AH11/AD11,0),IF(AE11&gt;0,AE19*AH11/AE11,0),IF(AF11&gt;0,AF19*AH11/AF11,0),IF(AG11&gt;0,AG19*AH11/AG11,0),IF(AH11&gt;0,AH19*AH11/AH11,0))</f>
        <v>0.009249787871772702</v>
      </c>
      <c r="AI22" s="37">
        <f>SUM(IF(X11&gt;0,X19*AI11/X11,0),IF(Y11&gt;0,Y19*AI11/Y11,0),IF(Z11&gt;0,Z19*AI11/Z11,0),IF(AA11&gt;0,AA19*AI11/AA11,0),IF(AB11&gt;0,AB19*AI11/AB11,0),IF(AC11&gt;0,AC19*AI11/AC11,0),IF(AD11&gt;0,AD19*AI11/AD11,0),IF(AE11&gt;0,AE19*AI11/AE11,0),IF(AF11&gt;0,AF19*AI11/AF11,0),IF(AG11&gt;0,AG19*AI11/AG11,0),IF(AH11&gt;0,AH19*AI11/AH11,0),IF(AI11&gt;0,AI19*AI11/AI11,0))</f>
        <v>0.00915059189904269</v>
      </c>
      <c r="AJ22" s="37">
        <f>SUM(IF(Y11&gt;0,Y19*AJ11/Y11,0),IF(Z11&gt;0,Z19*AJ11/Z11,0),IF(AA11&gt;0,AA19*AJ11/AA11,0),IF(AB11&gt;0,AB19*AJ11/AB11,0),IF(AC11&gt;0,AC19*AJ11/AC11,0),IF(AD11&gt;0,AD19*AJ11/AD11,0),IF(AE11&gt;0,AE19*AJ11/AE11,0),IF(AF11&gt;0,AF19*AJ11/AF11,0),IF(AG11&gt;0,AG19*AJ11/AG11,0),IF(AH11&gt;0,AH19*AJ11/AH11,0),IF(AI11&gt;0,AI19*AJ11/AI11,0),IF(AJ11&gt;0,AJ19*AJ11/AJ11,0))</f>
        <v>0.00904969860712004</v>
      </c>
      <c r="AK22" s="37">
        <f>SUM(IF(Z11&gt;0,Z19*AK11/Z11,0),IF(AA11&gt;0,AA19*AK11/AA11,0),IF(AB11&gt;0,AB19*AK11/AB11,0),IF(AC11&gt;0,AC19*AK11/AC11,0),IF(AD11&gt;0,AD19*AK11/AD11,0),IF(AE11&gt;0,AE19*AK11/AE11,0),IF(AF11&gt;0,AF19*AK11/AF11,0),IF(AG11&gt;0,AG19*AK11/AG11,0),IF(AH11&gt;0,AH19*AK11/AH11,0),IF(AI11&gt;0,AI19*AK11/AI11,0),IF(AJ11&gt;0,AJ19*AK11/AJ11,0),IF(AK11&gt;0,AK19*AK11/AK11,0))</f>
        <v>0.009021023965133018</v>
      </c>
      <c r="AL22" s="37">
        <f>SUM(IF(AA11&gt;0,AA19*AL11/AA11,0),IF(AB11&gt;0,AB19*AL11/AB11,0),IF(AC11&gt;0,AC19*AL11/AC11,0),IF(AD11&gt;0,AD19*AL11/AD11,0),IF(AE11&gt;0,AE19*AL11/AE11,0),IF(AF11&gt;0,AF19*AL11/AF11,0),IF(AG11&gt;0,AG19*AL11/AG11,0),IF(AH11&gt;0,AH19*AL11/AH11,0),IF(AI11&gt;0,AI19*AL11/AI11,0),IF(AJ11&gt;0,AJ19*AL11/AJ11,0),IF(AK11&gt;0,AK19*AL11/AK11,0),IF(AL11&gt;0,AL19*AL11/AL11,0))</f>
        <v>0.008991580550227758</v>
      </c>
      <c r="AM22" s="37">
        <f>SUM(IF(AB11&gt;0,AB19*AM11/AB11,0),IF(AC11&gt;0,AC19*AM11/AC11,0),IF(AD11&gt;0,AD19*AM11/AD11,0),IF(AE11&gt;0,AE19*AM11/AE11,0),IF(AF11&gt;0,AF19*AM11/AF11,0),IF(AG11&gt;0,AG19*AM11/AG11,0),IF(AH11&gt;0,AH19*AM11/AH11,0),IF(AI11&gt;0,AI19*AM11/AI11,0),IF(AJ11&gt;0,AJ19*AM11/AJ11,0),IF(AK11&gt;0,AK19*AM11/AK11,0),IF(AL11&gt;0,AL19*AM11/AL11,0),IF(AM11&gt;0,AM19*AM11/AM11,0))</f>
        <v>0.008961352633812144</v>
      </c>
      <c r="AN22" s="37">
        <f>SUM(IF(AC11&gt;0,AC19*AN11/AC11,0),IF(AD11&gt;0,AD19*AN11/AD11,0),IF(AE11&gt;0,AE19*AN11/AE11,0),IF(AF11&gt;0,AF19*AN11/AF11,0),IF(AG11&gt;0,AG19*AN11/AG11,0),IF(AH11&gt;0,AH19*AN11/AH11,0),IF(AI11&gt;0,AI19*AN11/AI11,0),IF(AJ11&gt;0,AJ19*AN11/AJ11,0),IF(AK11&gt;0,AK19*AN11/AK11,0),IF(AL11&gt;0,AL19*AN11/AL11,0),IF(AM11&gt;0,AM19*AN11/AM11,0),IF(AN11&gt;0,AN19*AN11/AN11,0))</f>
        <v>0.008930324910313706</v>
      </c>
      <c r="AO22" s="37">
        <f>SUM(IF(AD11&gt;0,AD19*AO11/AD11,0),IF(AE11&gt;0,AE19*AO11/AE11,0),IF(AF11&gt;0,AF19*AO11/AF11,0),IF(AG11&gt;0,AG19*AO11/AG11,0),IF(AH11&gt;0,AH19*AO11/AH11,0),IF(AI11&gt;0,AI19*AO11/AI11,0),IF(AJ11&gt;0,AJ19*AO11/AJ11,0),IF(AK11&gt;0,AK19*AO11/AK11,0),IF(AL11&gt;0,AL19*AO11/AL11,0),IF(AM11&gt;0,AM19*AO11/AM11,0),IF(AN11&gt;0,AN19*AO11/AN11,0),IF(AO11&gt;0,AO19*AO11/AO11,0))</f>
        <v>0.008898482457677468</v>
      </c>
      <c r="AP22" s="37">
        <f>SUM(IF(AE11&gt;0,AE19*AP11/AE11,0),IF(AF11&gt;0,AF19*AP11/AF11,0),IF(AG11&gt;0,AG19*AP11/AG11,0),IF(AH11&gt;0,AH19*AP11/AH11,0),IF(AI11&gt;0,AI19*AP11/AI11,0),IF(AJ11&gt;0,AJ19*AP11/AJ11,0),IF(AK11&gt;0,AK19*AP11/AK11,0),IF(AL11&gt;0,AL19*AP11/AL11,0),IF(AM11&gt;0,AM19*AP11/AM11,0),IF(AN11&gt;0,AN19*AP11/AN11,0),IF(AO11&gt;0,AO19*AP11/AO11,0),IF(AP11&gt;0,AP19*AP11/AP11,0))</f>
        <v>0.00886581070188499</v>
      </c>
      <c r="AQ22" s="37">
        <f>SUM(IF(AF11&gt;0,AF19*AQ11/AF11,0),IF(AG11&gt;0,AG19*AQ11/AG11,0),IF(AH11&gt;0,AH19*AQ11/AH11,0),IF(AI11&gt;0,AI19*AQ11/AI11,0),IF(AJ11&gt;0,AJ19*AQ11/AJ11,0),IF(AK11&gt;0,AK19*AQ11/AK11,0),IF(AL11&gt;0,AL19*AQ11/AL11,0),IF(AM11&gt;0,AM19*AQ11/AM11,0),IF(AN11&gt;0,AN19*AQ11/AN11,0),IF(AO11&gt;0,AO19*AQ11/AO11,0),IF(AP11&gt;0,AP19*AQ11/AP11,0),IF(AQ11&gt;0,AQ19*AQ11/AQ11,0))</f>
        <v>0.008832295385086725</v>
      </c>
    </row>
    <row r="23" ht="28" customHeight="1">
      <c r="A23" s="2" t="str">
        <v>PLUS.YREL</v>
      </c>
      <c r="B23" s="6" t="str">
        <v>Plus annual billing recognised in the month, gross</v>
      </c>
      <c r="C23" s="2" t="str">
        <v>EUR</v>
      </c>
      <c r="D23" s="2" t="str">
        <v>NA</v>
      </c>
      <c r="E23" s="2"/>
      <c r="F23" s="6" t="str"/>
      <c r="G23" s="2"/>
      <c r="H23" s="35">
        <f>SUM(H20:H20)/12</f>
        <v>0.134985</v>
      </c>
      <c r="I23" s="35">
        <f>SUM(H20:I20)/12</f>
        <v>0.14367803399999998</v>
      </c>
      <c r="J23" s="35">
        <f>SUM(H20:J20)/12</f>
        <v>0.151110416088</v>
      </c>
      <c r="K23" s="35">
        <f>SUM(H20:K20)/12</f>
        <v>0.15790642154437198</v>
      </c>
      <c r="L23" s="35">
        <f>SUM(H20:L20)/12</f>
        <v>0.1640693210988612</v>
      </c>
      <c r="M23" s="35">
        <f>SUM(H20:M20)/12</f>
        <v>0.16984823052952627</v>
      </c>
      <c r="N23" s="35">
        <f>SUM(H20:N20)/12</f>
        <v>0.17536775354331913</v>
      </c>
      <c r="O23" s="35">
        <f>SUM(H20:O20)/12</f>
        <v>0.1806292078349027</v>
      </c>
      <c r="P23" s="35">
        <f>SUM(H20:P20)/12</f>
        <v>0.18563388582086163</v>
      </c>
      <c r="Q23" s="35">
        <f>SUM(H20:Q20)/12</f>
        <v>0.19038305708158457</v>
      </c>
      <c r="R23" s="35">
        <f>SUM(H20:R20)/12</f>
        <v>0.19499945468192134</v>
      </c>
      <c r="S23" s="35">
        <f>SUM(H20:S20)/12</f>
        <v>0.1994837339917046</v>
      </c>
      <c r="T23" s="35">
        <f>SUM(I20:T20)/12</f>
        <v>0.11609628914867672</v>
      </c>
      <c r="U23" s="35">
        <f>SUM(J20:U20)/12</f>
        <v>0.11483353379386352</v>
      </c>
      <c r="V23" s="35">
        <f>SUM(K20:V20)/12</f>
        <v>0.11435578722271962</v>
      </c>
      <c r="W23" s="35">
        <f>SUM(L20:W20)/12</f>
        <v>0.11425734908238405</v>
      </c>
      <c r="X23" s="35">
        <f>SUM(M20:X20)/12</f>
        <v>0.11453616835912601</v>
      </c>
      <c r="Y23" s="35">
        <f>SUM(N20:Y20)/12</f>
        <v>0.11503039152129606</v>
      </c>
      <c r="Z23" s="35">
        <f>SUM(O20:Z20)/12</f>
        <v>0.11565909499068112</v>
      </c>
      <c r="AA23" s="35">
        <f>SUM(P20:AA20)/12</f>
        <v>0.11642148851333477</v>
      </c>
      <c r="AB23" s="35">
        <f>SUM(Q20:AB20)/12</f>
        <v>0.11731679596020556</v>
      </c>
      <c r="AC23" s="35">
        <f>SUM(R20:AC20)/12</f>
        <v>0.11834425398970988</v>
      </c>
      <c r="AD23" s="35">
        <f>SUM(S20:AD20)/12</f>
        <v>0.11942414616384538</v>
      </c>
      <c r="AE23" s="35">
        <f>SUM(T20:AE20)/12</f>
        <v>0.12055610491667051</v>
      </c>
      <c r="AF23" s="35">
        <f>SUM(U20:AF20)/12</f>
        <v>0.09103068103477763</v>
      </c>
      <c r="AG23" s="35">
        <f>SUM(V20:AG20)/12</f>
        <v>0.09016775397434451</v>
      </c>
      <c r="AH23" s="35">
        <f>SUM(W20:AH20)/12</f>
        <v>0.08954563500658363</v>
      </c>
      <c r="AI23" s="35">
        <f>SUM(X20:AI20)/12</f>
        <v>0.08902229106294939</v>
      </c>
      <c r="AJ23" s="35">
        <f>SUM(Y20:AJ20)/12</f>
        <v>0.08859696910448484</v>
      </c>
      <c r="AK23" s="35">
        <f>SUM(Z20:AK20)/12</f>
        <v>0.08824351296324762</v>
      </c>
      <c r="AL23" s="35">
        <f>SUM(AA20:AL20)/12</f>
        <v>0.08793355136694869</v>
      </c>
      <c r="AM23" s="35">
        <f>SUM(AB20:AM20)/12</f>
        <v>0.08766676175422909</v>
      </c>
      <c r="AN23" s="35">
        <f>SUM(AC20:AN20)/12</f>
        <v>0.08744282835172458</v>
      </c>
      <c r="AO23" s="35">
        <f>SUM(AD20:AO20)/12</f>
        <v>0.08726144152323888</v>
      </c>
      <c r="AP23" s="35">
        <f>SUM(AE20:AP20)/12</f>
        <v>0.08709465954604174</v>
      </c>
      <c r="AQ23" s="35">
        <f>SUM(AF20:AQ20)/12</f>
        <v>0.08694231415204275</v>
      </c>
    </row>
    <row r="24" ht="22" customHeight="1">
      <c r="A24" s="2" t="str">
        <v>PRO.M</v>
      </c>
      <c r="B24" s="6" t="str">
        <v>Pro monthly plans</v>
      </c>
      <c r="C24" s="2" t="str">
        <v>count</v>
      </c>
      <c r="D24" s="2" t="str">
        <v>NA</v>
      </c>
      <c r="E24" s="2"/>
      <c r="F24" s="6" t="str"/>
      <c r="G24" s="2"/>
      <c r="H24" s="38">
        <f>0*(1-'Inputs'!$E$23)+H15*'Inputs'!$E$19*(1-'Inputs'!$E$22)</f>
        <v>0.013999999999999999</v>
      </c>
      <c r="I24" s="38">
        <f>H24*(1-'Inputs'!$E$23)+I15*'Inputs'!$E$19*(1-'Inputs'!$E$22)</f>
        <v>0.0136416</v>
      </c>
      <c r="J24" s="38">
        <f>I24*(1-'Inputs'!$E$23)+J15*'Inputs'!$E$19*(1-'Inputs'!$E$22)</f>
        <v>0.013184707200000001</v>
      </c>
      <c r="K24" s="38">
        <f>J24*(1-'Inputs'!$E$23)+K15*'Inputs'!$E$19*(1-'Inputs'!$E$22)</f>
        <v>0.012702932804800001</v>
      </c>
      <c r="L24" s="38">
        <f>K24*(1-'Inputs'!$E$23)+L15*'Inputs'!$E$19*(1-'Inputs'!$E$22)</f>
        <v>0.012198855382448002</v>
      </c>
      <c r="M24" s="38">
        <f>L24*(1-'Inputs'!$E$23)+M15*'Inputs'!$E$19*(1-'Inputs'!$E$22)</f>
        <v>0.011700319305012245</v>
      </c>
      <c r="N24" s="38">
        <f>M24*(1-'Inputs'!$E$23)+N15*'Inputs'!$E$19*(1-'Inputs'!$E$22)</f>
        <v>0.011219749153278814</v>
      </c>
      <c r="O24" s="38">
        <f>N24*(1-'Inputs'!$E$23)+O15*'Inputs'!$E$19*(1-'Inputs'!$E$22)</f>
        <v>0.010755664658936402</v>
      </c>
      <c r="P24" s="38">
        <f>O24*(1-'Inputs'!$E$23)+P15*'Inputs'!$E$19*(1-'Inputs'!$E$22)</f>
        <v>0.01030671615610007</v>
      </c>
      <c r="Q24" s="38">
        <f>P24*(1-'Inputs'!$E$23)+Q15*'Inputs'!$E$19*(1-'Inputs'!$E$22)</f>
        <v>0.009871673080353255</v>
      </c>
      <c r="R24" s="38">
        <f>Q24*(1-'Inputs'!$E$23)+R15*'Inputs'!$E$19*(1-'Inputs'!$E$22)</f>
        <v>0.009462013231015042</v>
      </c>
      <c r="S24" s="38">
        <f>R24*(1-'Inputs'!$E$23)+S15*'Inputs'!$E$19*(1-'Inputs'!$E$22)</f>
        <v>0.009075520089540025</v>
      </c>
      <c r="T24" s="38">
        <f>S24*(1-'Inputs'!$E$23)+T15*'Inputs'!$E$19*(1-'Inputs'!$E$22)</f>
        <v>0.008710175459113081</v>
      </c>
      <c r="U24" s="38">
        <f>T24*(1-'Inputs'!$E$23)+U15*'Inputs'!$E$19*(1-'Inputs'!$E$22)</f>
        <v>0.00838133270874275</v>
      </c>
      <c r="V24" s="38">
        <f>U24*(1-'Inputs'!$E$23)+V15*'Inputs'!$E$19*(1-'Inputs'!$E$22)</f>
        <v>0.008078516450586052</v>
      </c>
      <c r="W24" s="38">
        <f>V24*(1-'Inputs'!$E$23)+W15*'Inputs'!$E$19*(1-'Inputs'!$E$22)</f>
        <v>0.007799392450222122</v>
      </c>
      <c r="X24" s="38">
        <f>W24*(1-'Inputs'!$E$23)+X15*'Inputs'!$E$19*(1-'Inputs'!$E$22)</f>
        <v>0.007541836179005679</v>
      </c>
      <c r="Y24" s="38">
        <f>X24*(1-'Inputs'!$E$23)+Y15*'Inputs'!$E$19*(1-'Inputs'!$E$22)</f>
        <v>0.007303913980193629</v>
      </c>
      <c r="Z24" s="38">
        <f>Y24*(1-'Inputs'!$E$23)+Z15*'Inputs'!$E$19*(1-'Inputs'!$E$22)</f>
        <v>0.007083865926124114</v>
      </c>
      <c r="AA24" s="38">
        <f>Z24*(1-'Inputs'!$E$23)+AA15*'Inputs'!$E$19*(1-'Inputs'!$E$22)</f>
        <v>0.006880090214653607</v>
      </c>
      <c r="AB24" s="38">
        <f>AA24*(1-'Inputs'!$E$23)+AB15*'Inputs'!$E$19*(1-'Inputs'!$E$22)</f>
        <v>0.006691128966679138</v>
      </c>
      <c r="AC24" s="38">
        <f>AB24*(1-'Inputs'!$E$23)+AC15*'Inputs'!$E$19*(1-'Inputs'!$E$22)</f>
        <v>0.006515655298972301</v>
      </c>
      <c r="AD24" s="38">
        <f>AC24*(1-'Inputs'!$E$23)+AD15*'Inputs'!$E$19*(1-'Inputs'!$E$22)</f>
        <v>0.006352461557838854</v>
      </c>
      <c r="AE24" s="38">
        <f>AD24*(1-'Inputs'!$E$23)+AE15*'Inputs'!$E$19*(1-'Inputs'!$E$22)</f>
        <v>0.006200448609392292</v>
      </c>
      <c r="AF24" s="38">
        <f>AE24*(1-'Inputs'!$E$23)+AF15*'Inputs'!$E$19*(1-'Inputs'!$E$22)</f>
        <v>0.006058616091582552</v>
      </c>
      <c r="AG24" s="38">
        <f>AF24*(1-'Inputs'!$E$23)+AG15*'Inputs'!$E$19*(1-'Inputs'!$E$22)</f>
        <v>0.005924753443467071</v>
      </c>
      <c r="AH24" s="38">
        <f>AG24*(1-'Inputs'!$E$23)+AH15*'Inputs'!$E$19*(1-'Inputs'!$E$22)</f>
        <v>0.005795848466867909</v>
      </c>
      <c r="AI24" s="38">
        <f>AH24*(1-'Inputs'!$E$23)+AI15*'Inputs'!$E$19*(1-'Inputs'!$E$22)</f>
        <v>0.0056714591857480595</v>
      </c>
      <c r="AJ24" s="38">
        <f>AI24*(1-'Inputs'!$E$23)+AJ15*'Inputs'!$E$19*(1-'Inputs'!$E$22)</f>
        <v>0.005551183312938206</v>
      </c>
      <c r="AK24" s="38">
        <f>AJ24*(1-'Inputs'!$E$23)+AK15*'Inputs'!$E$19*(1-'Inputs'!$E$22)</f>
        <v>0.005437820624215399</v>
      </c>
      <c r="AL24" s="38">
        <f>AK24*(1-'Inputs'!$E$23)+AL15*'Inputs'!$E$19*(1-'Inputs'!$E$22)</f>
        <v>0.005330751091469981</v>
      </c>
      <c r="AM24" s="38">
        <f>AL24*(1-'Inputs'!$E$23)+AM15*'Inputs'!$E$19*(1-'Inputs'!$E$22)</f>
        <v>0.005229410433501297</v>
      </c>
      <c r="AN24" s="38">
        <f>AM24*(1-'Inputs'!$E$23)+AN15*'Inputs'!$E$19*(1-'Inputs'!$E$22)</f>
        <v>0.005133285106544467</v>
      </c>
      <c r="AO24" s="38">
        <f>AN24*(1-'Inputs'!$E$23)+AO15*'Inputs'!$E$19*(1-'Inputs'!$E$22)</f>
        <v>0.0050419077448572176</v>
      </c>
      <c r="AP24" s="38">
        <f>AO24*(1-'Inputs'!$E$23)+AP15*'Inputs'!$E$19*(1-'Inputs'!$E$22)</f>
        <v>0.004954853010941436</v>
      </c>
      <c r="AQ24" s="38">
        <f>AP24*(1-'Inputs'!$E$23)+AQ15*'Inputs'!$E$19*(1-'Inputs'!$E$22)</f>
        <v>0.0048717338186043384</v>
      </c>
    </row>
    <row r="25" ht="22" customHeight="1">
      <c r="A25" s="2" t="str">
        <v>PRO.MA</v>
      </c>
      <c r="B25" s="6" t="str">
        <v>Pro monthly plans, active users</v>
      </c>
      <c r="C25" s="2" t="str">
        <v>count</v>
      </c>
      <c r="D25" s="2" t="str">
        <v>NA</v>
      </c>
      <c r="E25" s="2"/>
      <c r="F25" s="6" t="str"/>
      <c r="G25" s="2"/>
      <c r="H25" s="38">
        <f>0*H12*(1-'Inputs'!$E$23)+H15*'Inputs'!$E$19*(1-'Inputs'!$E$22)</f>
        <v>0.013999999999999999</v>
      </c>
      <c r="I25" s="38">
        <f>H25*I12*(1-'Inputs'!$E$23)+I15*'Inputs'!$E$19*(1-'Inputs'!$E$22)</f>
        <v>0.0098196</v>
      </c>
      <c r="J25" s="38">
        <f>I25*J12*(1-'Inputs'!$E$23)+J15*'Inputs'!$E$19*(1-'Inputs'!$E$22)</f>
        <v>0.0084301392</v>
      </c>
      <c r="K25" s="38">
        <f>J25*K12*(1-'Inputs'!$E$23)+K15*'Inputs'!$E$19*(1-'Inputs'!$E$22)</f>
        <v>0.007736990368800001</v>
      </c>
      <c r="L25" s="38">
        <f>K25*L12*(1-'Inputs'!$E$23)+L15*'Inputs'!$E$19*(1-'Inputs'!$E$22)</f>
        <v>0.007039787653360001</v>
      </c>
      <c r="M25" s="38">
        <f>L25*M12*(1-'Inputs'!$E$23)+M15*'Inputs'!$E$19*(1-'Inputs'!$E$22)</f>
        <v>0.006621195265668709</v>
      </c>
      <c r="N25" s="38">
        <f>M25*N12*(1-'Inputs'!$E$23)+N15*'Inputs'!$E$19*(1-'Inputs'!$E$22)</f>
        <v>0.0063413510565503</v>
      </c>
      <c r="O25" s="38">
        <f>N25*O12*(1-'Inputs'!$E$23)+O15*'Inputs'!$E$19*(1-'Inputs'!$E$22)</f>
        <v>0.006059849970404086</v>
      </c>
      <c r="P25" s="38">
        <f>O25*P12*(1-'Inputs'!$E$23)+P15*'Inputs'!$E$19*(1-'Inputs'!$E$22)</f>
        <v>0.005777038116369722</v>
      </c>
      <c r="Q25" s="38">
        <f>P25*Q12*(1-'Inputs'!$E$23)+Q15*'Inputs'!$E$19*(1-'Inputs'!$E$22)</f>
        <v>0.005493221933179297</v>
      </c>
      <c r="R25" s="38">
        <f>Q25*R12*(1-'Inputs'!$E$23)+R15*'Inputs'!$E$19*(1-'Inputs'!$E$22)</f>
        <v>0.00534944750864589</v>
      </c>
      <c r="S25" s="38">
        <f>R25*S12*(1-'Inputs'!$E$23)+S15*'Inputs'!$E$19*(1-'Inputs'!$E$22)</f>
        <v>0.005204980091845471</v>
      </c>
      <c r="T25" s="38">
        <f>S25*T12*(1-'Inputs'!$E$23)+T15*'Inputs'!$E$19*(1-'Inputs'!$E$22)</f>
        <v>0.005059969685979164</v>
      </c>
      <c r="U25" s="38">
        <f>T25*U12*(1-'Inputs'!$E$23)+U15*'Inputs'!$E$19*(1-'Inputs'!$E$22)</f>
        <v>0.0050276692578697674</v>
      </c>
      <c r="V25" s="38">
        <f>U25*V12*(1-'Inputs'!$E$23)+V15*'Inputs'!$E$19*(1-'Inputs'!$E$22)</f>
        <v>0.004994688451377922</v>
      </c>
      <c r="W25" s="38">
        <f>V25*W12*(1-'Inputs'!$E$23)+W15*'Inputs'!$E$19*(1-'Inputs'!$E$22)</f>
        <v>0.004961100756219104</v>
      </c>
      <c r="X25" s="38">
        <f>W25*X12*(1-'Inputs'!$E$23)+X15*'Inputs'!$E$19*(1-'Inputs'!$E$22)</f>
        <v>0.0049269722857738585</v>
      </c>
      <c r="Y25" s="38">
        <f>X25*Y12*(1-'Inputs'!$E$23)+Y15*'Inputs'!$E$19*(1-'Inputs'!$E$22)</f>
        <v>0.004892362517495142</v>
      </c>
      <c r="Z25" s="38">
        <f>Y25*Z12*(1-'Inputs'!$E$23)+Z15*'Inputs'!$E$19*(1-'Inputs'!$E$22)</f>
        <v>0.0048573249591625876</v>
      </c>
      <c r="AA25" s="38">
        <f>Z25*AA12*(1-'Inputs'!$E$23)+AA15*'Inputs'!$E$19*(1-'Inputs'!$E$22)</f>
        <v>0.004821907748393706</v>
      </c>
      <c r="AB25" s="38">
        <f>AA25*AB12*(1-'Inputs'!$E$23)+AB15*'Inputs'!$E$19*(1-'Inputs'!$E$22)</f>
        <v>0.0047861541920830785</v>
      </c>
      <c r="AC25" s="38">
        <f>AB25*AC12*(1-'Inputs'!$E$23)+AC15*'Inputs'!$E$19*(1-'Inputs'!$E$22)</f>
        <v>0.004750103251775214</v>
      </c>
      <c r="AD25" s="38">
        <f>AC25*AD12*(1-'Inputs'!$E$23)+AD15*'Inputs'!$E$19*(1-'Inputs'!$E$22)</f>
        <v>0.004713789980377539</v>
      </c>
      <c r="AE25" s="38">
        <f>AD25*AE12*(1-'Inputs'!$E$23)+AE15*'Inputs'!$E$19*(1-'Inputs'!$E$22)</f>
        <v>0.004677245915080528</v>
      </c>
      <c r="AF25" s="38">
        <f>AE25*AF12*(1-'Inputs'!$E$23)+AF15*'Inputs'!$E$19*(1-'Inputs'!$E$22)</f>
        <v>0.004640499430866189</v>
      </c>
      <c r="AG25" s="38">
        <f>AF25*AG12*(1-'Inputs'!$E$23)+AG15*'Inputs'!$E$19*(1-'Inputs'!$E$22)</f>
        <v>0.004563886374180377</v>
      </c>
      <c r="AH25" s="38">
        <f>AG25*AH12*(1-'Inputs'!$E$23)+AH15*'Inputs'!$E$19*(1-'Inputs'!$E$22)</f>
        <v>0.004487067288045762</v>
      </c>
      <c r="AI25" s="38">
        <f>AH25*AI12*(1-'Inputs'!$E$23)+AI15*'Inputs'!$E$19*(1-'Inputs'!$E$22)</f>
        <v>0.004410067774535049</v>
      </c>
      <c r="AJ25" s="38">
        <f>AI25*AJ12*(1-'Inputs'!$E$23)+AJ15*'Inputs'!$E$19*(1-'Inputs'!$E$22)</f>
        <v>0.004332910783561964</v>
      </c>
      <c r="AK25" s="38">
        <f>AJ25*AK12*(1-'Inputs'!$E$23)+AK15*'Inputs'!$E$19*(1-'Inputs'!$E$22)</f>
        <v>0.004290787276901447</v>
      </c>
      <c r="AL25" s="38">
        <f>AK25*AL12*(1-'Inputs'!$E$23)+AL15*'Inputs'!$E$19*(1-'Inputs'!$E$22)</f>
        <v>0.004248544682247265</v>
      </c>
      <c r="AM25" s="38">
        <f>AL25*AM12*(1-'Inputs'!$E$23)+AM15*'Inputs'!$E$19*(1-'Inputs'!$E$22)</f>
        <v>0.004206196882623409</v>
      </c>
      <c r="AN25" s="38">
        <f>AM25*AN12*(1-'Inputs'!$E$23)+AN15*'Inputs'!$E$19*(1-'Inputs'!$E$22)</f>
        <v>0.004163756368925984</v>
      </c>
      <c r="AO25" s="38">
        <f>AN25*AO12*(1-'Inputs'!$E$23)+AO15*'Inputs'!$E$19*(1-'Inputs'!$E$22)</f>
        <v>0.004121234381167749</v>
      </c>
      <c r="AP25" s="38">
        <f>AO25*AP12*(1-'Inputs'!$E$23)+AP15*'Inputs'!$E$19*(1-'Inputs'!$E$22)</f>
        <v>0.004078641035442763</v>
      </c>
      <c r="AQ25" s="38">
        <f>AP25*AQ12*(1-'Inputs'!$E$23)+AQ15*'Inputs'!$E$19*(1-'Inputs'!$E$22)</f>
        <v>0.0040359854380496545</v>
      </c>
    </row>
    <row r="26" ht="22" customHeight="1">
      <c r="A26" s="2" t="str">
        <v>PRO.YB</v>
      </c>
      <c r="B26" s="6" t="str">
        <v>Pro annual plans billed</v>
      </c>
      <c r="C26" s="2" t="str">
        <v>count</v>
      </c>
      <c r="D26" s="2" t="str">
        <v>NA</v>
      </c>
      <c r="E26" s="2"/>
      <c r="F26" s="6" t="str"/>
      <c r="G26" s="2"/>
      <c r="H26" s="38">
        <f>H15*'Inputs'!$E$19*'Inputs'!$E$22+0*'Inputs'!$E$24</f>
        <v>0.006</v>
      </c>
      <c r="I26" s="38">
        <f>I15*'Inputs'!$E$19*'Inputs'!$E$22+0*'Inputs'!$E$24</f>
        <v>0.0003864</v>
      </c>
      <c r="J26" s="38">
        <f>J15*'Inputs'!$E$19*'Inputs'!$E$22+0*'Inputs'!$E$24</f>
        <v>0.0003303648</v>
      </c>
      <c r="K26" s="38">
        <f>K15*'Inputs'!$E$19*'Inputs'!$E$22+0*'Inputs'!$E$24</f>
        <v>0.0003020782512</v>
      </c>
      <c r="L26" s="38">
        <f>L15*'Inputs'!$E$19*'Inputs'!$E$22+0*'Inputs'!$E$24</f>
        <v>0.00027393708432</v>
      </c>
      <c r="M26" s="38">
        <f>M15*'Inputs'!$E$19*'Inputs'!$E$22+0*'Inputs'!$E$24</f>
        <v>0.0002568689601362419</v>
      </c>
      <c r="N26" s="38">
        <f>N15*'Inputs'!$E$19*'Inputs'!$E$22+0*'Inputs'!$E$24</f>
        <v>0.00024533939387900126</v>
      </c>
      <c r="O26" s="38">
        <f>O15*'Inputs'!$E$19*'Inputs'!$E$22+0*'Inputs'!$E$24</f>
        <v>0.00023386839833686277</v>
      </c>
      <c r="P26" s="38">
        <f>P15*'Inputs'!$E$19*'Inputs'!$E$22+0*'Inputs'!$E$24</f>
        <v>0.00022245484991483333</v>
      </c>
      <c r="Q26" s="38">
        <f>Q15*'Inputs'!$E$19*'Inputs'!$E$22+0*'Inputs'!$E$24</f>
        <v>0.00021109773355808064</v>
      </c>
      <c r="R26" s="38">
        <f>R15*'Inputs'!$E$19*'Inputs'!$E$22+0*'Inputs'!$E$24</f>
        <v>0.00020519602624010573</v>
      </c>
      <c r="S26" s="38">
        <f>S15*'Inputs'!$E$19*'Inputs'!$E$22+0*'Inputs'!$E$24</f>
        <v>0.00019932344970700108</v>
      </c>
      <c r="T26" s="38">
        <f>T15*'Inputs'!$E$19*'Inputs'!$E$22+H26*'Inputs'!$E$24</f>
        <v>0.0022934795046992825</v>
      </c>
      <c r="U26" s="38">
        <f>U15*'Inputs'!$E$19*'Inputs'!$E$22+I26*'Inputs'!$E$24</f>
        <v>0.00033027130326421976</v>
      </c>
      <c r="V26" s="38">
        <f>V15*'Inputs'!$E$19*'Inputs'!$E$22+J26*'Inputs'!$E$24</f>
        <v>0.0003091292595557783</v>
      </c>
      <c r="W26" s="38">
        <f>W15*'Inputs'!$E$19*'Inputs'!$E$22+K26*'Inputs'!$E$24</f>
        <v>0.000297702736572349</v>
      </c>
      <c r="X26" s="38">
        <f>X15*'Inputs'!$E$19*'Inputs'!$E$22+L26*'Inputs'!$E$24</f>
        <v>0.0002863304292135202</v>
      </c>
      <c r="Y26" s="38">
        <f>Y15*'Inputs'!$E$19*'Inputs'!$E$22+M26*'Inputs'!$E$24</f>
        <v>0.0002788368748898821</v>
      </c>
      <c r="Z26" s="38">
        <f>Z15*'Inputs'!$E$19*'Inputs'!$E$22+N26*'Inputs'!$E$24</f>
        <v>0.0002732848753496127</v>
      </c>
      <c r="AA26" s="38">
        <f>AA15*'Inputs'!$E$19*'Inputs'!$E$22+O26*'Inputs'!$E$24</f>
        <v>0.0002677563202239004</v>
      </c>
      <c r="AB26" s="38">
        <f>AB15*'Inputs'!$E$19*'Inputs'!$E$22+P26*'Inputs'!$E$24</f>
        <v>0.0002622507137606296</v>
      </c>
      <c r="AC26" s="38">
        <f>AC15*'Inputs'!$E$19*'Inputs'!$E$22+Q26*'Inputs'!$E$24</f>
        <v>0.0002567676093000221</v>
      </c>
      <c r="AD26" s="38">
        <f>AD15*'Inputs'!$E$19*'Inputs'!$E$22+R26*'Inputs'!$E$24</f>
        <v>0.0002531965673729198</v>
      </c>
      <c r="AE26" s="38">
        <f>AE15*'Inputs'!$E$19*'Inputs'!$E$22+S26*'Inputs'!$E$24</f>
        <v>0.00024963831815127903</v>
      </c>
      <c r="AF26" s="38">
        <f>AF15*'Inputs'!$E$19*'Inputs'!$E$22+T26*'Inputs'!$E$24</f>
        <v>0.000981092622517134</v>
      </c>
      <c r="AG26" s="38">
        <f>AG15*'Inputs'!$E$19*'Inputs'!$E$22+U26*'Inputs'!$E$24</f>
        <v>0.00029191472762545495</v>
      </c>
      <c r="AH26" s="38">
        <f>AH15*'Inputs'!$E$19*'Inputs'!$E$22+V26*'Inputs'!$E$24</f>
        <v>0.00028147645512146874</v>
      </c>
      <c r="AI26" s="38">
        <f>AI15*'Inputs'!$E$19*'Inputs'!$E$22+W26*'Inputs'!$E$24</f>
        <v>0.00027444042104243435</v>
      </c>
      <c r="AJ26" s="38">
        <f>AJ15*'Inputs'!$E$19*'Inputs'!$E$22+X26*'Inputs'!$E$24</f>
        <v>0.00026742513047079135</v>
      </c>
      <c r="AK26" s="38">
        <f>AK15*'Inputs'!$E$19*'Inputs'!$E$22+Y26*'Inputs'!$E$24</f>
        <v>0.00026312596740072936</v>
      </c>
      <c r="AL26" s="38">
        <f>AL15*'Inputs'!$E$19*'Inputs'!$E$22+Z26*'Inputs'!$E$24</f>
        <v>0.0002595072735583503</v>
      </c>
      <c r="AM26" s="38">
        <f>AM15*'Inputs'!$E$19*'Inputs'!$E$22+AA26*'Inputs'!$E$24</f>
        <v>0.0002558976864770568</v>
      </c>
      <c r="AN26" s="38">
        <f>AN15*'Inputs'!$E$19*'Inputs'!$E$22+AB26*'Inputs'!$E$24</f>
        <v>0.0002522970121269147</v>
      </c>
      <c r="AO26" s="38">
        <f>AO15*'Inputs'!$E$19*'Inputs'!$E$22+AC26*'Inputs'!$E$24</f>
        <v>0.000248705076641473</v>
      </c>
      <c r="AP26" s="38">
        <f>AP15*'Inputs'!$E$19*'Inputs'!$E$22+AD26*'Inputs'!$E$24</f>
        <v>0.0002457832113468225</v>
      </c>
      <c r="AQ26" s="38">
        <f>AQ15*'Inputs'!$E$19*'Inputs'!$E$22+AE26*'Inputs'!$E$24</f>
        <v>0.00024286665934478981</v>
      </c>
    </row>
    <row r="27" ht="22" customHeight="1">
      <c r="A27" s="2" t="str">
        <v>PRO.YBA</v>
      </c>
      <c r="B27" s="6" t="str">
        <v>Pro annual plans billed, active users</v>
      </c>
      <c r="C27" s="2" t="str">
        <v>count</v>
      </c>
      <c r="D27" s="2" t="str">
        <v>NA</v>
      </c>
      <c r="E27" s="2"/>
      <c r="F27" s="6" t="str"/>
      <c r="G27" s="2"/>
      <c r="H27" s="38">
        <f>H15*'Inputs'!$E$19*'Inputs'!$E$22+0*'Inputs'!$E$24</f>
        <v>0.006</v>
      </c>
      <c r="I27" s="38">
        <f>I15*'Inputs'!$E$19*'Inputs'!$E$22+0*'Inputs'!$E$24</f>
        <v>0.0003864</v>
      </c>
      <c r="J27" s="38">
        <f>J15*'Inputs'!$E$19*'Inputs'!$E$22+0*'Inputs'!$E$24</f>
        <v>0.0003303648</v>
      </c>
      <c r="K27" s="38">
        <f>K15*'Inputs'!$E$19*'Inputs'!$E$22+0*'Inputs'!$E$24</f>
        <v>0.0003020782512</v>
      </c>
      <c r="L27" s="38">
        <f>L15*'Inputs'!$E$19*'Inputs'!$E$22+0*'Inputs'!$E$24</f>
        <v>0.00027393708432</v>
      </c>
      <c r="M27" s="38">
        <f>M15*'Inputs'!$E$19*'Inputs'!$E$22+0*'Inputs'!$E$24</f>
        <v>0.0002568689601362419</v>
      </c>
      <c r="N27" s="38">
        <f>N15*'Inputs'!$E$19*'Inputs'!$E$22+0*'Inputs'!$E$24</f>
        <v>0.00024533939387900126</v>
      </c>
      <c r="O27" s="38">
        <f>O15*'Inputs'!$E$19*'Inputs'!$E$22+0*'Inputs'!$E$24</f>
        <v>0.00023386839833686277</v>
      </c>
      <c r="P27" s="38">
        <f>P15*'Inputs'!$E$19*'Inputs'!$E$22+0*'Inputs'!$E$24</f>
        <v>0.00022245484991483333</v>
      </c>
      <c r="Q27" s="38">
        <f>Q15*'Inputs'!$E$19*'Inputs'!$E$22+0*'Inputs'!$E$24</f>
        <v>0.00021109773355808064</v>
      </c>
      <c r="R27" s="38">
        <f>R15*'Inputs'!$E$19*'Inputs'!$E$22+0*'Inputs'!$E$24</f>
        <v>0.00020519602624010573</v>
      </c>
      <c r="S27" s="38">
        <f>S15*'Inputs'!$E$19*'Inputs'!$E$22+0*'Inputs'!$E$24</f>
        <v>0.00019932344970700108</v>
      </c>
      <c r="T27" s="38">
        <f>T15*'Inputs'!$E$19*'Inputs'!$E$22+IF(H11&gt;0,H27*T11/H11,0)*'Inputs'!$E$24</f>
        <v>0.0009494795046992827</v>
      </c>
      <c r="U27" s="38">
        <f>U15*'Inputs'!$E$19*'Inputs'!$E$22+IF(I11&gt;0,I27*U11/I11,0)*'Inputs'!$E$24</f>
        <v>0.0002641003032642198</v>
      </c>
      <c r="V27" s="38">
        <f>V15*'Inputs'!$E$19*'Inputs'!$E$22+IF(J11&gt;0,J27*V11/J11,0)*'Inputs'!$E$24</f>
        <v>0.0002619146235557783</v>
      </c>
      <c r="W27" s="38">
        <f>W15*'Inputs'!$E$19*'Inputs'!$E$22+IF(K11&gt;0,K27*W11/K11,0)*'Inputs'!$E$24</f>
        <v>0.00025973699272834896</v>
      </c>
      <c r="X27" s="38">
        <f>X15*'Inputs'!$E$19*'Inputs'!$E$22+IF(L11&gt;0,L27*X11/L11,0)*'Inputs'!$E$24</f>
        <v>0.0002575670353599202</v>
      </c>
      <c r="Y27" s="38">
        <f>Y15*'Inputs'!$E$19*'Inputs'!$E$22+IF(M11&gt;0,M27*Y11/M11,0)*'Inputs'!$E$24</f>
        <v>0.0002554044138987302</v>
      </c>
      <c r="Z27" s="38">
        <f>Z15*'Inputs'!$E$19*'Inputs'!$E$22+IF(N11&gt;0,N27*Z11/N11,0)*'Inputs'!$E$24</f>
        <v>0.00025324882484949423</v>
      </c>
      <c r="AA27" s="38">
        <f>AA15*'Inputs'!$E$19*'Inputs'!$E$22+IF(O11&gt;0,O27*AA11/O11,0)*'Inputs'!$E$24</f>
        <v>0.0002510999953423506</v>
      </c>
      <c r="AB27" s="38">
        <f>AB15*'Inputs'!$E$19*'Inputs'!$E$22+IF(P11&gt;0,P27*AB11/P11,0)*'Inputs'!$E$24</f>
        <v>0.00024895768004620664</v>
      </c>
      <c r="AC27" s="38">
        <f>AC15*'Inputs'!$E$19*'Inputs'!$E$22+IF(Q11&gt;0,Q27*AC11/Q11,0)*'Inputs'!$E$24</f>
        <v>0.0002468216583919971</v>
      </c>
      <c r="AD27" s="38">
        <f>AD15*'Inputs'!$E$19*'Inputs'!$E$22+IF(R11&gt;0,R27*AD11/R11,0)*'Inputs'!$E$24</f>
        <v>0.0002446917320748102</v>
      </c>
      <c r="AE27" s="38">
        <f>AE15*'Inputs'!$E$19*'Inputs'!$E$22+IF(S11&gt;0,S27*AE11/S11,0)*'Inputs'!$E$24</f>
        <v>0.0002425677228069429</v>
      </c>
      <c r="AF27" s="38">
        <f>AF15*'Inputs'!$E$19*'Inputs'!$E$22+IF(T11&gt;0,T27*AF11/T11,0)*'Inputs'!$E$24</f>
        <v>0.0004829994702967384</v>
      </c>
      <c r="AG27" s="38">
        <f>AG15*'Inputs'!$E$19*'Inputs'!$E$22+IF(U11&gt;0,U27*AG11/U11,0)*'Inputs'!$E$24</f>
        <v>0.00026022240628922633</v>
      </c>
      <c r="AH27" s="38">
        <f>AH15*'Inputs'!$E$19*'Inputs'!$E$22+IF(V11&gt;0,V27*AH11/V11,0)*'Inputs'!$E$24</f>
        <v>0.0002556552078544186</v>
      </c>
      <c r="AI27" s="38">
        <f>AI15*'Inputs'!$E$19*'Inputs'!$E$22+IF(W11&gt;0,W27*AI11/W11,0)*'Inputs'!$E$24</f>
        <v>0.0002510945101275536</v>
      </c>
      <c r="AJ27" s="38">
        <f>AJ15*'Inputs'!$E$19*'Inputs'!$E$22+IF(X11&gt;0,X27*AJ11/X11,0)*'Inputs'!$E$24</f>
        <v>0.00024654012713691466</v>
      </c>
      <c r="AK27" s="38">
        <f>AK15*'Inputs'!$E$19*'Inputs'!$E$22+IF(Y11&gt;0,Y27*AK11/Y11,0)*'Inputs'!$E$24</f>
        <v>0.00024399182718549926</v>
      </c>
      <c r="AL27" s="38">
        <f>AL15*'Inputs'!$E$19*'Inputs'!$E$22+IF(Z11&gt;0,Z27*AL11/Z11,0)*'Inputs'!$E$24</f>
        <v>0.00024144713468335265</v>
      </c>
      <c r="AM27" s="38">
        <f>AM15*'Inputs'!$E$19*'Inputs'!$E$22+IF(AA11&gt;0,AA27*AM11/AA11,0)*'Inputs'!$E$24</f>
        <v>0.00023890593647920842</v>
      </c>
      <c r="AN27" s="38">
        <f>AN15*'Inputs'!$E$19*'Inputs'!$E$22+IF(AB11&gt;0,AB27*AN11/AB11,0)*'Inputs'!$E$24</f>
        <v>0.00023636813187771495</v>
      </c>
      <c r="AO27" s="38">
        <f>AO15*'Inputs'!$E$19*'Inputs'!$E$22+IF(AC11&gt;0,AC27*AO11/AC11,0)*'Inputs'!$E$24</f>
        <v>0.00023383363136601873</v>
      </c>
      <c r="AP27" s="38">
        <f>AP15*'Inputs'!$E$19*'Inputs'!$E$22+IF(AD11&gt;0,AD27*AP11/AD11,0)*'Inputs'!$E$24</f>
        <v>0.0002313023554695639</v>
      </c>
      <c r="AQ27" s="38">
        <f>AQ15*'Inputs'!$E$19*'Inputs'!$E$22+IF(AE11&gt;0,AE27*AQ11/AE11,0)*'Inputs'!$E$24</f>
        <v>0.0002287742337240449</v>
      </c>
    </row>
    <row r="28" ht="22" customHeight="1">
      <c r="A28" s="2" t="str">
        <v>PRO.YG</v>
      </c>
      <c r="B28" s="6" t="str">
        <v>Pro annual billing, gross</v>
      </c>
      <c r="C28" s="2" t="str">
        <v>EUR</v>
      </c>
      <c r="D28" s="2" t="str">
        <v>NA</v>
      </c>
      <c r="E28" s="2"/>
      <c r="F28" s="6" t="str"/>
      <c r="G28" s="2"/>
      <c r="H28" s="36">
        <f>H26*'Inputs'!$E$18*'Inputs'!$E$59/'Inputs'!$E$60</f>
        <v>1.6199400000000002</v>
      </c>
      <c r="I28" s="36">
        <f>I26*'Inputs'!$E$18*'Inputs'!$E$59/'Inputs'!$E$60</f>
        <v>0.10432413600000001</v>
      </c>
      <c r="J28" s="36">
        <f>J26*'Inputs'!$E$18*'Inputs'!$E$59/'Inputs'!$E$60</f>
        <v>0.089195192352</v>
      </c>
      <c r="K28" s="36">
        <f>K26*'Inputs'!$E$18*'Inputs'!$E$59/'Inputs'!$E$60</f>
        <v>0.081558107041488</v>
      </c>
      <c r="L28" s="36">
        <f>L26*'Inputs'!$E$18*'Inputs'!$E$59/'Inputs'!$E$60</f>
        <v>0.0739602733955568</v>
      </c>
      <c r="M28" s="36">
        <f>M26*'Inputs'!$E$18*'Inputs'!$E$59/'Inputs'!$E$60</f>
        <v>0.06935205054718395</v>
      </c>
      <c r="N28" s="36">
        <f>N26*'Inputs'!$E$18*'Inputs'!$E$59/'Inputs'!$E$60</f>
        <v>0.06623918295339155</v>
      </c>
      <c r="O28" s="36">
        <f>O26*'Inputs'!$E$18*'Inputs'!$E$59/'Inputs'!$E$60</f>
        <v>0.06314212886696959</v>
      </c>
      <c r="P28" s="36">
        <f>P26*'Inputs'!$E$18*'Inputs'!$E$59/'Inputs'!$E$60</f>
        <v>0.060060584928505856</v>
      </c>
      <c r="Q28" s="36">
        <f>Q26*'Inputs'!$E$18*'Inputs'!$E$59/'Inputs'!$E$60</f>
        <v>0.056994277083346194</v>
      </c>
      <c r="R28" s="36">
        <f>R26*'Inputs'!$E$18*'Inputs'!$E$59/'Inputs'!$E$60</f>
        <v>0.055400875124566144</v>
      </c>
      <c r="S28" s="36">
        <f>S26*'Inputs'!$E$18*'Inputs'!$E$59/'Inputs'!$E$60</f>
        <v>0.053815338186393225</v>
      </c>
      <c r="T28" s="36">
        <f>T26*'Inputs'!$E$18*'Inputs'!$E$59/'Inputs'!$E$60</f>
        <v>0.6192165314737593</v>
      </c>
      <c r="U28" s="36">
        <f>U26*'Inputs'!$E$18*'Inputs'!$E$59/'Inputs'!$E$60</f>
        <v>0.08916994916830669</v>
      </c>
      <c r="V28" s="36">
        <f>V26*'Inputs'!$E$18*'Inputs'!$E$59/'Inputs'!$E$60</f>
        <v>0.08346180878746458</v>
      </c>
      <c r="W28" s="36">
        <f>W26*'Inputs'!$E$18*'Inputs'!$E$59/'Inputs'!$E$60</f>
        <v>0.0803767618471685</v>
      </c>
      <c r="X28" s="36">
        <f>X26*'Inputs'!$E$18*'Inputs'!$E$59/'Inputs'!$E$60</f>
        <v>0.07730635258335831</v>
      </c>
      <c r="Y28" s="36">
        <f>Y26*'Inputs'!$E$18*'Inputs'!$E$59/'Inputs'!$E$60</f>
        <v>0.07528316785151927</v>
      </c>
      <c r="Z28" s="36">
        <f>Z26*'Inputs'!$E$18*'Inputs'!$E$59/'Inputs'!$E$60</f>
        <v>0.07378418349564195</v>
      </c>
      <c r="AA28" s="36">
        <f>AA26*'Inputs'!$E$18*'Inputs'!$E$59/'Inputs'!$E$60</f>
        <v>0.07229152889725088</v>
      </c>
      <c r="AB28" s="36">
        <f>AB26*'Inputs'!$E$18*'Inputs'!$E$59/'Inputs'!$E$60</f>
        <v>0.07080507020823239</v>
      </c>
      <c r="AC28" s="36">
        <f>AC26*'Inputs'!$E$18*'Inputs'!$E$59/'Inputs'!$E$60</f>
        <v>0.06932468683491297</v>
      </c>
      <c r="AD28" s="36">
        <f>AD26*'Inputs'!$E$18*'Inputs'!$E$59/'Inputs'!$E$60</f>
        <v>0.06836054122501463</v>
      </c>
      <c r="AE28" s="36">
        <f>AE26*'Inputs'!$E$18*'Inputs'!$E$59/'Inputs'!$E$60</f>
        <v>0.06739984951766383</v>
      </c>
      <c r="AF28" s="36">
        <f>AF26*'Inputs'!$E$18*'Inputs'!$E$59/'Inputs'!$E$60</f>
        <v>0.26488519715340103</v>
      </c>
      <c r="AG28" s="36">
        <f>AG26*'Inputs'!$E$18*'Inputs'!$E$59/'Inputs'!$E$60</f>
        <v>0.07881405731159659</v>
      </c>
      <c r="AH28" s="36">
        <f>AH26*'Inputs'!$E$18*'Inputs'!$E$59/'Inputs'!$E$60</f>
        <v>0.07599582811824535</v>
      </c>
      <c r="AI28" s="36">
        <f>AI26*'Inputs'!$E$18*'Inputs'!$E$59/'Inputs'!$E$60</f>
        <v>0.07409616927724685</v>
      </c>
      <c r="AJ28" s="36">
        <f>AJ26*'Inputs'!$E$18*'Inputs'!$E$59/'Inputs'!$E$60</f>
        <v>0.07220211097580896</v>
      </c>
      <c r="AK28" s="36">
        <f>AK26*'Inputs'!$E$18*'Inputs'!$E$59/'Inputs'!$E$60</f>
        <v>0.07104137993852293</v>
      </c>
      <c r="AL28" s="36">
        <f>AL26*'Inputs'!$E$18*'Inputs'!$E$59/'Inputs'!$E$60</f>
        <v>0.070064368788019</v>
      </c>
      <c r="AM28" s="36">
        <f>AM26*'Inputs'!$E$18*'Inputs'!$E$59/'Inputs'!$E$60</f>
        <v>0.06908981637194056</v>
      </c>
      <c r="AN28" s="36">
        <f>AN26*'Inputs'!$E$18*'Inputs'!$E$59/'Inputs'!$E$60</f>
        <v>0.06811767030414571</v>
      </c>
      <c r="AO28" s="36">
        <f>AO26*'Inputs'!$E$18*'Inputs'!$E$59/'Inputs'!$E$60</f>
        <v>0.0671478836424313</v>
      </c>
      <c r="AP28" s="36">
        <f>AP26*'Inputs'!$E$18*'Inputs'!$E$59/'Inputs'!$E$60</f>
        <v>0.06635900923152861</v>
      </c>
      <c r="AQ28" s="36">
        <f>AQ26*'Inputs'!$E$18*'Inputs'!$E$59/'Inputs'!$E$60</f>
        <v>0.0655715693564998</v>
      </c>
    </row>
    <row r="29" ht="22" customHeight="1">
      <c r="A29" s="2" t="str">
        <v>PRO.YS</v>
      </c>
      <c r="B29" s="6" t="str">
        <v>Pro annual plans in service</v>
      </c>
      <c r="C29" s="2" t="str">
        <v>count</v>
      </c>
      <c r="D29" s="2" t="str">
        <v>NA</v>
      </c>
      <c r="E29" s="2"/>
      <c r="F29" s="6" t="str"/>
      <c r="G29" s="2"/>
      <c r="H29" s="37">
        <f>SUM(H26:H26)</f>
        <v>0.006</v>
      </c>
      <c r="I29" s="37">
        <f>SUM(H26:I26)</f>
        <v>0.0063864</v>
      </c>
      <c r="J29" s="37">
        <f>SUM(H26:J26)</f>
        <v>0.0067167648</v>
      </c>
      <c r="K29" s="37">
        <f>SUM(H26:K26)</f>
        <v>0.0070188430512</v>
      </c>
      <c r="L29" s="37">
        <f>SUM(H26:L26)</f>
        <v>0.00729278013552</v>
      </c>
      <c r="M29" s="37">
        <f>SUM(H26:M26)</f>
        <v>0.007549649095656242</v>
      </c>
      <c r="N29" s="37">
        <f>SUM(H26:N26)</f>
        <v>0.007794988489535243</v>
      </c>
      <c r="O29" s="37">
        <f>SUM(H26:O26)</f>
        <v>0.008028856887872107</v>
      </c>
      <c r="P29" s="37">
        <f>SUM(H26:P26)</f>
        <v>0.00825131173778694</v>
      </c>
      <c r="Q29" s="37">
        <f>SUM(H26:Q26)</f>
        <v>0.00846240947134502</v>
      </c>
      <c r="R29" s="37">
        <f>SUM(H26:R26)</f>
        <v>0.008667605497585126</v>
      </c>
      <c r="S29" s="37">
        <f>SUM(H26:S26)</f>
        <v>0.008866928947292126</v>
      </c>
      <c r="T29" s="37">
        <f>SUM(I26:T26)</f>
        <v>0.00516040845199141</v>
      </c>
      <c r="U29" s="37">
        <f>SUM(J26:U26)</f>
        <v>0.005104279755255629</v>
      </c>
      <c r="V29" s="37">
        <f>SUM(K26:V26)</f>
        <v>0.0050830442148114075</v>
      </c>
      <c r="W29" s="37">
        <f>SUM(L26:W26)</f>
        <v>0.005078668700183756</v>
      </c>
      <c r="X29" s="37">
        <f>SUM(M26:X26)</f>
        <v>0.0050910620450772765</v>
      </c>
      <c r="Y29" s="37">
        <f>SUM(N26:Y26)</f>
        <v>0.005113029959830917</v>
      </c>
      <c r="Z29" s="37">
        <f>SUM(O26:Z26)</f>
        <v>0.005140975441301528</v>
      </c>
      <c r="AA29" s="37">
        <f>SUM(P26:AA26)</f>
        <v>0.005174863363188566</v>
      </c>
      <c r="AB29" s="37">
        <f>SUM(Q26:AB26)</f>
        <v>0.005214659227034362</v>
      </c>
      <c r="AC29" s="37">
        <f>SUM(R26:AC26)</f>
        <v>0.005260329102776303</v>
      </c>
      <c r="AD29" s="37">
        <f>SUM(S26:AD26)</f>
        <v>0.0053083296439091175</v>
      </c>
      <c r="AE29" s="37">
        <f>SUM(T26:AE26)</f>
        <v>0.005358644512353396</v>
      </c>
      <c r="AF29" s="37">
        <f>SUM(U26:AF26)</f>
        <v>0.004046257630171247</v>
      </c>
      <c r="AG29" s="37">
        <f>SUM(V26:AG26)</f>
        <v>0.004007901054532482</v>
      </c>
      <c r="AH29" s="37">
        <f>SUM(W26:AH26)</f>
        <v>0.003980248250098173</v>
      </c>
      <c r="AI29" s="37">
        <f>SUM(X26:AI26)</f>
        <v>0.003956985934568258</v>
      </c>
      <c r="AJ29" s="37">
        <f>SUM(Y26:AJ26)</f>
        <v>0.003938080635825529</v>
      </c>
      <c r="AK29" s="37">
        <f>SUM(Z26:AK26)</f>
        <v>0.003922369728336377</v>
      </c>
      <c r="AL29" s="37">
        <f>SUM(AA26:AL26)</f>
        <v>0.003908592126545114</v>
      </c>
      <c r="AM29" s="37">
        <f>SUM(AB26:AM26)</f>
        <v>0.0038967334927982704</v>
      </c>
      <c r="AN29" s="37">
        <f>SUM(AC26:AN26)</f>
        <v>0.0038867797911645557</v>
      </c>
      <c r="AO29" s="37">
        <f>SUM(AD26:AO26)</f>
        <v>0.0038787172585060064</v>
      </c>
      <c r="AP29" s="37">
        <f>SUM(AE26:AP26)</f>
        <v>0.003871303902479909</v>
      </c>
      <c r="AQ29" s="37">
        <f>SUM(AF26:AQ26)</f>
        <v>0.00386453224367342</v>
      </c>
    </row>
    <row r="30" ht="22" customHeight="1">
      <c r="A30" s="2" t="str">
        <v>PRO.YA</v>
      </c>
      <c r="B30" s="6" t="str">
        <v>Pro annual plans, active users</v>
      </c>
      <c r="C30" s="2" t="str">
        <v>count</v>
      </c>
      <c r="D30" s="2" t="str">
        <v>NA</v>
      </c>
      <c r="E30" s="2"/>
      <c r="F30" s="6" t="str"/>
      <c r="G30" s="2"/>
      <c r="H30" s="37">
        <f>SUM(IF(H11&gt;0,H27*H11/H11,0))</f>
        <v>0.006</v>
      </c>
      <c r="I30" s="37">
        <f>SUM(IF(H11&gt;0,H27*I11/H11,0),IF(I11&gt;0,I27*I11/I11,0))</f>
        <v>0.0045864</v>
      </c>
      <c r="J30" s="37">
        <f>SUM(IF(H11&gt;0,H27*J11/H11,0),IF(I11&gt;0,I27*J11/I11,0),IF(J11&gt;0,J27*J11/J11,0))</f>
        <v>0.0042615648</v>
      </c>
      <c r="K30" s="37">
        <f>SUM(IF(H11&gt;0,H27*K11/H11,0),IF(I11&gt;0,I27*K11/I11,0),IF(J11&gt;0,J27*K11/J11,0),IF(K11&gt;0,K27*K11/K11,0))</f>
        <v>0.0042085126512</v>
      </c>
      <c r="L30" s="37">
        <f>SUM(IF(H11&gt;0,H27*L11/H11,0),IF(I11&gt;0,I27*L11/I11,0),IF(J11&gt;0,J27*L11/J11,0),IF(K11&gt;0,K27*L11/K11,0),IF(L11&gt;0,L27*L11/L11,0))</f>
        <v>0.00409985767632</v>
      </c>
      <c r="M30" s="37">
        <f>SUM(IF(H11&gt;0,H27*M11/H11,0),IF(I11&gt;0,I27*M11/I11,0),IF(J11&gt;0,J27*M11/J11,0),IF(K11&gt;0,K27*M11/K11,0),IF(L11&gt;0,L27*M11/L11,0),IF(M11&gt;0,M27*M11/M11,0))</f>
        <v>0.004110735175877042</v>
      </c>
      <c r="N30" s="37">
        <f>SUM(IF(H11&gt;0,H27*N11/H11,0),IF(I11&gt;0,I27*N11/I11,0),IF(J11&gt;0,J27*N11/J11,0),IF(K11&gt;0,K27*N11/K11,0),IF(L11&gt;0,L27*N11/L11,0),IF(M11&gt;0,M27*N11/M11,0),IF(N11&gt;0,N27*N11/N11,0))</f>
        <v>0.004181149668654892</v>
      </c>
      <c r="O30" s="37">
        <f>SUM(IF(H11&gt;0,H27*O11/H11,0),IF(I11&gt;0,I27*O11/I11,0),IF(J11&gt;0,J27*O11/J11,0),IF(K11&gt;0,K27*O11/K11,0),IF(L11&gt;0,L27*O11/L11,0),IF(M11&gt;0,M27*O11/M11,0),IF(N11&gt;0,N27*O11/N11,0),IF(O11&gt;0,O27*O11/O11,0))</f>
        <v>0.004229189192829315</v>
      </c>
      <c r="P30" s="37">
        <f>SUM(IF(H11&gt;0,H27*P11/H11,0),IF(I11&gt;0,I27*P11/I11,0),IF(J11&gt;0,J27*P11/J11,0),IF(K11&gt;0,K27*P11/K11,0),IF(L11&gt;0,L27*P11/L11,0),IF(M11&gt;0,M27*P11/M11,0),IF(N11&gt;0,N27*P11/N11,0),IF(O11&gt;0,O27*P11/O11,0),IF(P11&gt;0,P27*P11/P11,0))</f>
        <v>0.004254937568659065</v>
      </c>
      <c r="Q30" s="37">
        <f>SUM(IF(H11&gt;0,H27*Q11/H11,0),IF(I11&gt;0,I27*Q11/I11,0),IF(J11&gt;0,J27*Q11/J11,0),IF(K11&gt;0,K27*Q11/K11,0),IF(L11&gt;0,L27*Q11/L11,0),IF(M11&gt;0,M27*Q11/M11,0),IF(N11&gt;0,N27*Q11/N11,0),IF(O11&gt;0,O27*Q11/O11,0),IF(P11&gt;0,P27*Q11/P11,0),IF(Q11&gt;0,Q27*Q11/Q11,0))</f>
        <v>0.004258477372038654</v>
      </c>
      <c r="R30" s="37">
        <f>SUM(IF(H11&gt;0,H27*R11/H11,0),IF(I11&gt;0,I27*R11/I11,0),IF(J11&gt;0,J27*R11/J11,0),IF(K11&gt;0,K27*R11/K11,0),IF(L11&gt;0,L27*R11/L11,0),IF(M11&gt;0,M27*R11/M11,0),IF(N11&gt;0,N27*R11/N11,0),IF(O11&gt;0,O27*R11/O11,0),IF(P11&gt;0,P27*R11/P11,0),IF(Q11&gt;0,Q27*R11/Q11,0),IF(R11&gt;0,R27*R11/R11,0))</f>
        <v>0.004354481670790589</v>
      </c>
      <c r="S30" s="37">
        <f>SUM(IF(H11&gt;0,H27*S11/H11,0),IF(I11&gt;0,I27*S11/I11,0),IF(J11&gt;0,J27*S11/J11,0),IF(K11&gt;0,K27*S11/K11,0),IF(L11&gt;0,L27*S11/L11,0),IF(M11&gt;0,M27*S11/M11,0),IF(N11&gt;0,N27*S11/N11,0),IF(O11&gt;0,O27*S11/O11,0),IF(P11&gt;0,P27*S11/P11,0),IF(Q11&gt;0,Q27*S11/Q11,0),IF(R11&gt;0,R27*S11/R11,0),IF(S11&gt;0,S27*S11/S11,0))</f>
        <v>0.0044392134975820485</v>
      </c>
      <c r="T30" s="37">
        <f>SUM(IF(I11&gt;0,I27*T11/I11,0),IF(J11&gt;0,J27*T11/J11,0),IF(K11&gt;0,K27*T11/K11,0),IF(L11&gt;0,L27*T11/L11,0),IF(M11&gt;0,M27*T11/M11,0),IF(N11&gt;0,N27*T11/N11,0),IF(O11&gt;0,O27*T11/O11,0),IF(P11&gt;0,P27*T11/P11,0),IF(Q11&gt;0,Q27*T11/Q11,0),IF(R11&gt;0,R27*T11/R11,0),IF(S11&gt;0,S27*T11/S11,0),IF(T11&gt;0,T27*T11/T11,0))</f>
        <v>0.0031087142591034378</v>
      </c>
      <c r="U30" s="37">
        <f>SUM(IF(J11&gt;0,J27*U11/J11,0),IF(K11&gt;0,K27*U11/K11,0),IF(L11&gt;0,L27*U11/L11,0),IF(M11&gt;0,M27*U11/M11,0),IF(N11&gt;0,N27*U11/N11,0),IF(O11&gt;0,O27*U11/O11,0),IF(P11&gt;0,P27*U11/P11,0),IF(Q11&gt;0,Q27*U11/Q11,0),IF(R11&gt;0,R27*U11/R11,0),IF(S11&gt;0,S27*U11/S11,0),IF(T11&gt;0,T27*U11/T11,0),IF(U11&gt;0,U27*U11/U11,0))</f>
        <v>0.0031538862689016616</v>
      </c>
      <c r="V30" s="37">
        <f>SUM(IF(K11&gt;0,K27*V11/K11,0),IF(L11&gt;0,L27*V11/L11,0),IF(M11&gt;0,M27*V11/M11,0),IF(N11&gt;0,N27*V11/N11,0),IF(O11&gt;0,O27*V11/O11,0),IF(P11&gt;0,P27*V11/P11,0),IF(Q11&gt;0,Q27*V11/Q11,0),IF(R11&gt;0,R27*V11/R11,0),IF(S11&gt;0,S27*V11/S11,0),IF(T11&gt;0,T27*V11/T11,0),IF(U11&gt;0,U27*V11/U11,0),IF(V11&gt;0,V27*V11/V11,0))</f>
        <v>0.003198279903723862</v>
      </c>
      <c r="W30" s="37">
        <f>SUM(IF(L11&gt;0,L27*W11/L11,0),IF(M11&gt;0,M27*W11/M11,0),IF(N11&gt;0,N27*W11/N11,0),IF(O11&gt;0,O27*W11/O11,0),IF(P11&gt;0,P27*W11/P11,0),IF(Q11&gt;0,Q27*W11/Q11,0),IF(R11&gt;0,R27*W11/R11,0),IF(S11&gt;0,S27*W11/S11,0),IF(T11&gt;0,T27*W11/T11,0),IF(U11&gt;0,U27*W11/U11,0),IF(V11&gt;0,V27*W11/V11,0),IF(W11&gt;0,W27*W11/W11,0))</f>
        <v>0.0032418891011786626</v>
      </c>
      <c r="X30" s="37">
        <f>SUM(IF(M11&gt;0,M27*X11/M11,0),IF(N11&gt;0,N27*X11/N11,0),IF(O11&gt;0,O27*X11/O11,0),IF(P11&gt;0,P27*X11/P11,0),IF(Q11&gt;0,Q27*X11/Q11,0),IF(R11&gt;0,R27*X11/R11,0),IF(S11&gt;0,S27*X11/S11,0),IF(T11&gt;0,T27*X11/T11,0),IF(U11&gt;0,U27*X11/U11,0),IF(V11&gt;0,V27*X11/V11,0),IF(W11&gt;0,W27*X11/W11,0),IF(X11&gt;0,X27*X11/X11,0))</f>
        <v>0.0032847080562296276</v>
      </c>
      <c r="Y30" s="37">
        <f>SUM(IF(N11&gt;0,N27*Y11/N11,0),IF(O11&gt;0,O27*Y11/O11,0),IF(P11&gt;0,P27*Y11/P11,0),IF(Q11&gt;0,Q27*Y11/Q11,0),IF(R11&gt;0,R27*Y11/R11,0),IF(S11&gt;0,S27*Y11/S11,0),IF(T11&gt;0,T27*Y11/T11,0),IF(U11&gt;0,U27*Y11/U11,0),IF(V11&gt;0,V27*Y11/V11,0),IF(W11&gt;0,W27*Y11/W11,0),IF(X11&gt;0,X27*Y11/X11,0),IF(Y11&gt;0,Y27*Y11/Y11,0))</f>
        <v>0.0033267311981366237</v>
      </c>
      <c r="Z30" s="37">
        <f>SUM(IF(O11&gt;0,O27*Z11/O11,0),IF(P11&gt;0,P27*Z11/P11,0),IF(Q11&gt;0,Q27*Z11/Q11,0),IF(R11&gt;0,R27*Z11/R11,0),IF(S11&gt;0,S27*Z11/S11,0),IF(T11&gt;0,T27*Z11/T11,0),IF(U11&gt;0,U27*Z11/U11,0),IF(V11&gt;0,V27*Z11/V11,0),IF(W11&gt;0,W27*Z11/W11,0),IF(X11&gt;0,X27*Z11/X11,0),IF(Y11&gt;0,Y27*Z11/Y11,0),IF(Z11&gt;0,Z27*Z11/Z11,0))</f>
        <v>0.003367953169706678</v>
      </c>
      <c r="AA30" s="37">
        <f>SUM(IF(P11&gt;0,P27*AA11/P11,0),IF(Q11&gt;0,Q27*AA11/Q11,0),IF(R11&gt;0,R27*AA11/R11,0),IF(S11&gt;0,S27*AA11/S11,0),IF(T11&gt;0,T27*AA11/T11,0),IF(U11&gt;0,U27*AA11/U11,0),IF(V11&gt;0,V27*AA11/V11,0),IF(W11&gt;0,W27*AA11/W11,0),IF(X11&gt;0,X27*AA11/X11,0),IF(Y11&gt;0,Y27*AA11/Y11,0),IF(Z11&gt;0,Z27*AA11/Z11,0),IF(AA11&gt;0,AA27*AA11/AA11,0))</f>
        <v>0.0034083688086222396</v>
      </c>
      <c r="AB30" s="37">
        <f>SUM(IF(Q11&gt;0,Q27*AB11/Q11,0),IF(R11&gt;0,R27*AB11/R11,0),IF(S11&gt;0,S27*AB11/S11,0),IF(T11&gt;0,T27*AB11/T11,0),IF(U11&gt;0,U27*AB11/U11,0),IF(V11&gt;0,V27*AB11/V11,0),IF(W11&gt;0,W27*AB11/W11,0),IF(X11&gt;0,X27*AB11/X11,0),IF(Y11&gt;0,Y27*AB11/Y11,0),IF(Z11&gt;0,Z27*AB11/Z11,0),IF(AA11&gt;0,AA27*AB11/AA11,0),IF(AB11&gt;0,AB27*AB11/AB11,0))</f>
        <v>0.0034479731306380377</v>
      </c>
      <c r="AC30" s="37">
        <f>SUM(IF(R11&gt;0,R27*AC11/R11,0),IF(S11&gt;0,S27*AC11/S11,0),IF(T11&gt;0,T27*AC11/T11,0),IF(U11&gt;0,U27*AC11/U11,0),IF(V11&gt;0,V27*AC11/V11,0),IF(W11&gt;0,W27*AC11/W11,0),IF(X11&gt;0,X27*AC11/X11,0),IF(Y11&gt;0,Y27*AC11/Y11,0),IF(Z11&gt;0,Z27*AC11/Z11,0),IF(AA11&gt;0,AA27*AC11/AA11,0),IF(AB11&gt;0,AB27*AC11/AB11,0),IF(AC11&gt;0,AC27*AC11/AC11,0))</f>
        <v>0.003486761314458678</v>
      </c>
      <c r="AD30" s="37">
        <f>SUM(IF(S11&gt;0,S27*AD11/S11,0),IF(T11&gt;0,T27*AD11/T11,0),IF(U11&gt;0,U27*AD11/U11,0),IF(V11&gt;0,V27*AD11/V11,0),IF(W11&gt;0,W27*AD11/W11,0),IF(X11&gt;0,X27*AD11/X11,0),IF(Y11&gt;0,Y27*AD11/Y11,0),IF(Z11&gt;0,Z27*AD11/Z11,0),IF(AA11&gt;0,AA27*AD11/AA11,0),IF(AB11&gt;0,AB27*AD11/AB11,0),IF(AC11&gt;0,AC27*AD11/AC11,0),IF(AD11&gt;0,AD27*AD11/AD11,0))</f>
        <v>0.0035247286881279704</v>
      </c>
      <c r="AE30" s="37">
        <f>SUM(IF(T11&gt;0,T27*AE11/T11,0),IF(U11&gt;0,U27*AE11/U11,0),IF(V11&gt;0,V27*AE11/V11,0),IF(W11&gt;0,W27*AE11/W11,0),IF(X11&gt;0,X27*AE11/X11,0),IF(Y11&gt;0,Y27*AE11/Y11,0),IF(Z11&gt;0,Z27*AE11/Z11,0),IF(AA11&gt;0,AA27*AE11/AA11,0),IF(AB11&gt;0,AB27*AE11/AB11,0),IF(AC11&gt;0,AC27*AE11/AC11,0),IF(AD11&gt;0,AD27*AE11/AD11,0),IF(AE11&gt;0,AE27*AE11/AE11,0))</f>
        <v>0.003561870716777939</v>
      </c>
      <c r="AF30" s="37">
        <f>SUM(IF(U11&gt;0,U27*AF11/U11,0),IF(V11&gt;0,V27*AF11/V11,0),IF(W11&gt;0,W27*AF11/W11,0),IF(X11&gt;0,X27*AF11/X11,0),IF(Y11&gt;0,Y27*AF11/Y11,0),IF(Z11&gt;0,Z27*AF11/Z11,0),IF(AA11&gt;0,AA27*AF11/AA11,0),IF(AB11&gt;0,AB27*AF11/AB11,0),IF(AC11&gt;0,AC27*AF11/AC11,0),IF(AD11&gt;0,AD27*AF11/AD11,0),IF(AE11&gt;0,AE27*AF11/AE11,0),IF(AF11&gt;0,AF27*AF11/AF11,0))</f>
        <v>0.003147732991600751</v>
      </c>
      <c r="AG30" s="37">
        <f>SUM(IF(V11&gt;0,V27*AG11/V11,0),IF(W11&gt;0,W27*AG11/W11,0),IF(X11&gt;0,X27*AG11/X11,0),IF(Y11&gt;0,Y27*AG11/Y11,0),IF(Z11&gt;0,Z27*AG11/Z11,0),IF(AA11&gt;0,AA27*AG11/AA11,0),IF(AB11&gt;0,AB27*AG11/AB11,0),IF(AC11&gt;0,AC27*AG11/AC11,0),IF(AD11&gt;0,AD27*AG11/AD11,0),IF(AE11&gt;0,AE27*AG11/AE11,0),IF(AF11&gt;0,AF27*AG11/AF11,0),IF(AG11&gt;0,AG27*AG11/AG11,0))</f>
        <v>0.0031157713676311606</v>
      </c>
      <c r="AH30" s="37">
        <f>SUM(IF(W11&gt;0,W27*AH11/W11,0),IF(X11&gt;0,X27*AH11/X11,0),IF(Y11&gt;0,Y27*AH11/Y11,0),IF(Z11&gt;0,Z27*AH11/Z11,0),IF(AA11&gt;0,AA27*AH11/AA11,0),IF(AB11&gt;0,AB27*AH11/AB11,0),IF(AC11&gt;0,AC27*AH11/AC11,0),IF(AD11&gt;0,AD27*AH11/AD11,0),IF(AE11&gt;0,AE27*AH11/AE11,0),IF(AF11&gt;0,AF27*AH11/AF11,0),IF(AG11&gt;0,AG27*AH11/AG11,0),IF(AH11&gt;0,AH27*AH11/AH11,0))</f>
        <v>0.003083262623924234</v>
      </c>
      <c r="AI30" s="37">
        <f>SUM(IF(X11&gt;0,X27*AI11/X11,0),IF(Y11&gt;0,Y27*AI11/Y11,0),IF(Z11&gt;0,Z27*AI11/Z11,0),IF(AA11&gt;0,AA27*AI11/AA11,0),IF(AB11&gt;0,AB27*AI11/AB11,0),IF(AC11&gt;0,AC27*AI11/AC11,0),IF(AD11&gt;0,AD27*AI11/AD11,0),IF(AE11&gt;0,AE27*AI11/AE11,0),IF(AF11&gt;0,AF27*AI11/AF11,0),IF(AG11&gt;0,AG27*AI11/AG11,0),IF(AH11&gt;0,AH27*AI11/AH11,0),IF(AI11&gt;0,AI27*AI11/AI11,0))</f>
        <v>0.003050197299680897</v>
      </c>
      <c r="AJ30" s="37">
        <f>SUM(IF(Y11&gt;0,Y27*AJ11/Y11,0),IF(Z11&gt;0,Z27*AJ11/Z11,0),IF(AA11&gt;0,AA27*AJ11/AA11,0),IF(AB11&gt;0,AB27*AJ11/AB11,0),IF(AC11&gt;0,AC27*AJ11/AC11,0),IF(AD11&gt;0,AD27*AJ11/AD11,0),IF(AE11&gt;0,AE27*AJ11/AE11,0),IF(AF11&gt;0,AF27*AJ11/AF11,0),IF(AG11&gt;0,AG27*AJ11/AG11,0),IF(AH11&gt;0,AH27*AJ11/AH11,0),IF(AI11&gt;0,AI27*AJ11/AI11,0),IF(AJ11&gt;0,AJ27*AJ11/AJ11,0))</f>
        <v>0.003016566202373347</v>
      </c>
      <c r="AK30" s="37">
        <f>SUM(IF(Z11&gt;0,Z27*AK11/Z11,0),IF(AA11&gt;0,AA27*AK11/AA11,0),IF(AB11&gt;0,AB27*AK11/AB11,0),IF(AC11&gt;0,AC27*AK11/AC11,0),IF(AD11&gt;0,AD27*AK11/AD11,0),IF(AE11&gt;0,AE27*AK11/AE11,0),IF(AF11&gt;0,AF27*AK11/AF11,0),IF(AG11&gt;0,AG27*AK11/AG11,0),IF(AH11&gt;0,AH27*AK11/AH11,0),IF(AI11&gt;0,AI27*AK11/AI11,0),IF(AJ11&gt;0,AJ27*AK11/AJ11,0),IF(AK11&gt;0,AK27*AK11/AK11,0))</f>
        <v>0.003007007988377673</v>
      </c>
      <c r="AL30" s="37">
        <f>SUM(IF(AA11&gt;0,AA27*AL11/AA11,0),IF(AB11&gt;0,AB27*AL11/AB11,0),IF(AC11&gt;0,AC27*AL11/AC11,0),IF(AD11&gt;0,AD27*AL11/AD11,0),IF(AE11&gt;0,AE27*AL11/AE11,0),IF(AF11&gt;0,AF27*AL11/AF11,0),IF(AG11&gt;0,AG27*AL11/AG11,0),IF(AH11&gt;0,AH27*AL11/AH11,0),IF(AI11&gt;0,AI27*AL11/AI11,0),IF(AJ11&gt;0,AJ27*AL11/AJ11,0),IF(AK11&gt;0,AK27*AL11/AK11,0),IF(AL11&gt;0,AL27*AL11/AL11,0))</f>
        <v>0.002997193516742586</v>
      </c>
      <c r="AM30" s="37">
        <f>SUM(IF(AB11&gt;0,AB27*AM11/AB11,0),IF(AC11&gt;0,AC27*AM11/AC11,0),IF(AD11&gt;0,AD27*AM11/AD11,0),IF(AE11&gt;0,AE27*AM11/AE11,0),IF(AF11&gt;0,AF27*AM11/AF11,0),IF(AG11&gt;0,AG27*AM11/AG11,0),IF(AH11&gt;0,AH27*AM11/AH11,0),IF(AI11&gt;0,AI27*AM11/AI11,0),IF(AJ11&gt;0,AJ27*AM11/AJ11,0),IF(AK11&gt;0,AK27*AM11/AK11,0),IF(AL11&gt;0,AL27*AM11/AL11,0),IF(AM11&gt;0,AM27*AM11/AM11,0))</f>
        <v>0.0029871175446040486</v>
      </c>
      <c r="AN30" s="37">
        <f>SUM(IF(AC11&gt;0,AC27*AN11/AC11,0),IF(AD11&gt;0,AD27*AN11/AD11,0),IF(AE11&gt;0,AE27*AN11/AE11,0),IF(AF11&gt;0,AF27*AN11/AF11,0),IF(AG11&gt;0,AG27*AN11/AG11,0),IF(AH11&gt;0,AH27*AN11/AH11,0),IF(AI11&gt;0,AI27*AN11/AI11,0),IF(AJ11&gt;0,AJ27*AN11/AJ11,0),IF(AK11&gt;0,AK27*AN11/AK11,0),IF(AL11&gt;0,AL27*AN11/AL11,0),IF(AM11&gt;0,AM27*AN11/AM11,0),IF(AN11&gt;0,AN27*AN11/AN11,0))</f>
        <v>0.0029767749701045685</v>
      </c>
      <c r="AO30" s="37">
        <f>SUM(IF(AD11&gt;0,AD27*AO11/AD11,0),IF(AE11&gt;0,AE27*AO11/AE11,0),IF(AF11&gt;0,AF27*AO11/AF11,0),IF(AG11&gt;0,AG27*AO11/AG11,0),IF(AH11&gt;0,AH27*AO11/AH11,0),IF(AI11&gt;0,AI27*AO11/AI11,0),IF(AJ11&gt;0,AJ27*AO11/AJ11,0),IF(AK11&gt;0,AK27*AO11/AK11,0),IF(AL11&gt;0,AL27*AO11/AL11,0),IF(AM11&gt;0,AM27*AO11/AM11,0),IF(AN11&gt;0,AN27*AO11/AN11,0),IF(AO11&gt;0,AO27*AO11/AO11,0))</f>
        <v>0.0029661608192258224</v>
      </c>
      <c r="AP30" s="37">
        <f>SUM(IF(AE11&gt;0,AE27*AP11/AE11,0),IF(AF11&gt;0,AF27*AP11/AF11,0),IF(AG11&gt;0,AG27*AP11/AG11,0),IF(AH11&gt;0,AH27*AP11/AH11,0),IF(AI11&gt;0,AI27*AP11/AI11,0),IF(AJ11&gt;0,AJ27*AP11/AJ11,0),IF(AK11&gt;0,AK27*AP11/AK11,0),IF(AL11&gt;0,AL27*AP11/AL11,0),IF(AM11&gt;0,AM27*AP11/AM11,0),IF(AN11&gt;0,AN27*AP11/AN11,0),IF(AO11&gt;0,AO27*AP11/AO11,0),IF(AP11&gt;0,AP27*AP11/AP11,0))</f>
        <v>0.0029552702339616637</v>
      </c>
      <c r="AQ30" s="37">
        <f>SUM(IF(AF11&gt;0,AF27*AQ11/AF11,0),IF(AG11&gt;0,AG27*AQ11/AG11,0),IF(AH11&gt;0,AH27*AQ11/AH11,0),IF(AI11&gt;0,AI27*AQ11/AI11,0),IF(AJ11&gt;0,AJ27*AQ11/AJ11,0),IF(AK11&gt;0,AK27*AQ11/AK11,0),IF(AL11&gt;0,AL27*AQ11/AL11,0),IF(AM11&gt;0,AM27*AQ11/AM11,0),IF(AN11&gt;0,AN27*AQ11/AN11,0),IF(AO11&gt;0,AO27*AQ11/AO11,0),IF(AP11&gt;0,AP27*AQ11/AP11,0),IF(AQ11&gt;0,AQ27*AQ11/AQ11,0))</f>
        <v>0.002944098461695575</v>
      </c>
    </row>
    <row r="31" ht="28" customHeight="1">
      <c r="A31" s="2" t="str">
        <v>PRO.YREL</v>
      </c>
      <c r="B31" s="6" t="str">
        <v>Pro annual billing recognised in the month, gross</v>
      </c>
      <c r="C31" s="2" t="str">
        <v>EUR</v>
      </c>
      <c r="D31" s="2" t="str">
        <v>NA</v>
      </c>
      <c r="E31" s="2"/>
      <c r="F31" s="6" t="str"/>
      <c r="G31" s="2"/>
      <c r="H31" s="35">
        <f>SUM(H28:H28)/12</f>
        <v>0.134995</v>
      </c>
      <c r="I31" s="35">
        <f>SUM(H28:I28)/12</f>
        <v>0.14368867800000001</v>
      </c>
      <c r="J31" s="35">
        <f>SUM(H28:J28)/12</f>
        <v>0.15112161069600002</v>
      </c>
      <c r="K31" s="35">
        <f>SUM(H28:K28)/12</f>
        <v>0.157918119616124</v>
      </c>
      <c r="L31" s="35">
        <f>SUM(H28:L28)/12</f>
        <v>0.1640814757324204</v>
      </c>
      <c r="M31" s="35">
        <f>SUM(H28:M28)/12</f>
        <v>0.16986081327801908</v>
      </c>
      <c r="N31" s="35">
        <f>SUM(H28:N28)/12</f>
        <v>0.1753807451908017</v>
      </c>
      <c r="O31" s="35">
        <f>SUM(H28:O28)/12</f>
        <v>0.18064258926304919</v>
      </c>
      <c r="P31" s="35">
        <f>SUM(H28:P28)/12</f>
        <v>0.1856476380070913</v>
      </c>
      <c r="Q31" s="35">
        <f>SUM(H28:Q28)/12</f>
        <v>0.19039716109737018</v>
      </c>
      <c r="R31" s="35">
        <f>SUM(H28:R28)/12</f>
        <v>0.195013900691084</v>
      </c>
      <c r="S31" s="35">
        <f>SUM(H28:S28)/12</f>
        <v>0.19949851220661677</v>
      </c>
      <c r="T31" s="35">
        <f>SUM(I28:T28)/12</f>
        <v>0.11610488982943006</v>
      </c>
      <c r="U31" s="35">
        <f>SUM(J28:U28)/12</f>
        <v>0.11484204092678894</v>
      </c>
      <c r="V31" s="35">
        <f>SUM(K28:V28)/12</f>
        <v>0.11436425896307766</v>
      </c>
      <c r="W31" s="35">
        <f>SUM(L28:W28)/12</f>
        <v>0.1142658135302177</v>
      </c>
      <c r="X31" s="35">
        <f>SUM(M28:X28)/12</f>
        <v>0.1145446534625345</v>
      </c>
      <c r="Y31" s="35">
        <f>SUM(N28:Y28)/12</f>
        <v>0.11503891323789577</v>
      </c>
      <c r="Z31" s="35">
        <f>SUM(O28:Z28)/12</f>
        <v>0.11566766328308331</v>
      </c>
      <c r="AA31" s="35">
        <f>SUM(P28:AA28)/12</f>
        <v>0.11643011328560675</v>
      </c>
      <c r="AB31" s="35">
        <f>SUM(Q28:AB28)/12</f>
        <v>0.11732548705891728</v>
      </c>
      <c r="AC31" s="35">
        <f>SUM(R28:AC28)/12</f>
        <v>0.11835302120488118</v>
      </c>
      <c r="AD31" s="35">
        <f>SUM(S28:AD28)/12</f>
        <v>0.11943299337991857</v>
      </c>
      <c r="AE31" s="35">
        <f>SUM(T28:AE28)/12</f>
        <v>0.12056503599085777</v>
      </c>
      <c r="AF31" s="35">
        <f>SUM(U28:AF28)/12</f>
        <v>0.09103742479749459</v>
      </c>
      <c r="AG31" s="35">
        <f>SUM(V28:AG28)/12</f>
        <v>0.0901744338094354</v>
      </c>
      <c r="AH31" s="35">
        <f>SUM(W28:AH28)/12</f>
        <v>0.08955226875366713</v>
      </c>
      <c r="AI31" s="35">
        <f>SUM(X28:AI28)/12</f>
        <v>0.089028886039507</v>
      </c>
      <c r="AJ31" s="35">
        <f>SUM(Y28:AJ28)/12</f>
        <v>0.08860353257221122</v>
      </c>
      <c r="AK31" s="35">
        <f>SUM(Z28:AK28)/12</f>
        <v>0.0882500502461282</v>
      </c>
      <c r="AL31" s="35">
        <f>SUM(AA28:AL28)/12</f>
        <v>0.08794006568715962</v>
      </c>
      <c r="AM31" s="35">
        <f>SUM(AB28:AM28)/12</f>
        <v>0.08767325631005042</v>
      </c>
      <c r="AN31" s="35">
        <f>SUM(AC28:AN28)/12</f>
        <v>0.08744930631804321</v>
      </c>
      <c r="AO31" s="35">
        <f>SUM(AD28:AO28)/12</f>
        <v>0.08726790605200306</v>
      </c>
      <c r="AP31" s="35">
        <f>SUM(AE28:AP28)/12</f>
        <v>0.08710111171921257</v>
      </c>
      <c r="AQ31" s="35">
        <f>SUM(AF28:AQ28)/12</f>
        <v>0.08694875503911555</v>
      </c>
    </row>
    <row r="32" ht="28" customHeight="1">
      <c r="A32" s="2" t="str">
        <v>R1.GROSS_BILL</v>
      </c>
      <c r="B32" s="6" t="str">
        <v>Subscription billing, gross (incl. VAT)</v>
      </c>
      <c r="C32" s="2" t="str">
        <v>EUR</v>
      </c>
      <c r="D32" s="2" t="str">
        <v>NA</v>
      </c>
      <c r="E32" s="2"/>
      <c r="F32" s="6" t="str"/>
      <c r="G32" s="2"/>
      <c r="H32" s="36">
        <f>SUM(H16*'Inputs'!$E$15*'Inputs'!$E$59/'Inputs'!$E$60+H24*'Inputs'!$E$17*'Inputs'!$E$59/'Inputs'!$E$60,H20,H28)</f>
        <v>4.0792</v>
      </c>
      <c r="I32" s="36">
        <f>SUM(I16*'Inputs'!$E$15*'Inputs'!$E$59/'Inputs'!$E$60+I24*'Inputs'!$E$17*'Inputs'!$E$59/'Inputs'!$E$60,I20,I28)</f>
        <v>1.02659088</v>
      </c>
      <c r="J32" s="36">
        <f>SUM(J16*'Inputs'!$E$15*'Inputs'!$E$59/'Inputs'!$E$60+J24*'Inputs'!$E$17*'Inputs'!$E$59/'Inputs'!$E$60,J20,J28)</f>
        <v>0.9689388211199998</v>
      </c>
      <c r="K32" s="36">
        <f>SUM(K16*'Inputs'!$E$15*'Inputs'!$E$59/'Inputs'!$E$60+K24*'Inputs'!$E$17*'Inputs'!$E$59/'Inputs'!$E$60,K20,K28)</f>
        <v>0.9247780234937599</v>
      </c>
      <c r="L32" s="36">
        <f>SUM(L16*'Inputs'!$E$15*'Inputs'!$E$59/'Inputs'!$E$60+L24*'Inputs'!$E$17*'Inputs'!$E$59/'Inputs'!$E$60,L20,L28)</f>
        <v>0.8793584367810093</v>
      </c>
      <c r="M32" s="36">
        <f>SUM(M16*'Inputs'!$E$15*'Inputs'!$E$59/'Inputs'!$E$60+M24*'Inputs'!$E$17*'Inputs'!$E$59/'Inputs'!$E$60,M20,M28)</f>
        <v>0.8402501092436994</v>
      </c>
      <c r="N32" s="36">
        <f>SUM(N16*'Inputs'!$E$15*'Inputs'!$E$59/'Inputs'!$E$60+N24*'Inputs'!$E$17*'Inputs'!$E$59/'Inputs'!$E$60,N20,N28)</f>
        <v>0.8052096183495031</v>
      </c>
      <c r="O32" s="36">
        <f>SUM(O16*'Inputs'!$E$15*'Inputs'!$E$59/'Inputs'!$E$60+O24*'Inputs'!$E$17*'Inputs'!$E$59/'Inputs'!$E$60,O20,O28)</f>
        <v>0.7711892333157988</v>
      </c>
      <c r="P32" s="36">
        <f>SUM(P16*'Inputs'!$E$15*'Inputs'!$E$59/'Inputs'!$E$60+P24*'Inputs'!$E$17*'Inputs'!$E$59/'Inputs'!$E$60,P20,P28)</f>
        <v>0.7381074214797736</v>
      </c>
      <c r="Q32" s="36">
        <f>SUM(Q16*'Inputs'!$E$15*'Inputs'!$E$59/'Inputs'!$E$60+Q24*'Inputs'!$E$17*'Inputs'!$E$59/'Inputs'!$E$60,Q20,Q28)</f>
        <v>0.7058898501100022</v>
      </c>
      <c r="R32" s="36">
        <f>SUM(R16*'Inputs'!$E$15*'Inputs'!$E$59/'Inputs'!$E$60+R24*'Inputs'!$E$17*'Inputs'!$E$59/'Inputs'!$E$60,R20,R28)</f>
        <v>0.6781399596602692</v>
      </c>
      <c r="S32" s="36">
        <f>SUM(S16*'Inputs'!$E$15*'Inputs'!$E$59/'Inputs'!$E$60+S24*'Inputs'!$E$17*'Inputs'!$E$59/'Inputs'!$E$60,S20,S28)</f>
        <v>0.6517948744726121</v>
      </c>
      <c r="T32" s="36">
        <f>SUM(T16*'Inputs'!$E$15*'Inputs'!$E$59/'Inputs'!$E$60+T24*'Inputs'!$E$17*'Inputs'!$E$59/'Inputs'!$E$60,T20,T28)</f>
        <v>1.7606493138858448</v>
      </c>
      <c r="U32" s="36">
        <f>SUM(U16*'Inputs'!$E$15*'Inputs'!$E$59/'Inputs'!$E$60+U24*'Inputs'!$E$17*'Inputs'!$E$59/'Inputs'!$E$60,U20,U28)</f>
        <v>0.6808780021267633</v>
      </c>
      <c r="V32" s="36">
        <f>SUM(V16*'Inputs'!$E$15*'Inputs'!$E$59/'Inputs'!$E$60+V24*'Inputs'!$E$17*'Inputs'!$E$59/'Inputs'!$E$60,V20,V28)</f>
        <v>0.6513052813668775</v>
      </c>
      <c r="W32" s="36">
        <f>SUM(W16*'Inputs'!$E$15*'Inputs'!$E$59/'Inputs'!$E$60+W24*'Inputs'!$E$17*'Inputs'!$E$59/'Inputs'!$E$60,W20,W28)</f>
        <v>0.6283991409549239</v>
      </c>
      <c r="X32" s="36">
        <f>SUM(X16*'Inputs'!$E$15*'Inputs'!$E$59/'Inputs'!$E$60+X24*'Inputs'!$E$17*'Inputs'!$E$59/'Inputs'!$E$60,X20,X28)</f>
        <v>0.6068154758513127</v>
      </c>
      <c r="Y32" s="36">
        <f>SUM(Y16*'Inputs'!$E$15*'Inputs'!$E$59/'Inputs'!$E$60+Y24*'Inputs'!$E$17*'Inputs'!$E$59/'Inputs'!$E$60,Y20,Y28)</f>
        <v>0.5885034412179506</v>
      </c>
      <c r="Z32" s="36">
        <f>SUM(Z16*'Inputs'!$E$15*'Inputs'!$E$59/'Inputs'!$E$60+Z24*'Inputs'!$E$17*'Inputs'!$E$59/'Inputs'!$E$60,Z20,Z28)</f>
        <v>0.5723115022241787</v>
      </c>
      <c r="AA32" s="36">
        <f>SUM(AA16*'Inputs'!$E$15*'Inputs'!$E$59/'Inputs'!$E$60+AA24*'Inputs'!$E$17*'Inputs'!$E$59/'Inputs'!$E$60,AA20,AA28)</f>
        <v>0.5571079119387274</v>
      </c>
      <c r="AB32" s="36">
        <f>SUM(AB16*'Inputs'!$E$15*'Inputs'!$E$59/'Inputs'!$E$60+AB24*'Inputs'!$E$17*'Inputs'!$E$59/'Inputs'!$E$60,AB20,AB28)</f>
        <v>0.5428049882442707</v>
      </c>
      <c r="AC32" s="36">
        <f>SUM(AC16*'Inputs'!$E$15*'Inputs'!$E$59/'Inputs'!$E$60+AC24*'Inputs'!$E$17*'Inputs'!$E$59/'Inputs'!$E$60,AC20,AC28)</f>
        <v>0.5293229300440191</v>
      </c>
      <c r="AD32" s="36">
        <f>SUM(AD16*'Inputs'!$E$15*'Inputs'!$E$59/'Inputs'!$E$60+AD24*'Inputs'!$E$17*'Inputs'!$E$59/'Inputs'!$E$60,AD20,AD28)</f>
        <v>0.5176096135266994</v>
      </c>
      <c r="AE32" s="36">
        <f>SUM(AE16*'Inputs'!$E$15*'Inputs'!$E$59/'Inputs'!$E$60+AE24*'Inputs'!$E$17*'Inputs'!$E$59/'Inputs'!$E$60,AE20,AE28)</f>
        <v>0.5065736048881264</v>
      </c>
      <c r="AF32" s="36">
        <f>SUM(AF16*'Inputs'!$E$15*'Inputs'!$E$59/'Inputs'!$E$60+AF24*'Inputs'!$E$17*'Inputs'!$E$59/'Inputs'!$E$60,AF20,AF28)</f>
        <v>0.8930253933056415</v>
      </c>
      <c r="AG32" s="36">
        <f>SUM(AG16*'Inputs'!$E$15*'Inputs'!$E$59/'Inputs'!$E$60+AG24*'Inputs'!$E$17*'Inputs'!$E$59/'Inputs'!$E$60,AG20,AG28)</f>
        <v>0.5128704927989262</v>
      </c>
      <c r="AH32" s="36">
        <f>SUM(AH16*'Inputs'!$E$15*'Inputs'!$E$59/'Inputs'!$E$60+AH24*'Inputs'!$E$17*'Inputs'!$E$59/'Inputs'!$E$60,AH20,AH28)</f>
        <v>0.499505100780788</v>
      </c>
      <c r="AI32" s="36">
        <f>SUM(AI16*'Inputs'!$E$15*'Inputs'!$E$59/'Inputs'!$E$60+AI24*'Inputs'!$E$17*'Inputs'!$E$59/'Inputs'!$E$60,AI20,AI28)</f>
        <v>0.48824754252352637</v>
      </c>
      <c r="AJ32" s="36">
        <f>SUM(AJ16*'Inputs'!$E$15*'Inputs'!$E$59/'Inputs'!$E$60+AJ24*'Inputs'!$E$17*'Inputs'!$E$59/'Inputs'!$E$60,AJ20,AJ28)</f>
        <v>0.4772478248927833</v>
      </c>
      <c r="AK32" s="36">
        <f>SUM(AK16*'Inputs'!$E$15*'Inputs'!$E$59/'Inputs'!$E$60+AK24*'Inputs'!$E$17*'Inputs'!$E$59/'Inputs'!$E$60,AK20,AK28)</f>
        <v>0.4681292219856531</v>
      </c>
      <c r="AL32" s="36">
        <f>SUM(AL16*'Inputs'!$E$15*'Inputs'!$E$59/'Inputs'!$E$60+AL24*'Inputs'!$E$17*'Inputs'!$E$59/'Inputs'!$E$60,AL20,AL28)</f>
        <v>0.4597553828751068</v>
      </c>
      <c r="AM32" s="36">
        <f>SUM(AM16*'Inputs'!$E$15*'Inputs'!$E$59/'Inputs'!$E$60+AM24*'Inputs'!$E$17*'Inputs'!$E$59/'Inputs'!$E$60,AM20,AM28)</f>
        <v>0.4517299643828893</v>
      </c>
      <c r="AN32" s="36">
        <f>SUM(AN16*'Inputs'!$E$15*'Inputs'!$E$59/'Inputs'!$E$60+AN24*'Inputs'!$E$17*'Inputs'!$E$59/'Inputs'!$E$60,AN20,AN28)</f>
        <v>0.4440220696564551</v>
      </c>
      <c r="AO32" s="36">
        <f>SUM(AO16*'Inputs'!$E$15*'Inputs'!$E$59/'Inputs'!$E$60+AO24*'Inputs'!$E$17*'Inputs'!$E$59/'Inputs'!$E$60,AO20,AO28)</f>
        <v>0.4366035815649685</v>
      </c>
      <c r="AP32" s="36">
        <f>SUM(AP16*'Inputs'!$E$15*'Inputs'!$E$59/'Inputs'!$E$60+AP24*'Inputs'!$E$17*'Inputs'!$E$59/'Inputs'!$E$60,AP20,AP28)</f>
        <v>0.42980608933487874</v>
      </c>
      <c r="AQ32" s="36">
        <f>SUM(AQ16*'Inputs'!$E$15*'Inputs'!$E$59/'Inputs'!$E$60+AQ24*'Inputs'!$E$17*'Inputs'!$E$59/'Inputs'!$E$60,AQ20,AQ28)</f>
        <v>0.42324744114332885</v>
      </c>
    </row>
    <row r="33" ht="28" customHeight="1">
      <c r="A33" s="2" t="str">
        <v>R1.GROSS_SERVICE</v>
      </c>
      <c r="B33" s="6" t="str">
        <v>Subscription service recognised, gross (incl. VAT)</v>
      </c>
      <c r="C33" s="2" t="str">
        <v>EUR</v>
      </c>
      <c r="D33" s="2" t="str">
        <v>NA</v>
      </c>
      <c r="E33" s="2"/>
      <c r="F33" s="6" t="str"/>
      <c r="G33" s="2"/>
      <c r="H33" s="36">
        <f>SUM(H16*'Inputs'!$E$15*'Inputs'!$E$59/'Inputs'!$E$60+H24*'Inputs'!$E$17*'Inputs'!$E$59/'Inputs'!$E$60,H23,H31)</f>
        <v>1.10942</v>
      </c>
      <c r="I33" s="36">
        <f>SUM(I16*'Inputs'!$E$15*'Inputs'!$E$59/'Inputs'!$E$60+I24*'Inputs'!$E$17*'Inputs'!$E$59/'Inputs'!$E$60,I23,I31)</f>
        <v>1.105317048</v>
      </c>
      <c r="J33" s="36">
        <f>SUM(J16*'Inputs'!$E$15*'Inputs'!$E$59/'Inputs'!$E$60+J24*'Inputs'!$E$17*'Inputs'!$E$59/'Inputs'!$E$60,J23,J31)</f>
        <v>1.0927870704959999</v>
      </c>
      <c r="K33" s="36">
        <f>SUM(K16*'Inputs'!$E$15*'Inputs'!$E$59/'Inputs'!$E$60+K24*'Inputs'!$E$17*'Inputs'!$E$59/'Inputs'!$E$60,K23,K31)</f>
        <v>1.077492392136304</v>
      </c>
      <c r="L33" s="36">
        <f>SUM(L16*'Inputs'!$E$15*'Inputs'!$E$59/'Inputs'!$E$60+L24*'Inputs'!$E$17*'Inputs'!$E$59/'Inputs'!$E$60,L23,L31)</f>
        <v>1.0595941655628638</v>
      </c>
      <c r="M33" s="36">
        <f>SUM(M16*'Inputs'!$E$15*'Inputs'!$E$59/'Inputs'!$E$60+M24*'Inputs'!$E$17*'Inputs'!$E$59/'Inputs'!$E$60,M23,M31)</f>
        <v>1.0412601893360796</v>
      </c>
      <c r="N33" s="36">
        <f>SUM(N16*'Inputs'!$E$15*'Inputs'!$E$59/'Inputs'!$E$60+N24*'Inputs'!$E$17*'Inputs'!$E$59/'Inputs'!$E$60,N23,N31)</f>
        <v>1.0234846579647185</v>
      </c>
      <c r="O33" s="36">
        <f>SUM(O16*'Inputs'!$E$15*'Inputs'!$E$59/'Inputs'!$E$60+O24*'Inputs'!$E$17*'Inputs'!$E$59/'Inputs'!$E$60,O23,O31)</f>
        <v>1.0061814500477784</v>
      </c>
      <c r="P33" s="36">
        <f>SUM(P16*'Inputs'!$E$15*'Inputs'!$E$59/'Inputs'!$E$60+P24*'Inputs'!$E$17*'Inputs'!$E$59/'Inputs'!$E$60,P23,P31)</f>
        <v>0.989272224547713</v>
      </c>
      <c r="Q33" s="36">
        <f>SUM(Q16*'Inputs'!$E$15*'Inputs'!$E$59/'Inputs'!$E$60+Q24*'Inputs'!$E$17*'Inputs'!$E$59/'Inputs'!$E$60,Q23,Q31)</f>
        <v>0.9726857360769356</v>
      </c>
      <c r="R33" s="36">
        <f>SUM(R16*'Inputs'!$E$15*'Inputs'!$E$59/'Inputs'!$E$60+R24*'Inputs'!$E$17*'Inputs'!$E$59/'Inputs'!$E$60,R23,R31)</f>
        <v>0.9573556687046672</v>
      </c>
      <c r="S33" s="36">
        <f>SUM(S16*'Inputs'!$E$15*'Inputs'!$E$59/'Inputs'!$E$60+S24*'Inputs'!$E$17*'Inputs'!$E$59/'Inputs'!$E$60,S23,S31)</f>
        <v>0.9431504307671411</v>
      </c>
      <c r="T33" s="36">
        <f>SUM(T16*'Inputs'!$E$15*'Inputs'!$E$59/'Inputs'!$E$60+T24*'Inputs'!$E$17*'Inputs'!$E$59/'Inputs'!$E$60,T23,T31)</f>
        <v>0.754463299506527</v>
      </c>
      <c r="U33" s="36">
        <f>SUM(U16*'Inputs'!$E$15*'Inputs'!$E$59/'Inputs'!$E$60+U24*'Inputs'!$E$17*'Inputs'!$E$59/'Inputs'!$E$60,U23,U31)</f>
        <v>0.7322202839368677</v>
      </c>
      <c r="V33" s="36">
        <f>SUM(V16*'Inputs'!$E$15*'Inputs'!$E$59/'Inputs'!$E$60+V24*'Inputs'!$E$17*'Inputs'!$E$59/'Inputs'!$E$60,V23,V31)</f>
        <v>0.7131078925629368</v>
      </c>
      <c r="W33" s="36">
        <f>SUM(W16*'Inputs'!$E$15*'Inputs'!$E$59/'Inputs'!$E$60+W24*'Inputs'!$E$17*'Inputs'!$E$59/'Inputs'!$E$60,W23,W31)</f>
        <v>0.6961747339279201</v>
      </c>
      <c r="X33" s="36">
        <f>SUM(X16*'Inputs'!$E$15*'Inputs'!$E$59/'Inputs'!$E$60+X24*'Inputs'!$E$17*'Inputs'!$E$59/'Inputs'!$E$60,X23,X31)</f>
        <v>0.6812893191148408</v>
      </c>
      <c r="Y33" s="36">
        <f>SUM(Y16*'Inputs'!$E$15*'Inputs'!$E$59/'Inputs'!$E$60+Y24*'Inputs'!$E$17*'Inputs'!$E$59/'Inputs'!$E$60,Y23,Y31)</f>
        <v>0.6680119870116017</v>
      </c>
      <c r="Z33" s="36">
        <f>SUM(Z16*'Inputs'!$E$15*'Inputs'!$E$59/'Inputs'!$E$60+Z24*'Inputs'!$E$17*'Inputs'!$E$59/'Inputs'!$E$60,Z23,Z31)</f>
        <v>0.6560753592041663</v>
      </c>
      <c r="AA33" s="36">
        <f>SUM(AA16*'Inputs'!$E$15*'Inputs'!$E$59/'Inputs'!$E$60+AA24*'Inputs'!$E$17*'Inputs'!$E$59/'Inputs'!$E$60,AA23,AA31)</f>
        <v>0.6453818110695717</v>
      </c>
      <c r="AB33" s="36">
        <f>SUM(AB16*'Inputs'!$E$15*'Inputs'!$E$59/'Inputs'!$E$60+AB24*'Inputs'!$E$17*'Inputs'!$E$59/'Inputs'!$E$60,AB23,AB31)</f>
        <v>0.635842375861204</v>
      </c>
      <c r="AC33" s="36">
        <f>SUM(AC16*'Inputs'!$E$15*'Inputs'!$E$59/'Inputs'!$E$60+AC24*'Inputs'!$E$17*'Inputs'!$E$59/'Inputs'!$E$60,AC23,AC31)</f>
        <v>0.6273759669209702</v>
      </c>
      <c r="AD33" s="36">
        <f>SUM(AD16*'Inputs'!$E$15*'Inputs'!$E$59/'Inputs'!$E$60+AD24*'Inputs'!$E$17*'Inputs'!$E$59/'Inputs'!$E$60,AD23,AD31)</f>
        <v>0.6197507345517816</v>
      </c>
      <c r="AE33" s="36">
        <f>SUM(AE16*'Inputs'!$E$15*'Inputs'!$E$59/'Inputs'!$E$60+AE24*'Inputs'!$E$17*'Inputs'!$E$59/'Inputs'!$E$60,AE23,AE31)</f>
        <v>0.61290003952669</v>
      </c>
      <c r="AF33" s="36">
        <f>SUM(AF16*'Inputs'!$E$15*'Inputs'!$E$59/'Inputs'!$E$60+AF24*'Inputs'!$E$17*'Inputs'!$E$59/'Inputs'!$E$60,AF23,AF31)</f>
        <v>0.545342726683562</v>
      </c>
      <c r="AG33" s="36">
        <f>SUM(AG16*'Inputs'!$E$15*'Inputs'!$E$59/'Inputs'!$E$60+AG24*'Inputs'!$E$17*'Inputs'!$E$59/'Inputs'!$E$60,AG23,AG31)</f>
        <v>0.5355904042540653</v>
      </c>
      <c r="AH33" s="36">
        <f>SUM(AH16*'Inputs'!$E$15*'Inputs'!$E$59/'Inputs'!$E$60+AH24*'Inputs'!$E$17*'Inputs'!$E$59/'Inputs'!$E$60,AH23,AH31)</f>
        <v>0.5266169778336506</v>
      </c>
      <c r="AI33" s="36">
        <f>SUM(AI16*'Inputs'!$E$15*'Inputs'!$E$59/'Inputs'!$E$60+AI24*'Inputs'!$E$17*'Inputs'!$E$59/'Inputs'!$E$60,AI23,AI31)</f>
        <v>0.5181118698799099</v>
      </c>
      <c r="AJ33" s="36">
        <f>SUM(AJ16*'Inputs'!$E$15*'Inputs'!$E$59/'Inputs'!$E$60+AJ24*'Inputs'!$E$17*'Inputs'!$E$59/'Inputs'!$E$60,AJ23,AJ31)</f>
        <v>0.5100494531204709</v>
      </c>
      <c r="AK33" s="36">
        <f>SUM(AK16*'Inputs'!$E$15*'Inputs'!$E$59/'Inputs'!$E$60+AK24*'Inputs'!$E$17*'Inputs'!$E$59/'Inputs'!$E$60,AK23,AK31)</f>
        <v>0.5025452878373311</v>
      </c>
      <c r="AL33" s="36">
        <f>SUM(AL16*'Inputs'!$E$15*'Inputs'!$E$59/'Inputs'!$E$60+AL24*'Inputs'!$E$17*'Inputs'!$E$59/'Inputs'!$E$60,AL23,AL31)</f>
        <v>0.4955054524986483</v>
      </c>
      <c r="AM33" s="36">
        <f>SUM(AM16*'Inputs'!$E$15*'Inputs'!$E$59/'Inputs'!$E$60+AM24*'Inputs'!$E$17*'Inputs'!$E$59/'Inputs'!$E$60,AM23,AM31)</f>
        <v>0.48889546765701725</v>
      </c>
      <c r="AN33" s="36">
        <f>SUM(AN16*'Inputs'!$E$15*'Inputs'!$E$59/'Inputs'!$E$60+AN24*'Inputs'!$E$17*'Inputs'!$E$59/'Inputs'!$E$60,AN23,AN31)</f>
        <v>0.482683909658174</v>
      </c>
      <c r="AO33" s="36">
        <f>SUM(AO16*'Inputs'!$E$15*'Inputs'!$E$59/'Inputs'!$E$60+AO24*'Inputs'!$E$17*'Inputs'!$E$59/'Inputs'!$E$60,AO23,AO31)</f>
        <v>0.47684213595688074</v>
      </c>
      <c r="AP33" s="36">
        <f>SUM(AP16*'Inputs'!$E$15*'Inputs'!$E$59/'Inputs'!$E$60+AP24*'Inputs'!$E$17*'Inputs'!$E$59/'Inputs'!$E$60,AP23,AP31)</f>
        <v>0.47128875780130275</v>
      </c>
      <c r="AQ33" s="36">
        <f>SUM(AQ16*'Inputs'!$E$15*'Inputs'!$E$59/'Inputs'!$E$60+AQ24*'Inputs'!$E$17*'Inputs'!$E$59/'Inputs'!$E$60,AQ23,AQ31)</f>
        <v>0.4660002289546744</v>
      </c>
    </row>
    <row r="34" ht="22" customHeight="1">
      <c r="A34" s="2" t="str">
        <v>R1.TRANSACTIONS</v>
      </c>
      <c r="B34" s="6" t="str">
        <v>Subscription payments (count)</v>
      </c>
      <c r="C34" s="2" t="str">
        <v>EUR</v>
      </c>
      <c r="D34" s="2" t="str">
        <v>NA</v>
      </c>
      <c r="E34" s="2"/>
      <c r="F34" s="6" t="str"/>
      <c r="G34" s="2"/>
      <c r="H34" s="35">
        <f>SUM(H16,H18,H24,H26)</f>
        <v>0.07999999999999999</v>
      </c>
      <c r="I34" s="35">
        <f>SUM(I16,I18,I24,I26)</f>
        <v>0.056111999999999995</v>
      </c>
      <c r="J34" s="35">
        <f>SUM(J16,J18,J24,J26)</f>
        <v>0.05406028799999999</v>
      </c>
      <c r="K34" s="35">
        <f>SUM(K16,K18,K24,K26)</f>
        <v>0.052020044223999994</v>
      </c>
      <c r="L34" s="35">
        <f>SUM(L16,L18,L24,L26)</f>
        <v>0.049891169867072</v>
      </c>
      <c r="M34" s="35">
        <f>SUM(M16,M18,M24,M26)</f>
        <v>0.04782875306059394</v>
      </c>
      <c r="N34" s="35">
        <f>SUM(N16,N18,N24,N26)</f>
        <v>0.04586035418863125</v>
      </c>
      <c r="O34" s="35">
        <f>SUM(O16,O18,O24,O26)</f>
        <v>0.04395813222909304</v>
      </c>
      <c r="P34" s="35">
        <f>SUM(P16,P18,P24,P26)</f>
        <v>0.0421166840240596</v>
      </c>
      <c r="Q34" s="35">
        <f>SUM(Q16,Q18,Q24,Q26)</f>
        <v>0.04033108325564533</v>
      </c>
      <c r="R34" s="35">
        <f>SUM(R16,R18,R24,R26)</f>
        <v>0.038668837029020575</v>
      </c>
      <c r="S34" s="35">
        <f>SUM(S16,S18,S24,S26)</f>
        <v>0.03709937415698809</v>
      </c>
      <c r="T34" s="35">
        <f>SUM(T16,T18,T24,T26)</f>
        <v>0.044014619855249446</v>
      </c>
      <c r="U34" s="35">
        <f>SUM(U16,U18,U24,U26)</f>
        <v>0.034846416048027865</v>
      </c>
      <c r="V34" s="35">
        <f>SUM(V16,V18,V24,V26)</f>
        <v>0.033550582840567306</v>
      </c>
      <c r="W34" s="35">
        <f>SUM(W16,W18,W24,W26)</f>
        <v>0.03238838074717787</v>
      </c>
      <c r="X34" s="35">
        <f>SUM(X16,X18,X24,X26)</f>
        <v>0.031312666432876786</v>
      </c>
      <c r="Y34" s="35">
        <f>SUM(Y16,Y18,Y24,Y26)</f>
        <v>0.030331003420334034</v>
      </c>
      <c r="Z34" s="35">
        <f>SUM(Z16,Z18,Z24,Z26)</f>
        <v>0.029428603205894896</v>
      </c>
      <c r="AA34" s="35">
        <f>SUM(AA16,AA18,AA24,AA26)</f>
        <v>0.02859138613951002</v>
      </c>
      <c r="AB34" s="35">
        <f>SUM(AB16,AB18,AB24,AB26)</f>
        <v>0.027813518721759065</v>
      </c>
      <c r="AC34" s="35">
        <f>SUM(AC16,AC18,AC24,AC26)</f>
        <v>0.02708969163308929</v>
      </c>
      <c r="AD34" s="35">
        <f>SUM(AD16,AD18,AD24,AD26)</f>
        <v>0.02642263250084709</v>
      </c>
      <c r="AE34" s="35">
        <f>SUM(AE16,AE18,AE24,AE26)</f>
        <v>0.02580034771017428</v>
      </c>
      <c r="AF34" s="35">
        <f>SUM(AF16,AF18,AF24,AF26)</f>
        <v>0.028158834856398737</v>
      </c>
      <c r="AG34" s="35">
        <f>SUM(AG16,AG18,AG24,AG26)</f>
        <v>0.024866672684370098</v>
      </c>
      <c r="AH34" s="35">
        <f>SUM(AH16,AH18,AH24,AH26)</f>
        <v>0.024309299687957506</v>
      </c>
      <c r="AI34" s="35">
        <f>SUM(AI16,AI18,AI24,AI26)</f>
        <v>0.02378359842716197</v>
      </c>
      <c r="AJ34" s="35">
        <f>SUM(AJ16,AJ18,AJ24,AJ26)</f>
        <v>0.023274433773635986</v>
      </c>
      <c r="AK34" s="35">
        <f>SUM(AK16,AK18,AK24,AK26)</f>
        <v>0.02280378636646451</v>
      </c>
      <c r="AL34" s="35">
        <f>SUM(AL16,AL18,AL24,AL26)</f>
        <v>0.022361033460113318</v>
      </c>
      <c r="AM34" s="35">
        <f>SUM(AM16,AM18,AM24,AM26)</f>
        <v>0.02194123247991341</v>
      </c>
      <c r="AN34" s="35">
        <f>SUM(AN16,AN18,AN24,AN26)</f>
        <v>0.021542328474685523</v>
      </c>
      <c r="AO34" s="35">
        <f>SUM(AO16,AO18,AO24,AO26)</f>
        <v>0.021162451285994758</v>
      </c>
      <c r="AP34" s="35">
        <f>SUM(AP16,AP18,AP24,AP26)</f>
        <v>0.02080254488915303</v>
      </c>
      <c r="AQ34" s="35">
        <f>SUM(AQ16,AQ18,AQ24,AQ26)</f>
        <v>0.02045840191179651</v>
      </c>
    </row>
    <row r="35" ht="28" customHeight="1">
      <c r="A35" s="2" t="str">
        <v>DE.GATE</v>
      </c>
      <c r="B35" s="6" t="str">
        <v>Germany: copy trading licensed (1 = yes)</v>
      </c>
      <c r="C35" s="2" t="str">
        <v>flag</v>
      </c>
      <c r="D35" s="2" t="str">
        <v>NA</v>
      </c>
      <c r="E35" s="2"/>
      <c r="F35" s="6" t="str"/>
      <c r="G35" s="2"/>
      <c r="H35" s="38">
        <f>IF('Inputs'!$E$52+H$6&gt;='Inputs'!$E$12,1,0)</f>
        <v>0</v>
      </c>
      <c r="I35" s="38">
        <f>IF('Inputs'!$E$52+I$6&gt;='Inputs'!$E$12,1,0)</f>
        <v>0</v>
      </c>
      <c r="J35" s="38">
        <f>IF('Inputs'!$E$52+J$6&gt;='Inputs'!$E$12,1,0)</f>
        <v>0</v>
      </c>
      <c r="K35" s="38">
        <f>IF('Inputs'!$E$52+K$6&gt;='Inputs'!$E$12,1,0)</f>
        <v>1</v>
      </c>
      <c r="L35" s="38">
        <f>IF('Inputs'!$E$52+L$6&gt;='Inputs'!$E$12,1,0)</f>
        <v>1</v>
      </c>
      <c r="M35" s="38">
        <f>IF('Inputs'!$E$52+M$6&gt;='Inputs'!$E$12,1,0)</f>
        <v>1</v>
      </c>
      <c r="N35" s="38">
        <f>IF('Inputs'!$E$52+N$6&gt;='Inputs'!$E$12,1,0)</f>
        <v>1</v>
      </c>
      <c r="O35" s="38">
        <f>IF('Inputs'!$E$52+O$6&gt;='Inputs'!$E$12,1,0)</f>
        <v>1</v>
      </c>
      <c r="P35" s="38">
        <f>IF('Inputs'!$E$52+P$6&gt;='Inputs'!$E$12,1,0)</f>
        <v>1</v>
      </c>
      <c r="Q35" s="38">
        <f>IF('Inputs'!$E$52+Q$6&gt;='Inputs'!$E$12,1,0)</f>
        <v>1</v>
      </c>
      <c r="R35" s="38">
        <f>IF('Inputs'!$E$52+R$6&gt;='Inputs'!$E$12,1,0)</f>
        <v>1</v>
      </c>
      <c r="S35" s="38">
        <f>IF('Inputs'!$E$52+S$6&gt;='Inputs'!$E$12,1,0)</f>
        <v>1</v>
      </c>
      <c r="T35" s="38">
        <f>IF('Inputs'!$E$52+T$6&gt;='Inputs'!$E$12,1,0)</f>
        <v>1</v>
      </c>
      <c r="U35" s="38">
        <f>IF('Inputs'!$E$52+U$6&gt;='Inputs'!$E$12,1,0)</f>
        <v>1</v>
      </c>
      <c r="V35" s="38">
        <f>IF('Inputs'!$E$52+V$6&gt;='Inputs'!$E$12,1,0)</f>
        <v>1</v>
      </c>
      <c r="W35" s="38">
        <f>IF('Inputs'!$E$52+W$6&gt;='Inputs'!$E$12,1,0)</f>
        <v>1</v>
      </c>
      <c r="X35" s="38">
        <f>IF('Inputs'!$E$52+X$6&gt;='Inputs'!$E$12,1,0)</f>
        <v>1</v>
      </c>
      <c r="Y35" s="38">
        <f>IF('Inputs'!$E$52+Y$6&gt;='Inputs'!$E$12,1,0)</f>
        <v>1</v>
      </c>
      <c r="Z35" s="38">
        <f>IF('Inputs'!$E$52+Z$6&gt;='Inputs'!$E$12,1,0)</f>
        <v>1</v>
      </c>
      <c r="AA35" s="38">
        <f>IF('Inputs'!$E$52+AA$6&gt;='Inputs'!$E$12,1,0)</f>
        <v>1</v>
      </c>
      <c r="AB35" s="38">
        <f>IF('Inputs'!$E$52+AB$6&gt;='Inputs'!$E$12,1,0)</f>
        <v>1</v>
      </c>
      <c r="AC35" s="38">
        <f>IF('Inputs'!$E$52+AC$6&gt;='Inputs'!$E$12,1,0)</f>
        <v>1</v>
      </c>
      <c r="AD35" s="38">
        <f>IF('Inputs'!$E$52+AD$6&gt;='Inputs'!$E$12,1,0)</f>
        <v>1</v>
      </c>
      <c r="AE35" s="38">
        <f>IF('Inputs'!$E$52+AE$6&gt;='Inputs'!$E$12,1,0)</f>
        <v>1</v>
      </c>
      <c r="AF35" s="38">
        <f>IF('Inputs'!$E$52+AF$6&gt;='Inputs'!$E$12,1,0)</f>
        <v>1</v>
      </c>
      <c r="AG35" s="38">
        <f>IF('Inputs'!$E$52+AG$6&gt;='Inputs'!$E$12,1,0)</f>
        <v>1</v>
      </c>
      <c r="AH35" s="38">
        <f>IF('Inputs'!$E$52+AH$6&gt;='Inputs'!$E$12,1,0)</f>
        <v>1</v>
      </c>
      <c r="AI35" s="38">
        <f>IF('Inputs'!$E$52+AI$6&gt;='Inputs'!$E$12,1,0)</f>
        <v>1</v>
      </c>
      <c r="AJ35" s="38">
        <f>IF('Inputs'!$E$52+AJ$6&gt;='Inputs'!$E$12,1,0)</f>
        <v>1</v>
      </c>
      <c r="AK35" s="38">
        <f>IF('Inputs'!$E$52+AK$6&gt;='Inputs'!$E$12,1,0)</f>
        <v>1</v>
      </c>
      <c r="AL35" s="38">
        <f>IF('Inputs'!$E$52+AL$6&gt;='Inputs'!$E$12,1,0)</f>
        <v>1</v>
      </c>
      <c r="AM35" s="38">
        <f>IF('Inputs'!$E$52+AM$6&gt;='Inputs'!$E$12,1,0)</f>
        <v>1</v>
      </c>
      <c r="AN35" s="38">
        <f>IF('Inputs'!$E$52+AN$6&gt;='Inputs'!$E$12,1,0)</f>
        <v>1</v>
      </c>
      <c r="AO35" s="38">
        <f>IF('Inputs'!$E$52+AO$6&gt;='Inputs'!$E$12,1,0)</f>
        <v>1</v>
      </c>
      <c r="AP35" s="38">
        <f>IF('Inputs'!$E$52+AP$6&gt;='Inputs'!$E$12,1,0)</f>
        <v>1</v>
      </c>
      <c r="AQ35" s="38">
        <f>IF('Inputs'!$E$52+AQ$6&gt;='Inputs'!$E$12,1,0)</f>
        <v>1</v>
      </c>
    </row>
    <row r="36" ht="22" customHeight="1">
      <c r="A36" s="2" t="str">
        <v>DE.COPIERS</v>
      </c>
      <c r="B36" s="6" t="str">
        <v>Germany: copiers</v>
      </c>
      <c r="C36" s="2" t="str">
        <v>count</v>
      </c>
      <c r="D36" s="2" t="str">
        <v>NA</v>
      </c>
      <c r="E36" s="2"/>
      <c r="F36" s="6" t="str"/>
      <c r="G36" s="2"/>
      <c r="H36" s="38">
        <f>(0*H12*(1-'Inputs'!$E$30)+MAX(0,H11-0*H12)*'Inputs'!$E$29)*H35</f>
        <v>0.0</v>
      </c>
      <c r="I36" s="38">
        <f>(H36*I12*(1-'Inputs'!$E$30)+MAX(0,I11-H36*I12)*'Inputs'!$E$29)*I35</f>
        <v>0.0</v>
      </c>
      <c r="J36" s="38">
        <f>(I36*J12*(1-'Inputs'!$E$30)+MAX(0,J11-I36*J12)*'Inputs'!$E$29)*J35</f>
        <v>0.0</v>
      </c>
      <c r="K36" s="38">
        <f>(J36*K12*(1-'Inputs'!$E$30)+MAX(0,K11-J36*K12)*'Inputs'!$E$29)*K35</f>
        <v>0.013750000000000002</v>
      </c>
      <c r="L36" s="38">
        <f>(K36*L12*(1-'Inputs'!$E$30)+MAX(0,L11-K36*L12)*'Inputs'!$E$29)*L35</f>
        <v>0.0239375</v>
      </c>
      <c r="M36" s="38">
        <f>(L36*M12*(1-'Inputs'!$E$30)+MAX(0,M11-L36*M12)*'Inputs'!$E$29)*M35</f>
        <v>0.03233864374999999</v>
      </c>
      <c r="N36" s="38">
        <f>(M36*N12*(1-'Inputs'!$E$30)+MAX(0,N11-M36*N12)*'Inputs'!$E$29)*N35</f>
        <v>0.039580716093749996</v>
      </c>
      <c r="O36" s="38">
        <f>(N36*O12*(1-'Inputs'!$E$30)+MAX(0,O11-N36*O12)*'Inputs'!$E$29)*O35</f>
        <v>0.045356739437968745</v>
      </c>
      <c r="P36" s="38">
        <f>(O36*P12*(1-'Inputs'!$E$30)+MAX(0,P11-O36*P12)*'Inputs'!$E$29)*P35</f>
        <v>0.049821118139892956</v>
      </c>
      <c r="Q36" s="38">
        <f>(P36*Q12*(1-'Inputs'!$E$30)+MAX(0,Q11-P36*Q12)*'Inputs'!$E$29)*Q35</f>
        <v>0.05311260002005074</v>
      </c>
      <c r="R36" s="38">
        <f>(Q36*R12*(1-'Inputs'!$E$30)+MAX(0,R11-Q36*R12)*'Inputs'!$E$29)*R35</f>
        <v>0.0568519257101837</v>
      </c>
      <c r="S36" s="38">
        <f>(R36*S12*(1-'Inputs'!$E$30)+MAX(0,S11-R36*S12)*'Inputs'!$E$29)*S35</f>
        <v>0.05990057749784919</v>
      </c>
      <c r="T36" s="38">
        <f>(S36*T12*(1-'Inputs'!$E$30)+MAX(0,T11-S36*T12)*'Inputs'!$E$29)*T35</f>
        <v>0.062327703318355465</v>
      </c>
      <c r="U36" s="38">
        <f>(T36*U12*(1-'Inputs'!$E$30)+MAX(0,U11-T36*U12)*'Inputs'!$E$29)*U35</f>
        <v>0.06557130792145986</v>
      </c>
      <c r="V36" s="38">
        <f>(U36*V12*(1-'Inputs'!$E$30)+MAX(0,V11-U36*V12)*'Inputs'!$E$29)*V35</f>
        <v>0.06845318208556139</v>
      </c>
      <c r="W36" s="38">
        <f>(V36*W12*(1-'Inputs'!$E$30)+MAX(0,W11-V36*W12)*'Inputs'!$E$29)*W35</f>
        <v>0.07100607244203312</v>
      </c>
      <c r="X36" s="38">
        <f>(W36*X12*(1-'Inputs'!$E$30)+MAX(0,X11-W36*X12)*'Inputs'!$E$29)*X35</f>
        <v>0.07325977219733648</v>
      </c>
      <c r="Y36" s="38">
        <f>(X36*Y12*(1-'Inputs'!$E$30)+MAX(0,Y11-X36*Y12)*'Inputs'!$E$29)*Y35</f>
        <v>0.07524138662084456</v>
      </c>
      <c r="Z36" s="38">
        <f>(Y36*Z12*(1-'Inputs'!$E$30)+MAX(0,Z11-Y36*Z12)*'Inputs'!$E$29)*Z35</f>
        <v>0.07697557473823052</v>
      </c>
      <c r="AA36" s="38">
        <f>(Z36*AA12*(1-'Inputs'!$E$30)+MAX(0,AA11-Z36*AA12)*'Inputs'!$E$29)*AA35</f>
        <v>0.07848476935732529</v>
      </c>
      <c r="AB36" s="38">
        <f>(AA36*AB12*(1-'Inputs'!$E$30)+MAX(0,AB11-AA36*AB12)*'Inputs'!$E$29)*AB35</f>
        <v>0.07978937736369021</v>
      </c>
      <c r="AC36" s="38">
        <f>(AB36*AC12*(1-'Inputs'!$E$30)+MAX(0,AC11-AB36*AC12)*'Inputs'!$E$29)*AC35</f>
        <v>0.0809079620503664</v>
      </c>
      <c r="AD36" s="38">
        <f>(AC36*AD12*(1-'Inputs'!$E$30)+MAX(0,AD11-AC36*AD12)*'Inputs'!$E$29)*AD35</f>
        <v>0.081857409088855</v>
      </c>
      <c r="AE36" s="38">
        <f>(AD36*AE12*(1-'Inputs'!$E$30)+MAX(0,AE11-AD36*AE12)*'Inputs'!$E$29)*AE35</f>
        <v>0.08265307760498662</v>
      </c>
      <c r="AF36" s="38">
        <f>(AE36*AF12*(1-'Inputs'!$E$30)+MAX(0,AF11-AE36*AF12)*'Inputs'!$E$29)*AF35</f>
        <v>0.0833089376927089</v>
      </c>
      <c r="AG36" s="38">
        <f>(AF36*AG12*(1-'Inputs'!$E$30)+MAX(0,AG11-AF36*AG12)*'Inputs'!$E$29)*AG35</f>
        <v>0.08306971668901483</v>
      </c>
      <c r="AH36" s="38">
        <f>(AG36*AH12*(1-'Inputs'!$E$30)+MAX(0,AH11-AG36*AH12)*'Inputs'!$E$29)*AH35</f>
        <v>0.08269550618111893</v>
      </c>
      <c r="AI36" s="38">
        <f>(AH36*AI12*(1-'Inputs'!$E$30)+MAX(0,AI11-AH36*AI12)*'Inputs'!$E$29)*AI35</f>
        <v>0.0821992952564872</v>
      </c>
      <c r="AJ36" s="38">
        <f>(AI36*AJ12*(1-'Inputs'!$E$30)+MAX(0,AJ11-AI36*AJ12)*'Inputs'!$E$29)*AJ35</f>
        <v>0.08159284015688427</v>
      </c>
      <c r="AK36" s="38">
        <f>(AJ36*AK12*(1-'Inputs'!$E$30)+MAX(0,AK11-AJ36*AK12)*'Inputs'!$E$29)*AK35</f>
        <v>0.08155526580124181</v>
      </c>
      <c r="AL36" s="38">
        <f>(AK36*AL12*(1-'Inputs'!$E$30)+MAX(0,AL11-AK36*AL12)*'Inputs'!$E$29)*AL35</f>
        <v>0.08143907081592507</v>
      </c>
      <c r="AM36" s="38">
        <f>(AL36*AM12*(1-'Inputs'!$E$30)+MAX(0,AM11-AL36*AM12)*'Inputs'!$E$29)*AM35</f>
        <v>0.0812515171826982</v>
      </c>
      <c r="AN36" s="38">
        <f>(AM36*AN12*(1-'Inputs'!$E$30)+MAX(0,AN11-AM36*AN12)*'Inputs'!$E$29)*AN35</f>
        <v>0.08099920038047484</v>
      </c>
      <c r="AO36" s="38">
        <f>(AN36*AO12*(1-'Inputs'!$E$30)+MAX(0,AO11-AN36*AO12)*'Inputs'!$E$29)*AO35</f>
        <v>0.08068811022298446</v>
      </c>
      <c r="AP36" s="38">
        <f>(AO36*AP12*(1-'Inputs'!$E$30)+MAX(0,AP11-AO36*AP12)*'Inputs'!$E$29)*AP35</f>
        <v>0.08032368616951852</v>
      </c>
      <c r="AQ36" s="38">
        <f>(AP36*AQ12*(1-'Inputs'!$E$30)+MAX(0,AQ11-AP36*AQ12)*'Inputs'!$E$29)*AQ35</f>
        <v>0.07991086760878072</v>
      </c>
    </row>
    <row r="37" ht="28" customHeight="1">
      <c r="A37" s="2" t="str">
        <v>DE.U.FREE</v>
      </c>
      <c r="B37" s="6" t="str">
        <v>Germany: not yet identity-checked: non-payers</v>
      </c>
      <c r="C37" s="2" t="str">
        <v>count</v>
      </c>
      <c r="D37" s="2" t="str">
        <v>NA</v>
      </c>
      <c r="E37" s="2"/>
      <c r="F37" s="6" t="str"/>
      <c r="G37" s="2"/>
      <c r="H37" s="38">
        <f>(H11-H38+SUM(0*H12*'Inputs'!$E$23,0*H12*(1-'Inputs'!$E$24),0*H12*'Inputs'!$E$23,0*H12*(1-'Inputs'!$E$24)))*(1-'Inputs'!$E$29*H35)</f>
        <v>0.92</v>
      </c>
      <c r="I37" s="38">
        <f>(H37*I12-I38+SUM(H39*I12*'Inputs'!$E$23,H52*I12*(1-'Inputs'!$E$24),H40*I12*'Inputs'!$E$23,H64*I12*(1-'Inputs'!$E$24)))*(1-'Inputs'!$E$29*I35)</f>
        <v>0.642376</v>
      </c>
      <c r="J37" s="38">
        <f>(I37*J12-J38+SUM(I39*J12*'Inputs'!$E$23,I52*J12*(1-'Inputs'!$E$24),I40*J12*'Inputs'!$E$23,I64*J12*(1-'Inputs'!$E$24)))*(1-'Inputs'!$E$29*J35)</f>
        <v>0.549233184</v>
      </c>
      <c r="K37" s="38">
        <f>(J37*K12-K38+SUM(J39*K12*'Inputs'!$E$23,J52*K12*(1-'Inputs'!$E$24),J40*K12*'Inputs'!$E$23,J64*K12*(1-'Inputs'!$E$24)))*(1-'Inputs'!$E$29*K35)</f>
        <v>0.48966253822200007</v>
      </c>
      <c r="L37" s="38">
        <f>(K37*L12-L38+SUM(K39*L12*'Inputs'!$E$23,K52*L12*(1-'Inputs'!$E$24),K40*L12*'Inputs'!$E$23,K64*L12*(1-'Inputs'!$E$24)))*(1-'Inputs'!$E$29*L35)</f>
        <v>0.4323522278318549</v>
      </c>
      <c r="M37" s="38">
        <f>(L37*M12-M38+SUM(L39*M12*'Inputs'!$E$23,L52*M12*(1-'Inputs'!$E$24),L40*M12*'Inputs'!$E$23,L64*M12*(1-'Inputs'!$E$24)))*(1-'Inputs'!$E$29*M35)</f>
        <v>0.39473682816366457</v>
      </c>
      <c r="N37" s="38">
        <f>(M37*N12-N38+SUM(M39*N12*'Inputs'!$E$23,M52*N12*(1-'Inputs'!$E$24),M40*N12*'Inputs'!$E$23,M64*N12*(1-'Inputs'!$E$24)))*(1-'Inputs'!$E$29*N35)</f>
        <v>0.36708970242594247</v>
      </c>
      <c r="O37" s="38">
        <f>(N37*O12-O38+SUM(N39*O12*'Inputs'!$E$23,N52*O12*(1-'Inputs'!$E$24),N40*O12*'Inputs'!$E$23,N64*O12*(1-'Inputs'!$E$24)))*(1-'Inputs'!$E$29*O35)</f>
        <v>0.34071020414805725</v>
      </c>
      <c r="P37" s="38">
        <f>(O37*P12-P38+SUM(O39*P12*'Inputs'!$E$23,O52*P12*(1-'Inputs'!$E$24),O40*P12*'Inputs'!$E$23,O64*P12*(1-'Inputs'!$E$24)))*(1-'Inputs'!$E$29*P35)</f>
        <v>0.3155469542668654</v>
      </c>
      <c r="Q37" s="38">
        <f>(P37*Q12-Q38+SUM(P39*Q12*'Inputs'!$E$23,P52*Q12*(1-'Inputs'!$E$24),P40*Q12*'Inputs'!$E$23,P64*Q12*(1-'Inputs'!$E$24)))*(1-'Inputs'!$E$29*Q35)</f>
        <v>0.29155068176271826</v>
      </c>
      <c r="R37" s="38">
        <f>(Q37*R12-R38+SUM(Q39*R12*'Inputs'!$E$23,Q52*R12*(1-'Inputs'!$E$24),Q40*R12*'Inputs'!$E$23,Q64*R12*(1-'Inputs'!$E$24)))*(1-'Inputs'!$E$29*R35)</f>
        <v>0.27593558034795285</v>
      </c>
      <c r="S37" s="38">
        <f>(R37*S12-S38+SUM(R39*S12*'Inputs'!$E$23,R52*S12*(1-'Inputs'!$E$24),R40*S12*'Inputs'!$E$23,R64*S12*(1-'Inputs'!$E$24)))*(1-'Inputs'!$E$29*S35)</f>
        <v>0.260978862779922</v>
      </c>
      <c r="T37" s="38">
        <f>(S37*T12-T38+SUM(S39*T12*'Inputs'!$E$23,S52*T12*(1-'Inputs'!$E$24),S40*T12*'Inputs'!$E$23,S64*T12*(1-'Inputs'!$E$24)))*(1-'Inputs'!$E$29*T35)</f>
        <v>0.24992495694856814</v>
      </c>
      <c r="U37" s="38">
        <f>(T37*U12-U38+SUM(T39*U12*'Inputs'!$E$23,T52*U12*(1-'Inputs'!$E$24),T40*U12*'Inputs'!$E$23,T64*U12*(1-'Inputs'!$E$24)))*(1-'Inputs'!$E$29*U35)</f>
        <v>0.24136320957702054</v>
      </c>
      <c r="V37" s="38">
        <f>(U37*V12-V38+SUM(U39*V12*'Inputs'!$E$23,U52*V12*(1-'Inputs'!$E$24),U40*V12*'Inputs'!$E$23,U64*V12*(1-'Inputs'!$E$24)))*(1-'Inputs'!$E$29*V35)</f>
        <v>0.2330853260244182</v>
      </c>
      <c r="W37" s="38">
        <f>(V37*W12-W38+SUM(V39*W12*'Inputs'!$E$23,V52*W12*(1-'Inputs'!$E$24),V40*W12*'Inputs'!$E$23,V64*W12*(1-'Inputs'!$E$24)))*(1-'Inputs'!$E$29*W35)</f>
        <v>0.22508190563546052</v>
      </c>
      <c r="X37" s="38">
        <f>(W37*X12-X38+SUM(W39*X12*'Inputs'!$E$23,W52*X12*(1-'Inputs'!$E$24),W40*X12*'Inputs'!$E$23,W64*X12*(1-'Inputs'!$E$24)))*(1-'Inputs'!$E$29*X35)</f>
        <v>0.2173438826638053</v>
      </c>
      <c r="Y37" s="38">
        <f>(X37*Y12-Y38+SUM(X39*Y12*'Inputs'!$E$23,X52*Y12*(1-'Inputs'!$E$24),X40*Y12*'Inputs'!$E$23,X64*Y12*(1-'Inputs'!$E$24)))*(1-'Inputs'!$E$29*Y35)</f>
        <v>0.20986215889356868</v>
      </c>
      <c r="Z37" s="38">
        <f>(Y37*Z12-Z38+SUM(Y39*Z12*'Inputs'!$E$23,Y52*Z12*(1-'Inputs'!$E$24),Y40*Z12*'Inputs'!$E$23,Y64*Z12*(1-'Inputs'!$E$24)))*(1-'Inputs'!$E$29*Z35)</f>
        <v>0.20262833259165805</v>
      </c>
      <c r="AA37" s="38">
        <f>(Z37*AA12-AA38+SUM(Z39*AA12*'Inputs'!$E$23,Z52*AA12*(1-'Inputs'!$E$24),Z40*AA12*'Inputs'!$E$23,Z64*AA12*(1-'Inputs'!$E$24)))*(1-'Inputs'!$E$29*AA35)</f>
        <v>0.19563429126123577</v>
      </c>
      <c r="AB37" s="38">
        <f>(AA37*AB12-AB38+SUM(AA39*AB12*'Inputs'!$E$23,AA52*AB12*(1-'Inputs'!$E$24),AA40*AB12*'Inputs'!$E$23,AA64*AB12*(1-'Inputs'!$E$24)))*(1-'Inputs'!$E$29*AB35)</f>
        <v>0.18887219946646447</v>
      </c>
      <c r="AC37" s="38">
        <f>(AB37*AC12-AC38+SUM(AB39*AC12*'Inputs'!$E$23,AB52*AC12*(1-'Inputs'!$E$24),AB40*AC12*'Inputs'!$E$23,AB64*AC12*(1-'Inputs'!$E$24)))*(1-'Inputs'!$E$29*AC35)</f>
        <v>0.18233448742932154</v>
      </c>
      <c r="AD37" s="38">
        <f>(AC37*AD12-AD38+SUM(AC39*AD12*'Inputs'!$E$23,AC52*AD12*(1-'Inputs'!$E$24),AC40*AD12*'Inputs'!$E$23,AC64*AD12*(1-'Inputs'!$E$24)))*(1-'Inputs'!$E$29*AD35)</f>
        <v>0.176013840326141</v>
      </c>
      <c r="AE37" s="38">
        <f>(AD37*AE12-AE38+SUM(AD39*AE12*'Inputs'!$E$23,AD52*AE12*(1-'Inputs'!$E$24),AD40*AE12*'Inputs'!$E$23,AD64*AE12*(1-'Inputs'!$E$24)))*(1-'Inputs'!$E$29*AE35)</f>
        <v>0.1699031882196801</v>
      </c>
      <c r="AF37" s="38">
        <f>(AE37*AF12-AF38+SUM(AE39*AF12*'Inputs'!$E$23,AE52*AF12*(1-'Inputs'!$E$24),AE40*AF12*'Inputs'!$E$23,AE64*AF12*(1-'Inputs'!$E$24)))*(1-'Inputs'!$E$29*AF35)</f>
        <v>0.16476992549275501</v>
      </c>
      <c r="AG37" s="38">
        <f>(AF37*AG12-AG38+SUM(AF39*AG12*'Inputs'!$E$23,AF52*AG12*(1-'Inputs'!$E$24),AF40*AG12*'Inputs'!$E$23,AF64*AG12*(1-'Inputs'!$E$24)))*(1-'Inputs'!$E$29*AG35)</f>
        <v>0.15764194644572313</v>
      </c>
      <c r="AH37" s="38">
        <f>(AG37*AH12-AH38+SUM(AG39*AH12*'Inputs'!$E$23,AG52*AH12*(1-'Inputs'!$E$24),AG40*AH12*'Inputs'!$E$23,AG64*AH12*(1-'Inputs'!$E$24)))*(1-'Inputs'!$E$29*AH35)</f>
        <v>0.15077927988654447</v>
      </c>
      <c r="AI37" s="38">
        <f>(AH37*AI12-AI38+SUM(AH39*AI12*'Inputs'!$E$23,AH52*AI12*(1-'Inputs'!$E$24),AH40*AI12*'Inputs'!$E$23,AH64*AI12*(1-'Inputs'!$E$24)))*(1-'Inputs'!$E$29*AI35)</f>
        <v>0.1441727351325915</v>
      </c>
      <c r="AJ37" s="38">
        <f>(AI37*AJ12-AJ38+SUM(AI39*AJ12*'Inputs'!$E$23,AI52*AJ12*(1-'Inputs'!$E$24),AI40*AJ12*'Inputs'!$E$23,AI64*AJ12*(1-'Inputs'!$E$24)))*(1-'Inputs'!$E$29*AJ35)</f>
        <v>0.13781343225240258</v>
      </c>
      <c r="AK37" s="38">
        <f>(AJ37*AK12-AK38+SUM(AJ39*AK12*'Inputs'!$E$23,AJ52*AK12*(1-'Inputs'!$E$24),AJ40*AK12*'Inputs'!$E$23,AJ64*AK12*(1-'Inputs'!$E$24)))*(1-'Inputs'!$E$29*AK35)</f>
        <v>0.1327810813255862</v>
      </c>
      <c r="AL37" s="38">
        <f>(AK37*AL12-AL38+SUM(AK39*AL12*'Inputs'!$E$23,AK52*AL12*(1-'Inputs'!$E$24),AK40*AL12*'Inputs'!$E$23,AK64*AL12*(1-'Inputs'!$E$24)))*(1-'Inputs'!$E$29*AL35)</f>
        <v>0.12792017736742667</v>
      </c>
      <c r="AM37" s="38">
        <f>(AL37*AM12-AM38+SUM(AL39*AM12*'Inputs'!$E$23,AL52*AM12*(1-'Inputs'!$E$24),AL40*AM12*'Inputs'!$E$23,AL64*AM12*(1-'Inputs'!$E$24)))*(1-'Inputs'!$E$29*AM35)</f>
        <v>0.12322510637762023</v>
      </c>
      <c r="AN37" s="38">
        <f>(AM37*AN12-AN38+SUM(AM39*AN12*'Inputs'!$E$23,AM52*AN12*(1-'Inputs'!$E$24),AM40*AN12*'Inputs'!$E$23,AM64*AN12*(1-'Inputs'!$E$24)))*(1-'Inputs'!$E$29*AN35)</f>
        <v>0.11869043605337151</v>
      </c>
      <c r="AO37" s="38">
        <f>(AN37*AO12-AO38+SUM(AN39*AO12*'Inputs'!$E$23,AN52*AO12*(1-'Inputs'!$E$24),AN40*AO12*'Inputs'!$E$23,AN64*AO12*(1-'Inputs'!$E$24)))*(1-'Inputs'!$E$29*AO35)</f>
        <v>0.11431090961125473</v>
      </c>
      <c r="AP37" s="38">
        <f>(AO37*AP12-AP38+SUM(AO39*AP12*'Inputs'!$E$23,AO52*AP12*(1-'Inputs'!$E$24),AO40*AP12*'Inputs'!$E$23,AO64*AP12*(1-'Inputs'!$E$24)))*(1-'Inputs'!$E$29*AP35)</f>
        <v>0.11008143986756666</v>
      </c>
      <c r="AQ37" s="38">
        <f>(AP37*AQ12-AQ38+SUM(AP39*AQ12*'Inputs'!$E$23,AP52*AQ12*(1-'Inputs'!$E$24),AP40*AQ12*'Inputs'!$E$23,AP64*AQ12*(1-'Inputs'!$E$24)))*(1-'Inputs'!$E$29*AQ35)</f>
        <v>0.10599710356066429</v>
      </c>
    </row>
    <row r="38" ht="28" customHeight="1">
      <c r="A38" s="2" t="str">
        <v>DE.U.NEW</v>
      </c>
      <c r="B38" s="6" t="str">
        <v>Germany: not yet identity-checked: new payers</v>
      </c>
      <c r="C38" s="2" t="str">
        <v>count</v>
      </c>
      <c r="D38" s="2" t="str">
        <v>NA</v>
      </c>
      <c r="E38" s="2"/>
      <c r="F38" s="6" t="str"/>
      <c r="G38" s="2"/>
      <c r="H38" s="38">
        <f>H11*'Inputs'!$E$20*H13</f>
        <v>0.08</v>
      </c>
      <c r="I38" s="38">
        <f>H37*I12*'Inputs'!$E$21*I13</f>
        <v>0.005152</v>
      </c>
      <c r="J38" s="38">
        <f>I37*J12*'Inputs'!$E$21*J13</f>
        <v>0.004404864</v>
      </c>
      <c r="K38" s="38">
        <f>J37*K12*'Inputs'!$E$21*K13</f>
        <v>0.004027710016</v>
      </c>
      <c r="L38" s="38">
        <f>K37*L12*'Inputs'!$E$21*L13</f>
        <v>0.0035611820961600005</v>
      </c>
      <c r="M38" s="38">
        <f>L37*M12*'Inputs'!$E$21*M13</f>
        <v>0.003251288753295549</v>
      </c>
      <c r="N38" s="38">
        <f>M37*N12*'Inputs'!$E$21*N13</f>
        <v>0.0030235161306153033</v>
      </c>
      <c r="O38" s="38">
        <f>N37*O12*'Inputs'!$E$21*O13</f>
        <v>0.0028061968363227597</v>
      </c>
      <c r="P38" s="38">
        <f>O37*P12*'Inputs'!$E$21*P13</f>
        <v>0.002598905743268902</v>
      </c>
      <c r="Q38" s="38">
        <f>P37*Q12*'Inputs'!$E$21*Q13</f>
        <v>0.0024012353592990734</v>
      </c>
      <c r="R38" s="38">
        <f>Q37*R12*'Inputs'!$E$21*R13</f>
        <v>0.002272600186047855</v>
      </c>
      <c r="S38" s="38">
        <f>R37*S12*'Inputs'!$E$21*S13</f>
        <v>0.0021493929416577383</v>
      </c>
      <c r="T38" s="38">
        <f>S37*T12*'Inputs'!$E$21*T13</f>
        <v>0.0020314030400166902</v>
      </c>
      <c r="U38" s="38">
        <f>T37*U12*'Inputs'!$E$21*U13</f>
        <v>0.0019855149357580694</v>
      </c>
      <c r="V38" s="38">
        <f>U37*V12*'Inputs'!$E$21*V13</f>
        <v>0.0019174028397167507</v>
      </c>
      <c r="W38" s="38">
        <f>V37*W12*'Inputs'!$E$21*W13</f>
        <v>0.0018515510405319982</v>
      </c>
      <c r="X38" s="38">
        <f>W37*X12*'Inputs'!$E$21*X13</f>
        <v>0.0017878846405086227</v>
      </c>
      <c r="Y38" s="38">
        <f>X37*Y12*'Inputs'!$E$21*Y13</f>
        <v>0.0017263314108725107</v>
      </c>
      <c r="Z38" s="38">
        <f>Y37*Z12*'Inputs'!$E$21*Z13</f>
        <v>0.0016668188735143874</v>
      </c>
      <c r="AA38" s="38">
        <f>Z37*AA12*'Inputs'!$E$21*AA13</f>
        <v>0.0016092800907279512</v>
      </c>
      <c r="AB38" s="38">
        <f>AA37*AB12*'Inputs'!$E$21*AB13</f>
        <v>0.001553650429870252</v>
      </c>
      <c r="AC38" s="38">
        <f>AB37*AC12*'Inputs'!$E$21*AC13</f>
        <v>0.0014998674663513356</v>
      </c>
      <c r="AD38" s="38">
        <f>AC37*AD12*'Inputs'!$E$21*AD13</f>
        <v>0.001447870892772094</v>
      </c>
      <c r="AE38" s="38">
        <f>AD37*AE12*'Inputs'!$E$21*AE13</f>
        <v>0.001397602433634433</v>
      </c>
      <c r="AF38" s="38">
        <f>AE37*AF12*'Inputs'!$E$21*AF13</f>
        <v>0.0013490057651126478</v>
      </c>
      <c r="AG38" s="38">
        <f>AF37*AG12*'Inputs'!$E$21*AG13</f>
        <v>0.001296190080543006</v>
      </c>
      <c r="AH38" s="38">
        <f>AG37*AH12*'Inputs'!$E$21*AH13</f>
        <v>0.0012397603923867038</v>
      </c>
      <c r="AI38" s="38">
        <f>AH37*AI12*'Inputs'!$E$21*AI13</f>
        <v>0.001185437097039039</v>
      </c>
      <c r="AJ38" s="38">
        <f>AI37*AJ12*'Inputs'!$E$21*AJ13</f>
        <v>0.0011331471112175611</v>
      </c>
      <c r="AK38" s="38">
        <f>AJ37*AK12*'Inputs'!$E$21*AK13</f>
        <v>0.00109176874901254</v>
      </c>
      <c r="AL38" s="38">
        <f>AK37*AL12*'Inputs'!$E$21*AL13</f>
        <v>0.0010518003032216926</v>
      </c>
      <c r="AM38" s="38">
        <f>AL37*AM12*'Inputs'!$E$21*AM13</f>
        <v>0.0010131955770294192</v>
      </c>
      <c r="AN38" s="38">
        <f>AM37*AN12*'Inputs'!$E$21*AN13</f>
        <v>0.0009759098725826244</v>
      </c>
      <c r="AO38" s="38">
        <f>AN37*AO12*'Inputs'!$E$21*AO13</f>
        <v>0.0009398999395577798</v>
      </c>
      <c r="AP38" s="38">
        <f>AO37*AP12*'Inputs'!$E$21*AP13</f>
        <v>0.0009051239259321194</v>
      </c>
      <c r="AQ38" s="38">
        <f>AP37*AQ12*'Inputs'!$E$21*AQ13</f>
        <v>0.0008715413308135623</v>
      </c>
    </row>
    <row r="39" ht="28" customHeight="1">
      <c r="A39" s="2" t="str">
        <v>DE.U.PLUS.M</v>
      </c>
      <c r="B39" s="6" t="str">
        <v>Germany: not yet identity-checked: Plus monthly</v>
      </c>
      <c r="C39" s="2" t="str">
        <v>count</v>
      </c>
      <c r="D39" s="2" t="str">
        <v>NA</v>
      </c>
      <c r="E39" s="2"/>
      <c r="F39" s="6" t="str"/>
      <c r="G39" s="2"/>
      <c r="H39" s="38">
        <f>(0*H12*(1-'Inputs'!$E$23)+H38*(1-'Inputs'!$E$19)*(1-'Inputs'!$E$22))*(1-'Inputs'!$E$29*H35)</f>
        <v>0.041999999999999996</v>
      </c>
      <c r="I39" s="38">
        <f>(H39*I12*(1-'Inputs'!$E$23)+I38*(1-'Inputs'!$E$19)*(1-'Inputs'!$E$22))*(1-'Inputs'!$E$29*I35)</f>
        <v>0.029458799999999997</v>
      </c>
      <c r="J39" s="38">
        <f>(I39*J12*(1-'Inputs'!$E$23)+J38*(1-'Inputs'!$E$19)*(1-'Inputs'!$E$22))*(1-'Inputs'!$E$29*J35)</f>
        <v>0.0252904176</v>
      </c>
      <c r="K39" s="38">
        <f>(J39*K12*(1-'Inputs'!$E$23)+K38*(1-'Inputs'!$E$19)*(1-'Inputs'!$E$22))*(1-'Inputs'!$E$29*K35)</f>
        <v>0.022630696828740002</v>
      </c>
      <c r="L39" s="38">
        <f>(K39*L12*(1-'Inputs'!$E$23)+L38*(1-'Inputs'!$E$19)*(1-'Inputs'!$E$22))*(1-'Inputs'!$E$29*L35)</f>
        <v>0.020076594413926053</v>
      </c>
      <c r="M39" s="38">
        <f>(L39*M12*(1-'Inputs'!$E$23)+M38*(1-'Inputs'!$E$19)*(1-'Inputs'!$E$22))*(1-'Inputs'!$E$29*M35)</f>
        <v>0.018408434320723695</v>
      </c>
      <c r="N39" s="38">
        <f>(M39*N12*(1-'Inputs'!$E$23)+N38*(1-'Inputs'!$E$19)*(1-'Inputs'!$E$22))*(1-'Inputs'!$E$29*N35)</f>
        <v>0.01718552935760966</v>
      </c>
      <c r="O39" s="38">
        <f>(N39*O12*(1-'Inputs'!$E$23)+O38*(1-'Inputs'!$E$19)*(1-'Inputs'!$E$22))*(1-'Inputs'!$E$29*O35)</f>
        <v>0.016006600220463477</v>
      </c>
      <c r="P39" s="38">
        <f>(O39*P12*(1-'Inputs'!$E$23)+P38*(1-'Inputs'!$E$19)*(1-'Inputs'!$E$22))*(1-'Inputs'!$E$29*P35)</f>
        <v>0.014871619478960305</v>
      </c>
      <c r="Q39" s="38">
        <f>(P39*Q12*(1-'Inputs'!$E$23)+Q38*(1-'Inputs'!$E$19)*(1-'Inputs'!$E$22))*(1-'Inputs'!$E$29*Q35)</f>
        <v>0.013780325786750817</v>
      </c>
      <c r="R39" s="38">
        <f>(Q39*R12*(1-'Inputs'!$E$23)+R38*(1-'Inputs'!$E$19)*(1-'Inputs'!$E$22))*(1-'Inputs'!$E$29*R35)</f>
        <v>0.013076378862879327</v>
      </c>
      <c r="S39" s="38">
        <f>(R39*S12*(1-'Inputs'!$E$23)+S38*(1-'Inputs'!$E$19)*(1-'Inputs'!$E$22))*(1-'Inputs'!$E$29*S35)</f>
        <v>0.012396921417414166</v>
      </c>
      <c r="T39" s="38">
        <f>(S39*T12*(1-'Inputs'!$E$23)+T38*(1-'Inputs'!$E$19)*(1-'Inputs'!$E$22))*(1-'Inputs'!$E$29*T35)</f>
        <v>0.011741718133638971</v>
      </c>
      <c r="U39" s="38">
        <f>(T39*U12*(1-'Inputs'!$E$23)+U38*(1-'Inputs'!$E$19)*(1-'Inputs'!$E$22))*(1-'Inputs'!$E$29*U35)</f>
        <v>0.011361828764770179</v>
      </c>
      <c r="V39" s="38">
        <f>(U39*V12*(1-'Inputs'!$E$23)+V38*(1-'Inputs'!$E$19)*(1-'Inputs'!$E$22))*(1-'Inputs'!$E$29*V35)</f>
        <v>0.010991758167104576</v>
      </c>
      <c r="W39" s="38">
        <f>(V39*W12*(1-'Inputs'!$E$23)+W38*(1-'Inputs'!$E$19)*(1-'Inputs'!$E$22))*(1-'Inputs'!$E$29*W35)</f>
        <v>0.010631520985778364</v>
      </c>
      <c r="X39" s="38">
        <f>(W39*X12*(1-'Inputs'!$E$23)+X38*(1-'Inputs'!$E$19)*(1-'Inputs'!$E$22))*(1-'Inputs'!$E$29*X35)</f>
        <v>0.010281091033682759</v>
      </c>
      <c r="Y39" s="38">
        <f>(X39*Y12*(1-'Inputs'!$E$23)+Y38*(1-'Inputs'!$E$19)*(1-'Inputs'!$E$22))*(1-'Inputs'!$E$29*Y35)</f>
        <v>0.00994040749614943</v>
      </c>
      <c r="Z39" s="38">
        <f>(Y39*Z12*(1-'Inputs'!$E$23)+Z38*(1-'Inputs'!$E$19)*(1-'Inputs'!$E$22))*(1-'Inputs'!$E$29*Z35)</f>
        <v>0.009609378911112439</v>
      </c>
      <c r="AA39" s="38">
        <f>(Z39*AA12*(1-'Inputs'!$E$23)+AA38*(1-'Inputs'!$E$19)*(1-'Inputs'!$E$22))*(1-'Inputs'!$E$29*AA35)</f>
        <v>0.009287889645913677</v>
      </c>
      <c r="AB39" s="38">
        <f>(AA39*AB12*(1-'Inputs'!$E$23)+AB38*(1-'Inputs'!$E$19)*(1-'Inputs'!$E$22))*(1-'Inputs'!$E$29*AB35)</f>
        <v>0.008975803952576843</v>
      </c>
      <c r="AC39" s="38">
        <f>(AB39*AC12*(1-'Inputs'!$E$23)+AC38*(1-'Inputs'!$E$19)*(1-'Inputs'!$E$22))*(1-'Inputs'!$E$29*AC35)</f>
        <v>0.008672969495255601</v>
      </c>
      <c r="AD39" s="38">
        <f>(AC39*AD12*(1-'Inputs'!$E$23)+AD38*(1-'Inputs'!$E$19)*(1-'Inputs'!$E$22))*(1-'Inputs'!$E$29*AD35)</f>
        <v>0.008379220415053873</v>
      </c>
      <c r="AE39" s="38">
        <f>(AD39*AE12*(1-'Inputs'!$E$23)+AE38*(1-'Inputs'!$E$19)*(1-'Inputs'!$E$22))*(1-'Inputs'!$E$29*AE35)</f>
        <v>0.008094379989471259</v>
      </c>
      <c r="AF39" s="38">
        <f>(AE39*AF12*(1-'Inputs'!$E$23)+AF38*(1-'Inputs'!$E$19)*(1-'Inputs'!$E$22))*(1-'Inputs'!$E$29*AF35)</f>
        <v>0.007818262936745647</v>
      </c>
      <c r="AG39" s="38">
        <f>(AF39*AG12*(1-'Inputs'!$E$23)+AG38*(1-'Inputs'!$E$19)*(1-'Inputs'!$E$22))*(1-'Inputs'!$E$29*AG35)</f>
        <v>0.0074846285249284</v>
      </c>
      <c r="AH39" s="38">
        <f>(AG39*AH12*(1-'Inputs'!$E$23)+AH38*(1-'Inputs'!$E$19)*(1-'Inputs'!$E$22))*(1-'Inputs'!$E$29*AH35)</f>
        <v>0.007162784150972909</v>
      </c>
      <c r="AI39" s="38">
        <f>(AH39*AI12*(1-'Inputs'!$E$23)+AI38*(1-'Inputs'!$E$19)*(1-'Inputs'!$E$22))*(1-'Inputs'!$E$29*AI35)</f>
        <v>0.006852403778929455</v>
      </c>
      <c r="AJ39" s="38">
        <f>(AI39*AJ12*(1-'Inputs'!$E$23)+AJ38*(1-'Inputs'!$E$19)*(1-'Inputs'!$E$22))*(1-'Inputs'!$E$29*AJ35)</f>
        <v>0.006553161855798154</v>
      </c>
      <c r="AK39" s="38">
        <f>(AJ39*AK12*(1-'Inputs'!$E$23)+AK38*(1-'Inputs'!$E$19)*(1-'Inputs'!$E$22))*(1-'Inputs'!$E$29*AK35)</f>
        <v>0.006316509262328905</v>
      </c>
      <c r="AL39" s="38">
        <f>(AK39*AL12*(1-'Inputs'!$E$23)+AL38*(1-'Inputs'!$E$19)*(1-'Inputs'!$E$22))*(1-'Inputs'!$E$29*AL35)</f>
        <v>0.006087588636232584</v>
      </c>
      <c r="AM39" s="38">
        <f>(AL39*AM12*(1-'Inputs'!$E$23)+AM38*(1-'Inputs'!$E$19)*(1-'Inputs'!$E$22))*(1-'Inputs'!$E$29*AM35)</f>
        <v>0.0058661880695406446</v>
      </c>
      <c r="AN39" s="38">
        <f>(AM39*AN12*(1-'Inputs'!$E$23)+AN38*(1-'Inputs'!$E$19)*(1-'Inputs'!$E$22))*(1-'Inputs'!$E$29*AN35)</f>
        <v>0.005652097404326496</v>
      </c>
      <c r="AO39" s="38">
        <f>(AN39*AO12*(1-'Inputs'!$E$23)+AO38*(1-'Inputs'!$E$19)*(1-'Inputs'!$E$22))*(1-'Inputs'!$E$29*AO35)</f>
        <v>0.005445108790489125</v>
      </c>
      <c r="AP39" s="38">
        <f>(AO39*AP12*(1-'Inputs'!$E$23)+AP38*(1-'Inputs'!$E$19)*(1-'Inputs'!$E$22))*(1-'Inputs'!$E$29*AP35)</f>
        <v>0.005245017151104689</v>
      </c>
      <c r="AQ39" s="38">
        <f>(AP39*AQ12*(1-'Inputs'!$E$23)+AQ38*(1-'Inputs'!$E$19)*(1-'Inputs'!$E$22))*(1-'Inputs'!$E$29*AQ35)</f>
        <v>0.005051620567400404</v>
      </c>
    </row>
    <row r="40" ht="28" customHeight="1">
      <c r="A40" s="2" t="str">
        <v>DE.U.PRO.M</v>
      </c>
      <c r="B40" s="6" t="str">
        <v>Germany: not yet identity-checked: Pro monthly</v>
      </c>
      <c r="C40" s="2" t="str">
        <v>count</v>
      </c>
      <c r="D40" s="2" t="str">
        <v>NA</v>
      </c>
      <c r="E40" s="2"/>
      <c r="F40" s="6" t="str"/>
      <c r="G40" s="2"/>
      <c r="H40" s="38">
        <f>(0*H12*(1-'Inputs'!$E$23)+H38*'Inputs'!$E$19*(1-'Inputs'!$E$22))*(1-'Inputs'!$E$29*H35)* (1-H35)</f>
        <v>0.013999999999999999</v>
      </c>
      <c r="I40" s="38">
        <f>(H40*I12*(1-'Inputs'!$E$23)+I38*'Inputs'!$E$19*(1-'Inputs'!$E$22))*(1-'Inputs'!$E$29*I35)* (1-I35)</f>
        <v>0.0098196</v>
      </c>
      <c r="J40" s="38">
        <f>(I40*J12*(1-'Inputs'!$E$23)+J38*'Inputs'!$E$19*(1-'Inputs'!$E$22))*(1-'Inputs'!$E$29*J35)* (1-J35)</f>
        <v>0.0084301392</v>
      </c>
      <c r="K40" s="38">
        <f>(J40*K12*(1-'Inputs'!$E$23)+K38*'Inputs'!$E$19*(1-'Inputs'!$E$22))*(1-'Inputs'!$E$29*K35)* (1-K35)</f>
        <v>0.0</v>
      </c>
      <c r="L40" s="38">
        <f>(K40*L12*(1-'Inputs'!$E$23)+L38*'Inputs'!$E$19*(1-'Inputs'!$E$22))*(1-'Inputs'!$E$29*L35)* (1-L35)</f>
        <v>0.0</v>
      </c>
      <c r="M40" s="38">
        <f>(L40*M12*(1-'Inputs'!$E$23)+M38*'Inputs'!$E$19*(1-'Inputs'!$E$22))*(1-'Inputs'!$E$29*M35)* (1-M35)</f>
        <v>0.0</v>
      </c>
      <c r="N40" s="38">
        <f>(M40*N12*(1-'Inputs'!$E$23)+N38*'Inputs'!$E$19*(1-'Inputs'!$E$22))*(1-'Inputs'!$E$29*N35)* (1-N35)</f>
        <v>0.0</v>
      </c>
      <c r="O40" s="38">
        <f>(N40*O12*(1-'Inputs'!$E$23)+O38*'Inputs'!$E$19*(1-'Inputs'!$E$22))*(1-'Inputs'!$E$29*O35)* (1-O35)</f>
        <v>0.0</v>
      </c>
      <c r="P40" s="38">
        <f>(O40*P12*(1-'Inputs'!$E$23)+P38*'Inputs'!$E$19*(1-'Inputs'!$E$22))*(1-'Inputs'!$E$29*P35)* (1-P35)</f>
        <v>0.0</v>
      </c>
      <c r="Q40" s="38">
        <f>(P40*Q12*(1-'Inputs'!$E$23)+Q38*'Inputs'!$E$19*(1-'Inputs'!$E$22))*(1-'Inputs'!$E$29*Q35)* (1-Q35)</f>
        <v>0.0</v>
      </c>
      <c r="R40" s="38">
        <f>(Q40*R12*(1-'Inputs'!$E$23)+R38*'Inputs'!$E$19*(1-'Inputs'!$E$22))*(1-'Inputs'!$E$29*R35)* (1-R35)</f>
        <v>0.0</v>
      </c>
      <c r="S40" s="38">
        <f>(R40*S12*(1-'Inputs'!$E$23)+S38*'Inputs'!$E$19*(1-'Inputs'!$E$22))*(1-'Inputs'!$E$29*S35)* (1-S35)</f>
        <v>0.0</v>
      </c>
      <c r="T40" s="38">
        <f>(S40*T12*(1-'Inputs'!$E$23)+T38*'Inputs'!$E$19*(1-'Inputs'!$E$22))*(1-'Inputs'!$E$29*T35)* (1-T35)</f>
        <v>0.0</v>
      </c>
      <c r="U40" s="38">
        <f>(T40*U12*(1-'Inputs'!$E$23)+U38*'Inputs'!$E$19*(1-'Inputs'!$E$22))*(1-'Inputs'!$E$29*U35)* (1-U35)</f>
        <v>0.0</v>
      </c>
      <c r="V40" s="38">
        <f>(U40*V12*(1-'Inputs'!$E$23)+V38*'Inputs'!$E$19*(1-'Inputs'!$E$22))*(1-'Inputs'!$E$29*V35)* (1-V35)</f>
        <v>0.0</v>
      </c>
      <c r="W40" s="38">
        <f>(V40*W12*(1-'Inputs'!$E$23)+W38*'Inputs'!$E$19*(1-'Inputs'!$E$22))*(1-'Inputs'!$E$29*W35)* (1-W35)</f>
        <v>0.0</v>
      </c>
      <c r="X40" s="38">
        <f>(W40*X12*(1-'Inputs'!$E$23)+X38*'Inputs'!$E$19*(1-'Inputs'!$E$22))*(1-'Inputs'!$E$29*X35)* (1-X35)</f>
        <v>0.0</v>
      </c>
      <c r="Y40" s="38">
        <f>(X40*Y12*(1-'Inputs'!$E$23)+Y38*'Inputs'!$E$19*(1-'Inputs'!$E$22))*(1-'Inputs'!$E$29*Y35)* (1-Y35)</f>
        <v>0.0</v>
      </c>
      <c r="Z40" s="38">
        <f>(Y40*Z12*(1-'Inputs'!$E$23)+Z38*'Inputs'!$E$19*(1-'Inputs'!$E$22))*(1-'Inputs'!$E$29*Z35)* (1-Z35)</f>
        <v>0.0</v>
      </c>
      <c r="AA40" s="38">
        <f>(Z40*AA12*(1-'Inputs'!$E$23)+AA38*'Inputs'!$E$19*(1-'Inputs'!$E$22))*(1-'Inputs'!$E$29*AA35)* (1-AA35)</f>
        <v>0.0</v>
      </c>
      <c r="AB40" s="38">
        <f>(AA40*AB12*(1-'Inputs'!$E$23)+AB38*'Inputs'!$E$19*(1-'Inputs'!$E$22))*(1-'Inputs'!$E$29*AB35)* (1-AB35)</f>
        <v>0.0</v>
      </c>
      <c r="AC40" s="38">
        <f>(AB40*AC12*(1-'Inputs'!$E$23)+AC38*'Inputs'!$E$19*(1-'Inputs'!$E$22))*(1-'Inputs'!$E$29*AC35)* (1-AC35)</f>
        <v>0.0</v>
      </c>
      <c r="AD40" s="38">
        <f>(AC40*AD12*(1-'Inputs'!$E$23)+AD38*'Inputs'!$E$19*(1-'Inputs'!$E$22))*(1-'Inputs'!$E$29*AD35)* (1-AD35)</f>
        <v>0.0</v>
      </c>
      <c r="AE40" s="38">
        <f>(AD40*AE12*(1-'Inputs'!$E$23)+AE38*'Inputs'!$E$19*(1-'Inputs'!$E$22))*(1-'Inputs'!$E$29*AE35)* (1-AE35)</f>
        <v>0.0</v>
      </c>
      <c r="AF40" s="38">
        <f>(AE40*AF12*(1-'Inputs'!$E$23)+AF38*'Inputs'!$E$19*(1-'Inputs'!$E$22))*(1-'Inputs'!$E$29*AF35)* (1-AF35)</f>
        <v>0.0</v>
      </c>
      <c r="AG40" s="38">
        <f>(AF40*AG12*(1-'Inputs'!$E$23)+AG38*'Inputs'!$E$19*(1-'Inputs'!$E$22))*(1-'Inputs'!$E$29*AG35)* (1-AG35)</f>
        <v>0.0</v>
      </c>
      <c r="AH40" s="38">
        <f>(AG40*AH12*(1-'Inputs'!$E$23)+AH38*'Inputs'!$E$19*(1-'Inputs'!$E$22))*(1-'Inputs'!$E$29*AH35)* (1-AH35)</f>
        <v>0.0</v>
      </c>
      <c r="AI40" s="38">
        <f>(AH40*AI12*(1-'Inputs'!$E$23)+AI38*'Inputs'!$E$19*(1-'Inputs'!$E$22))*(1-'Inputs'!$E$29*AI35)* (1-AI35)</f>
        <v>0.0</v>
      </c>
      <c r="AJ40" s="38">
        <f>(AI40*AJ12*(1-'Inputs'!$E$23)+AJ38*'Inputs'!$E$19*(1-'Inputs'!$E$22))*(1-'Inputs'!$E$29*AJ35)* (1-AJ35)</f>
        <v>0.0</v>
      </c>
      <c r="AK40" s="38">
        <f>(AJ40*AK12*(1-'Inputs'!$E$23)+AK38*'Inputs'!$E$19*(1-'Inputs'!$E$22))*(1-'Inputs'!$E$29*AK35)* (1-AK35)</f>
        <v>0.0</v>
      </c>
      <c r="AL40" s="38">
        <f>(AK40*AL12*(1-'Inputs'!$E$23)+AL38*'Inputs'!$E$19*(1-'Inputs'!$E$22))*(1-'Inputs'!$E$29*AL35)* (1-AL35)</f>
        <v>0.0</v>
      </c>
      <c r="AM40" s="38">
        <f>(AL40*AM12*(1-'Inputs'!$E$23)+AM38*'Inputs'!$E$19*(1-'Inputs'!$E$22))*(1-'Inputs'!$E$29*AM35)* (1-AM35)</f>
        <v>0.0</v>
      </c>
      <c r="AN40" s="38">
        <f>(AM40*AN12*(1-'Inputs'!$E$23)+AN38*'Inputs'!$E$19*(1-'Inputs'!$E$22))*(1-'Inputs'!$E$29*AN35)* (1-AN35)</f>
        <v>0.0</v>
      </c>
      <c r="AO40" s="38">
        <f>(AN40*AO12*(1-'Inputs'!$E$23)+AO38*'Inputs'!$E$19*(1-'Inputs'!$E$22))*(1-'Inputs'!$E$29*AO35)* (1-AO35)</f>
        <v>0.0</v>
      </c>
      <c r="AP40" s="38">
        <f>(AO40*AP12*(1-'Inputs'!$E$23)+AP38*'Inputs'!$E$19*(1-'Inputs'!$E$22))*(1-'Inputs'!$E$29*AP35)* (1-AP35)</f>
        <v>0.0</v>
      </c>
      <c r="AQ40" s="38">
        <f>(AP40*AQ12*(1-'Inputs'!$E$23)+AQ38*'Inputs'!$E$19*(1-'Inputs'!$E$22))*(1-'Inputs'!$E$29*AQ35)* (1-AQ35)</f>
        <v>0.0</v>
      </c>
    </row>
    <row r="41" ht="28" customHeight="1">
      <c r="A41" s="2" t="str">
        <v>DE.U.PLUS.Y0</v>
      </c>
      <c r="B41" s="6" t="str">
        <v>Germany: not yet identity-checked: Plus annual, plan month 1</v>
      </c>
      <c r="C41" s="2" t="str">
        <v>count</v>
      </c>
      <c r="D41" s="2" t="str">
        <v>NA</v>
      </c>
      <c r="E41" s="2"/>
      <c r="F41" s="6" t="str"/>
      <c r="G41" s="2"/>
      <c r="H41" s="38">
        <f>(H38*(1-'Inputs'!$E$19)*'Inputs'!$E$22+0*H12*'Inputs'!$E$24)*(1-'Inputs'!$E$29*H35)</f>
        <v>0.018</v>
      </c>
      <c r="I41" s="38">
        <f>(I38*(1-'Inputs'!$E$19)*'Inputs'!$E$22+H52*I12*'Inputs'!$E$24)*(1-'Inputs'!$E$29*I35)</f>
        <v>0.0011592</v>
      </c>
      <c r="J41" s="38">
        <f>(J38*(1-'Inputs'!$E$19)*'Inputs'!$E$22+I52*J12*'Inputs'!$E$24)*(1-'Inputs'!$E$29*J35)</f>
        <v>0.0009910943999999998</v>
      </c>
      <c r="K41" s="38">
        <f>(K38*(1-'Inputs'!$E$19)*'Inputs'!$E$22+J52*K12*'Inputs'!$E$24)*(1-'Inputs'!$E$29*K35)</f>
        <v>0.00088357888476</v>
      </c>
      <c r="L41" s="38">
        <f>(L38*(1-'Inputs'!$E$19)*'Inputs'!$E$22+K52*L12*'Inputs'!$E$24)*(1-'Inputs'!$E$29*L35)</f>
        <v>0.0007812343223451002</v>
      </c>
      <c r="M41" s="38">
        <f>(M38*(1-'Inputs'!$E$19)*'Inputs'!$E$22+L52*M12*'Inputs'!$E$24)*(1-'Inputs'!$E$29*M35)</f>
        <v>0.000713251470254211</v>
      </c>
      <c r="N41" s="38">
        <f>(N38*(1-'Inputs'!$E$19)*'Inputs'!$E$22+M52*N12*'Inputs'!$E$24)*(1-'Inputs'!$E$29*N35)</f>
        <v>0.0006632838511537321</v>
      </c>
      <c r="O41" s="38">
        <f>(O38*(1-'Inputs'!$E$19)*'Inputs'!$E$22+N52*O12*'Inputs'!$E$24)*(1-'Inputs'!$E$29*O35)</f>
        <v>0.0006156094309683053</v>
      </c>
      <c r="P41" s="38">
        <f>(P38*(1-'Inputs'!$E$19)*'Inputs'!$E$22+O52*P12*'Inputs'!$E$24)*(1-'Inputs'!$E$29*P35)</f>
        <v>0.0005701349474296154</v>
      </c>
      <c r="Q41" s="38">
        <f>(Q38*(1-'Inputs'!$E$19)*'Inputs'!$E$22+P52*Q12*'Inputs'!$E$24)*(1-'Inputs'!$E$29*Q35)</f>
        <v>0.0005267710069462343</v>
      </c>
      <c r="R41" s="38">
        <f>(R38*(1-'Inputs'!$E$19)*'Inputs'!$E$22+Q52*R12*'Inputs'!$E$24)*(1-'Inputs'!$E$29*R35)</f>
        <v>0.0004985516658142482</v>
      </c>
      <c r="S41" s="38">
        <f>(S38*(1-'Inputs'!$E$19)*'Inputs'!$E$22+R52*S12*'Inputs'!$E$24)*(1-'Inputs'!$E$29*S35)</f>
        <v>0.00047152307657616637</v>
      </c>
      <c r="T41" s="38">
        <f>(T38*(1-'Inputs'!$E$19)*'Inputs'!$E$22+S52*T12*'Inputs'!$E$24)*(1-'Inputs'!$E$29*T35)</f>
        <v>0.002206354622006061</v>
      </c>
      <c r="U41" s="38">
        <f>(U38*(1-'Inputs'!$E$19)*'Inputs'!$E$22+T52*U12*'Inputs'!$E$24)*(1-'Inputs'!$E$29*U35)</f>
        <v>0.0005924117474870064</v>
      </c>
      <c r="V41" s="38">
        <f>(V38*(1-'Inputs'!$E$19)*'Inputs'!$E$22+U52*V12*'Inputs'!$E$24)*(1-'Inputs'!$E$29*V35)</f>
        <v>0.0005720963878777598</v>
      </c>
      <c r="W41" s="38">
        <f>(W38*(1-'Inputs'!$E$19)*'Inputs'!$E$22+V52*W12*'Inputs'!$E$24)*(1-'Inputs'!$E$29*W35)</f>
        <v>0.0005524573546395602</v>
      </c>
      <c r="X41" s="38">
        <f>(X38*(1-'Inputs'!$E$19)*'Inputs'!$E$22+W52*X12*'Inputs'!$E$24)*(1-'Inputs'!$E$29*X35)</f>
        <v>0.0005334718542220327</v>
      </c>
      <c r="Y41" s="38">
        <f>(Y38*(1-'Inputs'!$E$19)*'Inputs'!$E$22+X52*Y12*'Inputs'!$E$24)*(1-'Inputs'!$E$29*Y35)</f>
        <v>0.0005149283650328888</v>
      </c>
      <c r="Z41" s="38">
        <f>(Z38*(1-'Inputs'!$E$19)*'Inputs'!$E$22+Y52*Z12*'Inputs'!$E$24)*(1-'Inputs'!$E$29*Z35)</f>
        <v>0.0004970081970094896</v>
      </c>
      <c r="AA41" s="38">
        <f>(AA38*(1-'Inputs'!$E$19)*'Inputs'!$E$22+Z52*AA12*'Inputs'!$E$24)*(1-'Inputs'!$E$29*AA35)</f>
        <v>0.0004796903761008191</v>
      </c>
      <c r="AB41" s="38">
        <f>(AB38*(1-'Inputs'!$E$19)*'Inputs'!$E$22+AA52*AB12*'Inputs'!$E$24)*(1-'Inputs'!$E$29*AB35)</f>
        <v>0.00046295469506259495</v>
      </c>
      <c r="AC41" s="38">
        <f>(AC38*(1-'Inputs'!$E$19)*'Inputs'!$E$22+AB52*AC12*'Inputs'!$E$24)*(1-'Inputs'!$E$29*AC35)</f>
        <v>0.0004467816768760786</v>
      </c>
      <c r="AD41" s="38">
        <f>(AD38*(1-'Inputs'!$E$19)*'Inputs'!$E$22+AC52*AD12*'Inputs'!$E$24)*(1-'Inputs'!$E$29*AD35)</f>
        <v>0.0004311525408485473</v>
      </c>
      <c r="AE41" s="38">
        <f>(AE38*(1-'Inputs'!$E$19)*'Inputs'!$E$22+AD52*AE12*'Inputs'!$E$24)*(1-'Inputs'!$E$29*AE35)</f>
        <v>0.0004160491711236805</v>
      </c>
      <c r="AF41" s="38">
        <f>(AF38*(1-'Inputs'!$E$19)*'Inputs'!$E$22+AE52*AF12*'Inputs'!$E$24)*(1-'Inputs'!$E$29*AF35)</f>
        <v>0.0008183465844038972</v>
      </c>
      <c r="AG41" s="38">
        <f>(AG38*(1-'Inputs'!$E$19)*'Inputs'!$E$22+AF52*AG12*'Inputs'!$E$24)*(1-'Inputs'!$E$29*AG35)</f>
        <v>0.0004232464231064238</v>
      </c>
      <c r="AH41" s="38">
        <f>(AH38*(1-'Inputs'!$E$19)*'Inputs'!$E$22+AG52*AH12*'Inputs'!$E$24)*(1-'Inputs'!$E$29*AH35)</f>
        <v>0.0004047592554596574</v>
      </c>
      <c r="AI41" s="38">
        <f>(AI38*(1-'Inputs'!$E$19)*'Inputs'!$E$22+AH52*AI12*'Inputs'!$E$24)*(1-'Inputs'!$E$29*AI35)</f>
        <v>0.0003869666576486168</v>
      </c>
      <c r="AJ41" s="38">
        <f>(AJ38*(1-'Inputs'!$E$19)*'Inputs'!$E$22+AI52*AJ12*'Inputs'!$E$24)*(1-'Inputs'!$E$29*AJ35)</f>
        <v>0.0003698441620793208</v>
      </c>
      <c r="AK41" s="38">
        <f>(AK38*(1-'Inputs'!$E$19)*'Inputs'!$E$22+AJ52*AK12*'Inputs'!$E$24)*(1-'Inputs'!$E$29*AK35)</f>
        <v>0.00035624558388222435</v>
      </c>
      <c r="AL41" s="38">
        <f>(AL38*(1-'Inputs'!$E$19)*'Inputs'!$E$22+AK52*AL12*'Inputs'!$E$24)*(1-'Inputs'!$E$29*AL35)</f>
        <v>0.0003431150182464591</v>
      </c>
      <c r="AM41" s="38">
        <f>(AM38*(1-'Inputs'!$E$19)*'Inputs'!$E$22+AL52*AM12*'Inputs'!$E$24)*(1-'Inputs'!$E$29*AM35)</f>
        <v>0.00033043684593292726</v>
      </c>
      <c r="AN41" s="38">
        <f>(AN38*(1-'Inputs'!$E$19)*'Inputs'!$E$22+AM52*AN12*'Inputs'!$E$24)*(1-'Inputs'!$E$29*AN35)</f>
        <v>0.00031819597886200037</v>
      </c>
      <c r="AO41" s="38">
        <f>(AO38*(1-'Inputs'!$E$19)*'Inputs'!$E$22+AN52*AO12*'Inputs'!$E$24)*(1-'Inputs'!$E$29*AO35)</f>
        <v>0.00030637783931795415</v>
      </c>
      <c r="AP41" s="38">
        <f>(AP38*(1-'Inputs'!$E$19)*'Inputs'!$E$22+AO52*AP12*'Inputs'!$E$24)*(1-'Inputs'!$E$29*AP35)</f>
        <v>0.0002949683403183327</v>
      </c>
      <c r="AQ41" s="38">
        <f>(AQ38*(1-'Inputs'!$E$19)*'Inputs'!$E$22+AP52*AQ12*'Inputs'!$E$24)*(1-'Inputs'!$E$29*AQ35)</f>
        <v>0.00028395386704787136</v>
      </c>
    </row>
    <row r="42" ht="28" customHeight="1">
      <c r="A42" s="2" t="str">
        <v>DE.U.PLUS.Y1</v>
      </c>
      <c r="B42" s="6" t="str">
        <v>Germany: not yet identity-checked: Plus annual, plan month 2</v>
      </c>
      <c r="C42" s="2" t="str">
        <v>count</v>
      </c>
      <c r="D42" s="2" t="str">
        <v>NA</v>
      </c>
      <c r="E42" s="2"/>
      <c r="F42" s="6" t="str"/>
      <c r="G42" s="2"/>
      <c r="H42" s="38">
        <f>0*H12*(1-'Inputs'!$E$29*H35)</f>
        <v>0.0</v>
      </c>
      <c r="I42" s="38">
        <f>H41*I12*(1-'Inputs'!$E$29*I35)</f>
        <v>0.012599999999999998</v>
      </c>
      <c r="J42" s="38">
        <f>I41*J12*(1-'Inputs'!$E$29*J35)</f>
        <v>0.0009936</v>
      </c>
      <c r="K42" s="38">
        <f>J41*K12*(1-'Inputs'!$E$29*K35)</f>
        <v>0.0008857906199999999</v>
      </c>
      <c r="L42" s="38">
        <f>K41*L12*(1-'Inputs'!$E$29*L35)</f>
        <v>0.0007831721933099999</v>
      </c>
      <c r="M42" s="38">
        <f>L41*M12*(1-'Inputs'!$E$29*M35)</f>
        <v>0.0007160012564292842</v>
      </c>
      <c r="N42" s="38">
        <f>M41*N12*(1-'Inputs'!$E$29*N35)</f>
        <v>0.0006658278352639044</v>
      </c>
      <c r="O42" s="38">
        <f>N41*O12*(1-'Inputs'!$E$29*O35)</f>
        <v>0.0006179594546582269</v>
      </c>
      <c r="P42" s="38">
        <f>O41*P12*(1-'Inputs'!$E$29*P35)</f>
        <v>0.0005723020233246047</v>
      </c>
      <c r="Q42" s="38">
        <f>P41*Q12*(1-'Inputs'!$E$29*Q35)</f>
        <v>0.0005287653994149055</v>
      </c>
      <c r="R42" s="38">
        <f>Q41*R12*(1-'Inputs'!$E$29*R35)</f>
        <v>0.0005004324565989226</v>
      </c>
      <c r="S42" s="38">
        <f>R41*S12*(1-'Inputs'!$E$29*S35)</f>
        <v>0.00047329608800655273</v>
      </c>
      <c r="T42" s="38">
        <f>S41*T12*(1-'Inputs'!$E$29*T35)</f>
        <v>0.0004473097294006335</v>
      </c>
      <c r="U42" s="38">
        <f>T41*U12*(1-'Inputs'!$E$29*U35)</f>
        <v>0.002136256897036077</v>
      </c>
      <c r="V42" s="38">
        <f>U41*V12*(1-'Inputs'!$E$29*V35)</f>
        <v>0.000573562282794238</v>
      </c>
      <c r="W42" s="38">
        <f>V41*W12*(1-'Inputs'!$E$29*W35)</f>
        <v>0.0005538658515739087</v>
      </c>
      <c r="X42" s="38">
        <f>W41*X12*(1-'Inputs'!$E$29*X35)</f>
        <v>0.0005348257369382977</v>
      </c>
      <c r="Y42" s="38">
        <f>X41*Y12*(1-'Inputs'!$E$29*Y35)</f>
        <v>0.0005164198074531499</v>
      </c>
      <c r="Z42" s="38">
        <f>Y41*Z12*(1-'Inputs'!$E$29*Z35)</f>
        <v>0.0004984432483106128</v>
      </c>
      <c r="AA42" s="38">
        <f>Z41*AA12*(1-'Inputs'!$E$29*AA35)</f>
        <v>0.0004810715211271202</v>
      </c>
      <c r="AB42" s="38">
        <f>AA41*AB12*(1-'Inputs'!$E$29*AB35)</f>
        <v>0.00046428426183188774</v>
      </c>
      <c r="AC42" s="38">
        <f>AB41*AC12*(1-'Inputs'!$E$29*AC35)</f>
        <v>0.0004480618510118681</v>
      </c>
      <c r="AD42" s="38">
        <f>AC41*AD12*(1-'Inputs'!$E$29*AD35)</f>
        <v>0.0004323853783989605</v>
      </c>
      <c r="AE42" s="38">
        <f>AD41*AE12*(1-'Inputs'!$E$29*AE35)</f>
        <v>0.0004172366099592192</v>
      </c>
      <c r="AF42" s="38">
        <f>AE41*AF12*(1-'Inputs'!$E$29*AF35)</f>
        <v>0.0004025979573204336</v>
      </c>
      <c r="AG42" s="38">
        <f>AF41*AG12*(1-'Inputs'!$E$29*AG35)</f>
        <v>0.0007845897877972364</v>
      </c>
      <c r="AH42" s="38">
        <f>AG41*AH12*(1-'Inputs'!$E$29*AH35)</f>
        <v>0.00040567093604522485</v>
      </c>
      <c r="AI42" s="38">
        <f>AH41*AI12*(1-'Inputs'!$E$29*AI35)</f>
        <v>0.00038783613141673206</v>
      </c>
      <c r="AJ42" s="38">
        <f>AI41*AJ12*(1-'Inputs'!$E$29*AJ35)</f>
        <v>0.0003706733246949908</v>
      </c>
      <c r="AK42" s="38">
        <f>AJ41*AK12*(1-'Inputs'!$E$29*AK35)</f>
        <v>0.00035708573928031826</v>
      </c>
      <c r="AL42" s="38">
        <f>AK41*AL12*(1-'Inputs'!$E$29*AL35)</f>
        <v>0.0003439229907348228</v>
      </c>
      <c r="AM42" s="38">
        <f>AL41*AM12*(1-'Inputs'!$E$29*AM35)</f>
        <v>0.0003312139261400628</v>
      </c>
      <c r="AN42" s="38">
        <f>AM41*AN12*(1-'Inputs'!$E$29*AN35)</f>
        <v>0.0003189433904222167</v>
      </c>
      <c r="AO42" s="38">
        <f>AN41*AO12*(1-'Inputs'!$E$29*AO35)</f>
        <v>0.00030709674412635795</v>
      </c>
      <c r="AP42" s="38">
        <f>AO41*AP12*(1-'Inputs'!$E$29*AP35)</f>
        <v>0.00029565984323259907</v>
      </c>
      <c r="AQ42" s="38">
        <f>AP41*AQ12*(1-'Inputs'!$E$29*AQ35)</f>
        <v>0.0002846190201019912</v>
      </c>
    </row>
    <row r="43" ht="28" customHeight="1">
      <c r="A43" s="2" t="str">
        <v>DE.U.PLUS.Y2</v>
      </c>
      <c r="B43" s="6" t="str">
        <v>Germany: not yet identity-checked: Plus annual, plan month 3</v>
      </c>
      <c r="C43" s="2" t="str">
        <v>count</v>
      </c>
      <c r="D43" s="2" t="str">
        <v>NA</v>
      </c>
      <c r="E43" s="2"/>
      <c r="F43" s="6" t="str"/>
      <c r="G43" s="2"/>
      <c r="H43" s="38">
        <f>0*H12*(1-'Inputs'!$E$29*H35)</f>
        <v>0.0</v>
      </c>
      <c r="I43" s="38">
        <f>H42*I12*(1-'Inputs'!$E$29*I35)</f>
        <v>0.0</v>
      </c>
      <c r="J43" s="38">
        <f>I42*J12*(1-'Inputs'!$E$29*J35)</f>
        <v>0.010799999999999999</v>
      </c>
      <c r="K43" s="38">
        <f>J42*K12*(1-'Inputs'!$E$29*K35)</f>
        <v>0.0008880300000000002</v>
      </c>
      <c r="L43" s="38">
        <f>K42*L12*(1-'Inputs'!$E$29*L35)</f>
        <v>0.0007851325949999999</v>
      </c>
      <c r="M43" s="38">
        <f>L42*M12*(1-'Inputs'!$E$29*M35)</f>
        <v>0.0007177773151686148</v>
      </c>
      <c r="N43" s="38">
        <f>M42*N12*(1-'Inputs'!$E$29*N35)</f>
        <v>0.0006683947899113797</v>
      </c>
      <c r="O43" s="38">
        <f>N42*O12*(1-'Inputs'!$E$29*O35)</f>
        <v>0.0006203295998542042</v>
      </c>
      <c r="P43" s="38">
        <f>O42*P12*(1-'Inputs'!$E$29*P35)</f>
        <v>0.000574486725580526</v>
      </c>
      <c r="Q43" s="38">
        <f>P42*Q12*(1-'Inputs'!$E$29*Q35)</f>
        <v>0.000530775230168734</v>
      </c>
      <c r="R43" s="38">
        <f>Q42*R12*(1-'Inputs'!$E$29*R35)</f>
        <v>0.0005023271294441603</v>
      </c>
      <c r="S43" s="38">
        <f>R42*S12*(1-'Inputs'!$E$29*S35)</f>
        <v>0.0004750816018896351</v>
      </c>
      <c r="T43" s="38">
        <f>S42*T12*(1-'Inputs'!$E$29*T35)</f>
        <v>0.0004489916942981081</v>
      </c>
      <c r="U43" s="38">
        <f>T42*U12*(1-'Inputs'!$E$29*U35)</f>
        <v>0.00043309832653946754</v>
      </c>
      <c r="V43" s="38">
        <f>U42*V12*(1-'Inputs'!$E$29*V35)</f>
        <v>0.0020682850866758384</v>
      </c>
      <c r="W43" s="38">
        <f>V42*W12*(1-'Inputs'!$E$29*W35)</f>
        <v>0.0005552850339939286</v>
      </c>
      <c r="X43" s="38">
        <f>W42*X12*(1-'Inputs'!$E$29*X35)</f>
        <v>0.0005361892818428265</v>
      </c>
      <c r="Y43" s="38">
        <f>X42*Y12*(1-'Inputs'!$E$29*Y35)</f>
        <v>0.0005177304142754485</v>
      </c>
      <c r="Z43" s="38">
        <f>Y42*Z12*(1-'Inputs'!$E$29*Z35)</f>
        <v>0.0004998869431138224</v>
      </c>
      <c r="AA43" s="38">
        <f>Z42*AA12*(1-'Inputs'!$E$29*AA35)</f>
        <v>0.0004824605571963052</v>
      </c>
      <c r="AB43" s="38">
        <f>AA42*AB12*(1-'Inputs'!$E$29*AB35)</f>
        <v>0.0004656210489157382</v>
      </c>
      <c r="AC43" s="38">
        <f>AB42*AC12*(1-'Inputs'!$E$29*AC35)</f>
        <v>0.0004493486467913399</v>
      </c>
      <c r="AD43" s="38">
        <f>AC42*AD12*(1-'Inputs'!$E$29*AD35)</f>
        <v>0.00043362430247926345</v>
      </c>
      <c r="AE43" s="38">
        <f>AD42*AE12*(1-'Inputs'!$E$29*AE35)</f>
        <v>0.0004184296562976508</v>
      </c>
      <c r="AF43" s="38">
        <f>AE42*AF12*(1-'Inputs'!$E$29*AF35)</f>
        <v>0.0004037470052763271</v>
      </c>
      <c r="AG43" s="38">
        <f>AF42*AG12*(1-'Inputs'!$E$29*AG35)</f>
        <v>0.0003859907915809657</v>
      </c>
      <c r="AH43" s="38">
        <f>AG42*AH12*(1-'Inputs'!$E$29*AH35)</f>
        <v>0.0007520093644056562</v>
      </c>
      <c r="AI43" s="38">
        <f>AH42*AI12*(1-'Inputs'!$E$29*AI35)</f>
        <v>0.0003887096943226443</v>
      </c>
      <c r="AJ43" s="38">
        <f>AI42*AJ12*(1-'Inputs'!$E$29*AJ35)</f>
        <v>0.00037150618904129067</v>
      </c>
      <c r="AK43" s="38">
        <f>AJ42*AK12*(1-'Inputs'!$E$29*AK35)</f>
        <v>0.00035788629847783405</v>
      </c>
      <c r="AL43" s="38">
        <f>AK42*AL12*(1-'Inputs'!$E$29*AL35)</f>
        <v>0.0003447340850199663</v>
      </c>
      <c r="AM43" s="38">
        <f>AL42*AM12*(1-'Inputs'!$E$29*AM35)</f>
        <v>0.00033199387375486495</v>
      </c>
      <c r="AN43" s="38">
        <f>AM42*AN12*(1-'Inputs'!$E$29*AN35)</f>
        <v>0.00031969344175258234</v>
      </c>
      <c r="AO43" s="38">
        <f>AN42*AO12*(1-'Inputs'!$E$29*AO35)</f>
        <v>0.00030781808465833363</v>
      </c>
      <c r="AP43" s="38">
        <f>AO42*AP12*(1-'Inputs'!$E$29*AP35)</f>
        <v>0.00029635359864070885</v>
      </c>
      <c r="AQ43" s="38">
        <f>AP42*AQ12*(1-'Inputs'!$E$29*AQ35)</f>
        <v>0.00028528626080193803</v>
      </c>
    </row>
    <row r="44" ht="28" customHeight="1">
      <c r="A44" s="2" t="str">
        <v>DE.U.PLUS.Y3</v>
      </c>
      <c r="B44" s="6" t="str">
        <v>Germany: not yet identity-checked: Plus annual, plan month 4</v>
      </c>
      <c r="C44" s="2" t="str">
        <v>count</v>
      </c>
      <c r="D44" s="2" t="str">
        <v>NA</v>
      </c>
      <c r="E44" s="2"/>
      <c r="F44" s="6" t="str"/>
      <c r="G44" s="2"/>
      <c r="H44" s="38">
        <f>0*H12*(1-'Inputs'!$E$29*H35)</f>
        <v>0.0</v>
      </c>
      <c r="I44" s="38">
        <f>H43*I12*(1-'Inputs'!$E$29*I35)</f>
        <v>0.0</v>
      </c>
      <c r="J44" s="38">
        <f>I43*J12*(1-'Inputs'!$E$29*J35)</f>
        <v>0.0</v>
      </c>
      <c r="K44" s="38">
        <f>J43*K12*(1-'Inputs'!$E$29*K35)</f>
        <v>0.0096525</v>
      </c>
      <c r="L44" s="38">
        <f>K43*L12*(1-'Inputs'!$E$29*L35)</f>
        <v>0.0007871175000000001</v>
      </c>
      <c r="M44" s="38">
        <f>L43*M12*(1-'Inputs'!$E$29*M35)</f>
        <v>0.0007195740233174999</v>
      </c>
      <c r="N44" s="38">
        <f>M43*N12*(1-'Inputs'!$E$29*N35)</f>
        <v>0.0006700527596387867</v>
      </c>
      <c r="O44" s="38">
        <f>N43*O12*(1-'Inputs'!$E$29*O35)</f>
        <v>0.000622721145934102</v>
      </c>
      <c r="P44" s="38">
        <f>O43*P12*(1-'Inputs'!$E$29*P35)</f>
        <v>0.0005766901338179491</v>
      </c>
      <c r="Q44" s="38">
        <f>P43*Q12*(1-'Inputs'!$E$29*Q35)</f>
        <v>0.0005328014082975488</v>
      </c>
      <c r="R44" s="38">
        <f>Q43*R12*(1-'Inputs'!$E$29*R35)</f>
        <v>0.0005042364686602972</v>
      </c>
      <c r="S44" s="38">
        <f>R43*S12*(1-'Inputs'!$E$29*S35)</f>
        <v>0.0004768802945973179</v>
      </c>
      <c r="T44" s="38">
        <f>S43*T12*(1-'Inputs'!$E$29*T35)</f>
        <v>0.00045068551963043757</v>
      </c>
      <c r="U44" s="38">
        <f>T43*U12*(1-'Inputs'!$E$29*U35)</f>
        <v>0.00043472685401051196</v>
      </c>
      <c r="V44" s="38">
        <f>U43*V12*(1-'Inputs'!$E$29*V35)</f>
        <v>0.0004193179252404845</v>
      </c>
      <c r="W44" s="38">
        <f>V43*W12*(1-'Inputs'!$E$29*W35)</f>
        <v>0.002002376706272964</v>
      </c>
      <c r="X44" s="38">
        <f>W43*X12*(1-'Inputs'!$E$29*X35)</f>
        <v>0.0005375631712068883</v>
      </c>
      <c r="Y44" s="38">
        <f>X43*Y12*(1-'Inputs'!$E$29*Y35)</f>
        <v>0.0005190503744410647</v>
      </c>
      <c r="Z44" s="38">
        <f>Y43*Z12*(1-'Inputs'!$E$29*Z35)</f>
        <v>0.0005011555916601553</v>
      </c>
      <c r="AA44" s="38">
        <f>Z43*AA12*(1-'Inputs'!$E$29*AA35)</f>
        <v>0.0004838579596118032</v>
      </c>
      <c r="AB44" s="38">
        <f>AA43*AB12*(1-'Inputs'!$E$29*AB35)</f>
        <v>0.0004669654736075188</v>
      </c>
      <c r="AC44" s="38">
        <f>AB43*AC12*(1-'Inputs'!$E$29*AC35)</f>
        <v>0.0004506424306142209</v>
      </c>
      <c r="AD44" s="38">
        <f>AC43*AD12*(1-'Inputs'!$E$29*AD35)</f>
        <v>0.0004348696348391745</v>
      </c>
      <c r="AE44" s="38">
        <f>AD43*AE12*(1-'Inputs'!$E$29*AE35)</f>
        <v>0.0004196285927164066</v>
      </c>
      <c r="AF44" s="38">
        <f>AE43*AF12*(1-'Inputs'!$E$29*AF35)</f>
        <v>0.00040490147943990715</v>
      </c>
      <c r="AG44" s="38">
        <f>AF43*AG12*(1-'Inputs'!$E$29*AG35)</f>
        <v>0.0003870924413086786</v>
      </c>
      <c r="AH44" s="38">
        <f>AG43*AH12*(1-'Inputs'!$E$29*AH35)</f>
        <v>0.00036996236040514593</v>
      </c>
      <c r="AI44" s="38">
        <f>AH43*AI12*(1-'Inputs'!$E$29*AI35)</f>
        <v>0.0007205675935662817</v>
      </c>
      <c r="AJ44" s="38">
        <f>AI43*AJ12*(1-'Inputs'!$E$29*AJ35)</f>
        <v>0.0003723429703511645</v>
      </c>
      <c r="AK44" s="38">
        <f>AJ43*AK12*(1-'Inputs'!$E$29*AK35)</f>
        <v>0.0003586904317082916</v>
      </c>
      <c r="AL44" s="38">
        <f>AK43*AL12*(1-'Inputs'!$E$29*AL35)</f>
        <v>0.0003455069527436008</v>
      </c>
      <c r="AM44" s="38">
        <f>AL43*AM12*(1-'Inputs'!$E$29*AM35)</f>
        <v>0.00033277683488558164</v>
      </c>
      <c r="AN44" s="38">
        <f>AM43*AN12*(1-'Inputs'!$E$29*AN35)</f>
        <v>0.0003204462607546957</v>
      </c>
      <c r="AO44" s="38">
        <f>AN43*AO12*(1-'Inputs'!$E$29*AO35)</f>
        <v>0.0003085419728806383</v>
      </c>
      <c r="AP44" s="38">
        <f>AO43*AP12*(1-'Inputs'!$E$29*AP35)</f>
        <v>0.0002970497045636308</v>
      </c>
      <c r="AQ44" s="38">
        <f>AP43*AQ12*(1-'Inputs'!$E$29*AQ35)</f>
        <v>0.0002859556749642633</v>
      </c>
    </row>
    <row r="45" ht="28" customHeight="1">
      <c r="A45" s="2" t="str">
        <v>DE.U.PLUS.Y4</v>
      </c>
      <c r="B45" s="6" t="str">
        <v>Germany: not yet identity-checked: Plus annual, plan month 5</v>
      </c>
      <c r="C45" s="2" t="str">
        <v>count</v>
      </c>
      <c r="D45" s="2" t="str">
        <v>NA</v>
      </c>
      <c r="E45" s="2"/>
      <c r="F45" s="6" t="str"/>
      <c r="G45" s="2"/>
      <c r="H45" s="38">
        <f>0*H12*(1-'Inputs'!$E$29*H35)</f>
        <v>0.0</v>
      </c>
      <c r="I45" s="38">
        <f>H44*I12*(1-'Inputs'!$E$29*I35)</f>
        <v>0.0</v>
      </c>
      <c r="J45" s="38">
        <f>I44*J12*(1-'Inputs'!$E$29*J35)</f>
        <v>0.0</v>
      </c>
      <c r="K45" s="38">
        <f>J44*K12*(1-'Inputs'!$E$29*K35)</f>
        <v>0.0</v>
      </c>
      <c r="L45" s="38">
        <f>K44*L12*(1-'Inputs'!$E$29*L35)</f>
        <v>0.008555624999999999</v>
      </c>
      <c r="M45" s="38">
        <f>L44*M12*(1-'Inputs'!$E$29*M35)</f>
        <v>0.00072139318875</v>
      </c>
      <c r="N45" s="38">
        <f>M44*N12*(1-'Inputs'!$E$29*N35)</f>
        <v>0.0006717300058096875</v>
      </c>
      <c r="O45" s="38">
        <f>N44*O12*(1-'Inputs'!$E$29*O35)</f>
        <v>0.0006242658210634695</v>
      </c>
      <c r="P45" s="38">
        <f>O44*P12*(1-'Inputs'!$E$29*P35)</f>
        <v>0.0005789134374119936</v>
      </c>
      <c r="Q45" s="38">
        <f>P44*Q12*(1-'Inputs'!$E$29*Q35)</f>
        <v>0.0005348449350835978</v>
      </c>
      <c r="R45" s="38">
        <f>Q44*R12*(1-'Inputs'!$E$29*R35)</f>
        <v>0.0005061613378826714</v>
      </c>
      <c r="S45" s="38">
        <f>R44*S12*(1-'Inputs'!$E$29*S35)</f>
        <v>0.00047869291070842693</v>
      </c>
      <c r="T45" s="38">
        <f>S44*T12*(1-'Inputs'!$E$29*T35)</f>
        <v>0.00045239184703691507</v>
      </c>
      <c r="U45" s="38">
        <f>T44*U12*(1-'Inputs'!$E$29*U35)</f>
        <v>0.0004363668651005122</v>
      </c>
      <c r="V45" s="38">
        <f>U44*V12*(1-'Inputs'!$E$29*V35)</f>
        <v>0.00042089463592835934</v>
      </c>
      <c r="W45" s="38">
        <f>V44*W12*(1-'Inputs'!$E$29*W35)</f>
        <v>0.00040595585755236343</v>
      </c>
      <c r="X45" s="38">
        <f>W44*X12*(1-'Inputs'!$E$29*X35)</f>
        <v>0.001938471066711061</v>
      </c>
      <c r="Y45" s="38">
        <f>X44*Y12*(1-'Inputs'!$E$29*Y35)</f>
        <v>0.0005203803484129538</v>
      </c>
      <c r="Z45" s="38">
        <f>Y44*Z12*(1-'Inputs'!$E$29*Z35)</f>
        <v>0.0005024332941082393</v>
      </c>
      <c r="AA45" s="38">
        <f>Z44*AA12*(1-'Inputs'!$E$29*AA35)</f>
        <v>0.00048508592866670474</v>
      </c>
      <c r="AB45" s="38">
        <f>AA44*AB12*(1-'Inputs'!$E$29*AB35)</f>
        <v>0.0004683179959454387</v>
      </c>
      <c r="AC45" s="38">
        <f>AB44*AC12*(1-'Inputs'!$E$29*AC35)</f>
        <v>0.000451943606349924</v>
      </c>
      <c r="AD45" s="38">
        <f>AC44*AD12*(1-'Inputs'!$E$29*AD35)</f>
        <v>0.00043612173007220704</v>
      </c>
      <c r="AE45" s="38">
        <f>AD44*AE12*(1-'Inputs'!$E$29*AE35)</f>
        <v>0.0004208337305803728</v>
      </c>
      <c r="AF45" s="38">
        <f>AE44*AF12*(1-'Inputs'!$E$29*AF35)</f>
        <v>0.00040606165325264305</v>
      </c>
      <c r="AG45" s="38">
        <f>AF44*AG12*(1-'Inputs'!$E$29*AG35)</f>
        <v>0.00038819929341301094</v>
      </c>
      <c r="AH45" s="38">
        <f>AG44*AH12*(1-'Inputs'!$E$29*AH35)</f>
        <v>0.0003710182636611148</v>
      </c>
      <c r="AI45" s="38">
        <f>AH44*AI12*(1-'Inputs'!$E$29*AI35)</f>
        <v>0.00035449410654337906</v>
      </c>
      <c r="AJ45" s="38">
        <f>AI44*AJ12*(1-'Inputs'!$E$29*AJ35)</f>
        <v>0.0006902279054161224</v>
      </c>
      <c r="AK45" s="38">
        <f>AJ44*AK12*(1-'Inputs'!$E$29*AK35)</f>
        <v>0.00035949834677979724</v>
      </c>
      <c r="AL45" s="38">
        <f>AK44*AL12*(1-'Inputs'!$E$29*AL35)</f>
        <v>0.0003462832708737917</v>
      </c>
      <c r="AM45" s="38">
        <f>AL44*AM12*(1-'Inputs'!$E$29*AM35)</f>
        <v>0.0003335228953595305</v>
      </c>
      <c r="AN45" s="38">
        <f>AM44*AN12*(1-'Inputs'!$E$29*AN35)</f>
        <v>0.00032120198845477876</v>
      </c>
      <c r="AO45" s="38">
        <f>AN44*AO12*(1-'Inputs'!$E$29*AO35)</f>
        <v>0.00030926853223343817</v>
      </c>
      <c r="AP45" s="38">
        <f>AO44*AP12*(1-'Inputs'!$E$29*AP35)</f>
        <v>0.00029774826905119617</v>
      </c>
      <c r="AQ45" s="38">
        <f>AP44*AQ12*(1-'Inputs'!$E$29*AQ35)</f>
        <v>0.0002866273571707517</v>
      </c>
    </row>
    <row r="46" ht="28" customHeight="1">
      <c r="A46" s="2" t="str">
        <v>DE.U.PLUS.Y5</v>
      </c>
      <c r="B46" s="6" t="str">
        <v>Germany: not yet identity-checked: Plus annual, plan month 6</v>
      </c>
      <c r="C46" s="2" t="str">
        <v>count</v>
      </c>
      <c r="D46" s="2" t="str">
        <v>NA</v>
      </c>
      <c r="E46" s="2"/>
      <c r="F46" s="6" t="str"/>
      <c r="G46" s="2"/>
      <c r="H46" s="38">
        <f>0*H12*(1-'Inputs'!$E$29*H35)</f>
        <v>0.0</v>
      </c>
      <c r="I46" s="38">
        <f>H45*I12*(1-'Inputs'!$E$29*I35)</f>
        <v>0.0</v>
      </c>
      <c r="J46" s="38">
        <f>I45*J12*(1-'Inputs'!$E$29*J35)</f>
        <v>0.0</v>
      </c>
      <c r="K46" s="38">
        <f>J45*K12*(1-'Inputs'!$E$29*K35)</f>
        <v>0.0</v>
      </c>
      <c r="L46" s="38">
        <f>K45*L12*(1-'Inputs'!$E$29*L35)</f>
        <v>0.0</v>
      </c>
      <c r="M46" s="38">
        <f>L45*M12*(1-'Inputs'!$E$29*M35)</f>
        <v>0.007841230312499997</v>
      </c>
      <c r="N46" s="38">
        <f>M45*N12*(1-'Inputs'!$E$29*N35)</f>
        <v>0.00067342821609375</v>
      </c>
      <c r="O46" s="38">
        <f>N45*O12*(1-'Inputs'!$E$29*O35)</f>
        <v>0.0006258284554126921</v>
      </c>
      <c r="P46" s="38">
        <f>O45*P12*(1-'Inputs'!$E$29*P35)</f>
        <v>0.0005803494464421441</v>
      </c>
      <c r="Q46" s="38">
        <f>P45*Q12*(1-'Inputs'!$E$29*Q35)</f>
        <v>0.000536906913599782</v>
      </c>
      <c r="R46" s="38">
        <f>Q45*R12*(1-'Inputs'!$E$29*R35)</f>
        <v>0.000508102688329418</v>
      </c>
      <c r="S46" s="38">
        <f>R45*S12*(1-'Inputs'!$E$29*S35)</f>
        <v>0.0004805202701083519</v>
      </c>
      <c r="T46" s="38">
        <f>S45*T12*(1-'Inputs'!$E$29*T35)</f>
        <v>0.0004541113828612374</v>
      </c>
      <c r="U46" s="38">
        <f>T45*U12*(1-'Inputs'!$E$29*U35)</f>
        <v>0.0004380189810633464</v>
      </c>
      <c r="V46" s="38">
        <f>U45*V12*(1-'Inputs'!$E$29*V35)</f>
        <v>0.0004224824648473141</v>
      </c>
      <c r="W46" s="38">
        <f>V45*W12*(1-'Inputs'!$E$29*W35)</f>
        <v>0.00040748232446655776</v>
      </c>
      <c r="X46" s="38">
        <f>W45*X12*(1-'Inputs'!$E$29*X35)</f>
        <v>0.0003929998195453731</v>
      </c>
      <c r="Y46" s="38">
        <f>X45*Y12*(1-'Inputs'!$E$29*Y35)</f>
        <v>0.0018765092236858324</v>
      </c>
      <c r="Z46" s="38">
        <f>Y45*Z12*(1-'Inputs'!$E$29*Z35)</f>
        <v>0.0005037206897767118</v>
      </c>
      <c r="AA46" s="38">
        <f>Z45*AA12*(1-'Inputs'!$E$29*AA35)</f>
        <v>0.0004863226613080296</v>
      </c>
      <c r="AB46" s="38">
        <f>AA45*AB12*(1-'Inputs'!$E$29*AB35)</f>
        <v>0.000469506526578139</v>
      </c>
      <c r="AC46" s="38">
        <f>AB45*AC12*(1-'Inputs'!$E$29*AC35)</f>
        <v>0.00045325261923763504</v>
      </c>
      <c r="AD46" s="38">
        <f>AC45*AD12*(1-'Inputs'!$E$29*AD35)</f>
        <v>0.0004373809790342042</v>
      </c>
      <c r="AE46" s="38">
        <f>AD45*AE12*(1-'Inputs'!$E$29*AE35)</f>
        <v>0.00042204541303816006</v>
      </c>
      <c r="AF46" s="38">
        <f>AE45*AF12*(1-'Inputs'!$E$29*AF35)</f>
        <v>0.0004072278280127367</v>
      </c>
      <c r="AG46" s="38">
        <f>AF45*AG12*(1-'Inputs'!$E$29*AG35)</f>
        <v>0.0003893116100559715</v>
      </c>
      <c r="AH46" s="38">
        <f>AG45*AH12*(1-'Inputs'!$E$29*AH35)</f>
        <v>0.00037207915326280966</v>
      </c>
      <c r="AI46" s="38">
        <f>AH45*AI12*(1-'Inputs'!$E$29*AI35)</f>
        <v>0.00035550586212011124</v>
      </c>
      <c r="AJ46" s="38">
        <f>AI45*AJ12*(1-'Inputs'!$E$29*AJ35)</f>
        <v>0.00033956803889944725</v>
      </c>
      <c r="AK46" s="38">
        <f>AJ45*AK12*(1-'Inputs'!$E$29*AK35)</f>
        <v>0.0006664172836789591</v>
      </c>
      <c r="AL46" s="38">
        <f>AK45*AL12*(1-'Inputs'!$E$29*AL35)</f>
        <v>0.00034706324003052887</v>
      </c>
      <c r="AM46" s="38">
        <f>AL45*AM12*(1-'Inputs'!$E$29*AM35)</f>
        <v>0.000334272286561199</v>
      </c>
      <c r="AN46" s="38">
        <f>AM45*AN12*(1-'Inputs'!$E$29*AN35)</f>
        <v>0.00032192209899919896</v>
      </c>
      <c r="AO46" s="38">
        <f>AN45*AO12*(1-'Inputs'!$E$29*AO35)</f>
        <v>0.00030999789882371257</v>
      </c>
      <c r="AP46" s="38">
        <f>AO45*AP12*(1-'Inputs'!$E$29*AP35)</f>
        <v>0.0002984494112252718</v>
      </c>
      <c r="AQ46" s="38">
        <f>AP45*AQ12*(1-'Inputs'!$E$29*AQ35)</f>
        <v>0.0002873014116801757</v>
      </c>
    </row>
    <row r="47" ht="28" customHeight="1">
      <c r="A47" s="2" t="str">
        <v>DE.U.PLUS.Y6</v>
      </c>
      <c r="B47" s="6" t="str">
        <v>Germany: not yet identity-checked: Plus annual, plan month 7</v>
      </c>
      <c r="C47" s="2" t="str">
        <v>count</v>
      </c>
      <c r="D47" s="2" t="str">
        <v>NA</v>
      </c>
      <c r="E47" s="2"/>
      <c r="F47" s="6" t="str"/>
      <c r="G47" s="2"/>
      <c r="H47" s="38">
        <f>0*H12*(1-'Inputs'!$E$29*H35)</f>
        <v>0.0</v>
      </c>
      <c r="I47" s="38">
        <f>H46*I12*(1-'Inputs'!$E$29*I35)</f>
        <v>0.0</v>
      </c>
      <c r="J47" s="38">
        <f>I46*J12*(1-'Inputs'!$E$29*J35)</f>
        <v>0.0</v>
      </c>
      <c r="K47" s="38">
        <f>J46*K12*(1-'Inputs'!$E$29*K35)</f>
        <v>0.0</v>
      </c>
      <c r="L47" s="38">
        <f>K46*L12*(1-'Inputs'!$E$29*L35)</f>
        <v>0.0</v>
      </c>
      <c r="M47" s="38">
        <f>L46*M12*(1-'Inputs'!$E$29*M35)</f>
        <v>0.0</v>
      </c>
      <c r="N47" s="38">
        <f>M46*N12*(1-'Inputs'!$E$29*N35)</f>
        <v>0.007319871914062498</v>
      </c>
      <c r="O47" s="38">
        <f>N46*O12*(1-'Inputs'!$E$29*O35)</f>
        <v>0.0006274106213273438</v>
      </c>
      <c r="P47" s="38">
        <f>O46*P12*(1-'Inputs'!$E$29*P35)</f>
        <v>0.0005818021512819155</v>
      </c>
      <c r="Q47" s="38">
        <f>P46*Q12*(1-'Inputs'!$E$29*Q35)</f>
        <v>0.0005382387244137202</v>
      </c>
      <c r="R47" s="38">
        <f>Q46*R12*(1-'Inputs'!$E$29*R35)</f>
        <v>0.0005100615679197929</v>
      </c>
      <c r="S47" s="38">
        <f>R46*S12*(1-'Inputs'!$E$29*S35)</f>
        <v>0.0004823632758285199</v>
      </c>
      <c r="T47" s="38">
        <f>S46*T12*(1-'Inputs'!$E$29*T35)</f>
        <v>0.0004558449048865716</v>
      </c>
      <c r="U47" s="38">
        <f>T46*U12*(1-'Inputs'!$E$29*U35)</f>
        <v>0.0004396838858015835</v>
      </c>
      <c r="V47" s="38">
        <f>U46*V12*(1-'Inputs'!$E$29*V35)</f>
        <v>0.0004240820134840581</v>
      </c>
      <c r="W47" s="38">
        <f>V46*W12*(1-'Inputs'!$E$29*W35)</f>
        <v>0.0004090195553160881</v>
      </c>
      <c r="X47" s="38">
        <f>W46*X12*(1-'Inputs'!$E$29*X35)</f>
        <v>0.00039447756943039103</v>
      </c>
      <c r="Y47" s="38">
        <f>X46*Y12*(1-'Inputs'!$E$29*Y35)</f>
        <v>0.000380437861027762</v>
      </c>
      <c r="Z47" s="38">
        <f>Y46*Z12*(1-'Inputs'!$E$29*Z35)</f>
        <v>0.001816433928395171</v>
      </c>
      <c r="AA47" s="38">
        <f>Z46*AA12*(1-'Inputs'!$E$29*AA35)</f>
        <v>0.0004875687763545238</v>
      </c>
      <c r="AB47" s="38">
        <f>AA46*AB12*(1-'Inputs'!$E$29*AB35)</f>
        <v>0.0004707035393390126</v>
      </c>
      <c r="AC47" s="38">
        <f>AB46*AC12*(1-'Inputs'!$E$29*AC35)</f>
        <v>0.0004544029158885849</v>
      </c>
      <c r="AD47" s="38">
        <f>AC46*AD12*(1-'Inputs'!$E$29*AD35)</f>
        <v>0.0004386478126177557</v>
      </c>
      <c r="AE47" s="38">
        <f>AD46*AE12*(1-'Inputs'!$E$29*AE35)</f>
        <v>0.0004232640183303017</v>
      </c>
      <c r="AF47" s="38">
        <f>AE46*AF12*(1-'Inputs'!$E$29*AF35)</f>
        <v>0.0004084003357745203</v>
      </c>
      <c r="AG47" s="38">
        <f>AF46*AG12*(1-'Inputs'!$E$29*AG35)</f>
        <v>0.0003904296801072113</v>
      </c>
      <c r="AH47" s="38">
        <f>AG46*AH12*(1-'Inputs'!$E$29*AH35)</f>
        <v>0.0003731452804858506</v>
      </c>
      <c r="AI47" s="38">
        <f>AH46*AI12*(1-'Inputs'!$E$29*AI35)</f>
        <v>0.0003565223955617353</v>
      </c>
      <c r="AJ47" s="38">
        <f>AI46*AJ12*(1-'Inputs'!$E$29*AJ35)</f>
        <v>0.0003405371942413697</v>
      </c>
      <c r="AK47" s="38">
        <f>AJ46*AK12*(1-'Inputs'!$E$29*AK35)</f>
        <v>0.0003278540440510491</v>
      </c>
      <c r="AL47" s="38">
        <f>AK46*AL12*(1-'Inputs'!$E$29*AL35)</f>
        <v>0.0006433658005877688</v>
      </c>
      <c r="AM47" s="38">
        <f>AL46*AM12*(1-'Inputs'!$E$29*AM35)</f>
        <v>0.0003350252021519865</v>
      </c>
      <c r="AN47" s="38">
        <f>AM46*AN12*(1-'Inputs'!$E$29*AN35)</f>
        <v>0.00032264542441993993</v>
      </c>
      <c r="AO47" s="38">
        <f>AN46*AO12*(1-'Inputs'!$E$29*AO35)</f>
        <v>0.00031069289064728433</v>
      </c>
      <c r="AP47" s="38">
        <f>AO46*AP12*(1-'Inputs'!$E$29*AP35)</f>
        <v>0.00029915326243141544</v>
      </c>
      <c r="AQ47" s="38">
        <f>AP46*AQ12*(1-'Inputs'!$E$29*AQ35)</f>
        <v>0.00028797795343486786</v>
      </c>
    </row>
    <row r="48" ht="28" customHeight="1">
      <c r="A48" s="2" t="str">
        <v>DE.U.PLUS.Y7</v>
      </c>
      <c r="B48" s="6" t="str">
        <v>Germany: not yet identity-checked: Plus annual, plan month 8</v>
      </c>
      <c r="C48" s="2" t="str">
        <v>count</v>
      </c>
      <c r="D48" s="2" t="str">
        <v>NA</v>
      </c>
      <c r="E48" s="2"/>
      <c r="F48" s="6" t="str"/>
      <c r="G48" s="2"/>
      <c r="H48" s="38">
        <f>0*H12*(1-'Inputs'!$E$29*H35)</f>
        <v>0.0</v>
      </c>
      <c r="I48" s="38">
        <f>H47*I12*(1-'Inputs'!$E$29*I35)</f>
        <v>0.0</v>
      </c>
      <c r="J48" s="38">
        <f>I47*J12*(1-'Inputs'!$E$29*J35)</f>
        <v>0.0</v>
      </c>
      <c r="K48" s="38">
        <f>J47*K12*(1-'Inputs'!$E$29*K35)</f>
        <v>0.0</v>
      </c>
      <c r="L48" s="38">
        <f>K47*L12*(1-'Inputs'!$E$29*L35)</f>
        <v>0.0</v>
      </c>
      <c r="M48" s="38">
        <f>L47*M12*(1-'Inputs'!$E$29*M35)</f>
        <v>0.0</v>
      </c>
      <c r="N48" s="38">
        <f>M47*N12*(1-'Inputs'!$E$29*N35)</f>
        <v>0.0</v>
      </c>
      <c r="O48" s="38">
        <f>N47*O12*(1-'Inputs'!$E$29*O35)</f>
        <v>0.00681968066660156</v>
      </c>
      <c r="P48" s="38">
        <f>O47*P12*(1-'Inputs'!$E$29*P35)</f>
        <v>0.0005832730136641992</v>
      </c>
      <c r="Q48" s="38">
        <f>P47*Q12*(1-'Inputs'!$E$29*Q35)</f>
        <v>0.0005395860195730448</v>
      </c>
      <c r="R48" s="38">
        <f>Q47*R12*(1-'Inputs'!$E$29*R35)</f>
        <v>0.0005113267881930342</v>
      </c>
      <c r="S48" s="38">
        <f>R47*S12*(1-'Inputs'!$E$29*S35)</f>
        <v>0.0004842229227028034</v>
      </c>
      <c r="T48" s="38">
        <f>S47*T12*(1-'Inputs'!$E$29*T35)</f>
        <v>0.0004575932697724607</v>
      </c>
      <c r="U48" s="38">
        <f>T47*U12*(1-'Inputs'!$E$29*U35)</f>
        <v>0.0004413623323875712</v>
      </c>
      <c r="V48" s="38">
        <f>U47*V12*(1-'Inputs'!$E$29*V35)</f>
        <v>0.000425693943980624</v>
      </c>
      <c r="W48" s="38">
        <f>V47*W12*(1-'Inputs'!$E$29*W35)</f>
        <v>0.0004105681324205696</v>
      </c>
      <c r="X48" s="38">
        <f>W47*X12*(1-'Inputs'!$E$29*X35)</f>
        <v>0.00039596573972089377</v>
      </c>
      <c r="Y48" s="38">
        <f>X47*Y12*(1-'Inputs'!$E$29*Y35)</f>
        <v>0.00038186837569324105</v>
      </c>
      <c r="Z48" s="38">
        <f>Y47*Z12*(1-'Inputs'!$E$29*Z35)</f>
        <v>0.0003682583755488157</v>
      </c>
      <c r="AA48" s="38">
        <f>Z47*AA12*(1-'Inputs'!$E$29*AA35)</f>
        <v>0.0017581895796042392</v>
      </c>
      <c r="AB48" s="38">
        <f>AA47*AB12*(1-'Inputs'!$E$29*AB35)</f>
        <v>0.0004719096331723347</v>
      </c>
      <c r="AC48" s="38">
        <f>AB47*AC12*(1-'Inputs'!$E$29*AC35)</f>
        <v>0.0004555614218051289</v>
      </c>
      <c r="AD48" s="38">
        <f>AC47*AD12*(1-'Inputs'!$E$29*AD35)</f>
        <v>0.00043976104415439715</v>
      </c>
      <c r="AE48" s="38">
        <f>AD47*AE12*(1-'Inputs'!$E$29*AE35)</f>
        <v>0.0004244899634418468</v>
      </c>
      <c r="AF48" s="38">
        <f>AE47*AF12*(1-'Inputs'!$E$29*AF35)</f>
        <v>0.00040957954254969796</v>
      </c>
      <c r="AG48" s="38">
        <f>AF47*AG12*(1-'Inputs'!$E$29*AG35)</f>
        <v>0.0003915538219238213</v>
      </c>
      <c r="AH48" s="38">
        <f>AG47*AH12*(1-'Inputs'!$E$29*AH35)</f>
        <v>0.0003742169222044542</v>
      </c>
      <c r="AI48" s="38">
        <f>AH47*AI12*(1-'Inputs'!$E$29*AI35)</f>
        <v>0.0003575439476379508</v>
      </c>
      <c r="AJ48" s="38">
        <f>AI47*AJ12*(1-'Inputs'!$E$29*AJ35)</f>
        <v>0.00034151092627492536</v>
      </c>
      <c r="AK48" s="38">
        <f>AJ47*AK12*(1-'Inputs'!$E$29*AK35)</f>
        <v>0.00032878976668028345</v>
      </c>
      <c r="AL48" s="38">
        <f>AK47*AL12*(1-'Inputs'!$E$29*AL35)</f>
        <v>0.00031651351892075867</v>
      </c>
      <c r="AM48" s="38">
        <f>AL47*AM12*(1-'Inputs'!$E$29*AM35)</f>
        <v>0.0006210503808488387</v>
      </c>
      <c r="AN48" s="38">
        <f>AM47*AN12*(1-'Inputs'!$E$29*AN35)</f>
        <v>0.00032337215164235215</v>
      </c>
      <c r="AO48" s="38">
        <f>AN47*AO12*(1-'Inputs'!$E$29*AO35)</f>
        <v>0.00031139098520664303</v>
      </c>
      <c r="AP48" s="38">
        <f>AO47*AP12*(1-'Inputs'!$E$29*AP35)</f>
        <v>0.00029982394140109093</v>
      </c>
      <c r="AQ48" s="38">
        <f>AP47*AQ12*(1-'Inputs'!$E$29*AQ35)</f>
        <v>0.0002886571091719684</v>
      </c>
    </row>
    <row r="49" ht="28" customHeight="1">
      <c r="A49" s="2" t="str">
        <v>DE.U.PLUS.Y8</v>
      </c>
      <c r="B49" s="6" t="str">
        <v>Germany: not yet identity-checked: Plus annual, plan month 9</v>
      </c>
      <c r="C49" s="2" t="str">
        <v>count</v>
      </c>
      <c r="D49" s="2" t="str">
        <v>NA</v>
      </c>
      <c r="E49" s="2"/>
      <c r="F49" s="6" t="str"/>
      <c r="G49" s="2"/>
      <c r="H49" s="38">
        <f>0*H12*(1-'Inputs'!$E$29*H35)</f>
        <v>0.0</v>
      </c>
      <c r="I49" s="38">
        <f>H48*I12*(1-'Inputs'!$E$29*I35)</f>
        <v>0.0</v>
      </c>
      <c r="J49" s="38">
        <f>I48*J12*(1-'Inputs'!$E$29*J35)</f>
        <v>0.0</v>
      </c>
      <c r="K49" s="38">
        <f>J48*K12*(1-'Inputs'!$E$29*K35)</f>
        <v>0.0</v>
      </c>
      <c r="L49" s="38">
        <f>K48*L12*(1-'Inputs'!$E$29*L35)</f>
        <v>0.0</v>
      </c>
      <c r="M49" s="38">
        <f>L48*M12*(1-'Inputs'!$E$29*M35)</f>
        <v>0.0</v>
      </c>
      <c r="N49" s="38">
        <f>M48*N12*(1-'Inputs'!$E$29*N35)</f>
        <v>0.0</v>
      </c>
      <c r="O49" s="38">
        <f>N48*O12*(1-'Inputs'!$E$29*O35)</f>
        <v>0.0</v>
      </c>
      <c r="P49" s="38">
        <f>O48*P12*(1-'Inputs'!$E$29*P35)</f>
        <v>0.00633992406156738</v>
      </c>
      <c r="Q49" s="38">
        <f>P48*Q12*(1-'Inputs'!$E$29*Q35)</f>
        <v>0.0005409501547458823</v>
      </c>
      <c r="R49" s="38">
        <f>Q48*R12*(1-'Inputs'!$E$29*R35)</f>
        <v>0.0005126067185943925</v>
      </c>
      <c r="S49" s="38">
        <f>R48*S12*(1-'Inputs'!$E$29*S35)</f>
        <v>0.0004854240495806239</v>
      </c>
      <c r="T49" s="38">
        <f>S48*T12*(1-'Inputs'!$E$29*T35)</f>
        <v>0.0004593574212667135</v>
      </c>
      <c r="U49" s="38">
        <f>T48*U12*(1-'Inputs'!$E$29*U35)</f>
        <v>0.00044305515026406484</v>
      </c>
      <c r="V49" s="38">
        <f>U48*V12*(1-'Inputs'!$E$29*V35)</f>
        <v>0.00042731898544796665</v>
      </c>
      <c r="W49" s="38">
        <f>V48*W12*(1-'Inputs'!$E$29*W35)</f>
        <v>0.0004121286968220865</v>
      </c>
      <c r="X49" s="38">
        <f>W48*X12*(1-'Inputs'!$E$29*X35)</f>
        <v>0.00039746489415182803</v>
      </c>
      <c r="Y49" s="38">
        <f>X48*Y12*(1-'Inputs'!$E$29*Y35)</f>
        <v>0.0003833089776833866</v>
      </c>
      <c r="Z49" s="38">
        <f>Y48*Z12*(1-'Inputs'!$E$29*Z35)</f>
        <v>0.0003696430931620545</v>
      </c>
      <c r="AA49" s="38">
        <f>Z48*AA12*(1-'Inputs'!$E$29*AA35)</f>
        <v>0.0003564500906806744</v>
      </c>
      <c r="AB49" s="38">
        <f>AA48*AB12*(1-'Inputs'!$E$29*AB35)</f>
        <v>0.0017017221770476067</v>
      </c>
      <c r="AC49" s="38">
        <f>AB48*AC12*(1-'Inputs'!$E$29*AC35)</f>
        <v>0.0004567287166640335</v>
      </c>
      <c r="AD49" s="38">
        <f>AC48*AD12*(1-'Inputs'!$E$29*AD35)</f>
        <v>0.00044088222043585254</v>
      </c>
      <c r="AE49" s="38">
        <f>AD48*AE12*(1-'Inputs'!$E$29*AE35)</f>
        <v>0.0004255672641844884</v>
      </c>
      <c r="AF49" s="38">
        <f>AE48*AF12*(1-'Inputs'!$E$29*AF35)</f>
        <v>0.0004107658518418472</v>
      </c>
      <c r="AG49" s="38">
        <f>AF48*AG12*(1-'Inputs'!$E$29*AG35)</f>
        <v>0.00039268438641952287</v>
      </c>
      <c r="AH49" s="38">
        <f>AG48*AH12*(1-'Inputs'!$E$29*AH35)</f>
        <v>0.0003752943835557982</v>
      </c>
      <c r="AI49" s="38">
        <f>AH48*AI12*(1-'Inputs'!$E$29*AI35)</f>
        <v>0.0003585707836467679</v>
      </c>
      <c r="AJ49" s="38">
        <f>AI48*AJ12*(1-'Inputs'!$E$29*AJ35)</f>
        <v>0.0003424894656321423</v>
      </c>
      <c r="AK49" s="38">
        <f>AJ48*AK12*(1-'Inputs'!$E$29*AK35)</f>
        <v>0.00032972990812014913</v>
      </c>
      <c r="AL49" s="38">
        <f>AK48*AL12*(1-'Inputs'!$E$29*AL35)</f>
        <v>0.0003174168747508507</v>
      </c>
      <c r="AM49" s="38">
        <f>AL48*AM12*(1-'Inputs'!$E$29*AM35)</f>
        <v>0.00030553511126945086</v>
      </c>
      <c r="AN49" s="38">
        <f>AM48*AN12*(1-'Inputs'!$E$29*AN35)</f>
        <v>0.0005994486284714878</v>
      </c>
      <c r="AO49" s="38">
        <f>AN48*AO12*(1-'Inputs'!$E$29*AO35)</f>
        <v>0.0003120923629068545</v>
      </c>
      <c r="AP49" s="38">
        <f>AO48*AP12*(1-'Inputs'!$E$29*AP35)</f>
        <v>0.0003004976145637485</v>
      </c>
      <c r="AQ49" s="38">
        <f>AP48*AQ12*(1-'Inputs'!$E$29*AQ35)</f>
        <v>0.00028930425656055264</v>
      </c>
    </row>
    <row r="50" ht="28" customHeight="1">
      <c r="A50" s="2" t="str">
        <v>DE.U.PLUS.Y9</v>
      </c>
      <c r="B50" s="6" t="str">
        <v>Germany: not yet identity-checked: Plus annual, plan month 10</v>
      </c>
      <c r="C50" s="2" t="str">
        <v>count</v>
      </c>
      <c r="D50" s="2" t="str">
        <v>NA</v>
      </c>
      <c r="E50" s="2"/>
      <c r="F50" s="6" t="str"/>
      <c r="G50" s="2"/>
      <c r="H50" s="38">
        <f>0*H12*(1-'Inputs'!$E$29*H35)</f>
        <v>0.0</v>
      </c>
      <c r="I50" s="38">
        <f>H49*I12*(1-'Inputs'!$E$29*I35)</f>
        <v>0.0</v>
      </c>
      <c r="J50" s="38">
        <f>I49*J12*(1-'Inputs'!$E$29*J35)</f>
        <v>0.0</v>
      </c>
      <c r="K50" s="38">
        <f>J49*K12*(1-'Inputs'!$E$29*K35)</f>
        <v>0.0</v>
      </c>
      <c r="L50" s="38">
        <f>K49*L12*(1-'Inputs'!$E$29*L35)</f>
        <v>0.0</v>
      </c>
      <c r="M50" s="38">
        <f>L49*M12*(1-'Inputs'!$E$29*M35)</f>
        <v>0.0</v>
      </c>
      <c r="N50" s="38">
        <f>M49*N12*(1-'Inputs'!$E$29*N35)</f>
        <v>0.0</v>
      </c>
      <c r="O50" s="38">
        <f>N49*O12*(1-'Inputs'!$E$29*O35)</f>
        <v>0.0</v>
      </c>
      <c r="P50" s="38">
        <f>O49*P12*(1-'Inputs'!$E$29*P35)</f>
        <v>0.0</v>
      </c>
      <c r="Q50" s="38">
        <f>P49*Q12*(1-'Inputs'!$E$29*Q35)</f>
        <v>0.005879892986368284</v>
      </c>
      <c r="R50" s="38">
        <f>Q49*R12*(1-'Inputs'!$E$29*R35)</f>
        <v>0.0005139026470085882</v>
      </c>
      <c r="S50" s="38">
        <f>R49*S12*(1-'Inputs'!$E$29*S35)</f>
        <v>0.0004866391414024397</v>
      </c>
      <c r="T50" s="38">
        <f>S49*T12*(1-'Inputs'!$E$29*T35)</f>
        <v>0.0004604968686562134</v>
      </c>
      <c r="U50" s="38">
        <f>T49*U12*(1-'Inputs'!$E$29*U35)</f>
        <v>0.00044476325319521895</v>
      </c>
      <c r="V50" s="38">
        <f>U49*V12*(1-'Inputs'!$E$29*V35)</f>
        <v>0.00042895794093748097</v>
      </c>
      <c r="W50" s="38">
        <f>V49*W12*(1-'Inputs'!$E$29*W35)</f>
        <v>0.0004137019543976001</v>
      </c>
      <c r="X50" s="38">
        <f>W49*X12*(1-'Inputs'!$E$29*X35)</f>
        <v>0.000398975653306488</v>
      </c>
      <c r="Y50" s="38">
        <f>X49*Y12*(1-'Inputs'!$E$29*Y35)</f>
        <v>0.00038476021271376066</v>
      </c>
      <c r="Z50" s="38">
        <f>Y49*Z12*(1-'Inputs'!$E$29*Z35)</f>
        <v>0.0003710375751604293</v>
      </c>
      <c r="AA50" s="38">
        <f>Z49*AA12*(1-'Inputs'!$E$29*AA35)</f>
        <v>0.00035779040702261914</v>
      </c>
      <c r="AB50" s="38">
        <f>AA49*AB12*(1-'Inputs'!$E$29*AB35)</f>
        <v>0.0003450020585712221</v>
      </c>
      <c r="AC50" s="38">
        <f>AB49*AC12*(1-'Inputs'!$E$29*AC35)</f>
        <v>0.0016469792761315532</v>
      </c>
      <c r="AD50" s="38">
        <f>AC49*AD12*(1-'Inputs'!$E$29*AD35)</f>
        <v>0.00044201190246041463</v>
      </c>
      <c r="AE50" s="38">
        <f>AD49*AE12*(1-'Inputs'!$E$29*AE35)</f>
        <v>0.00042665225324641176</v>
      </c>
      <c r="AF50" s="38">
        <f>AE49*AF12*(1-'Inputs'!$E$29*AF35)</f>
        <v>0.0004118083225604786</v>
      </c>
      <c r="AG50" s="38">
        <f>AF49*AG12*(1-'Inputs'!$E$29*AG35)</f>
        <v>0.000393821760453371</v>
      </c>
      <c r="AH50" s="38">
        <f>AG49*AH12*(1-'Inputs'!$E$29*AH35)</f>
        <v>0.000376378000881763</v>
      </c>
      <c r="AI50" s="38">
        <f>AH49*AI12*(1-'Inputs'!$E$29*AI35)</f>
        <v>0.00035960319596747386</v>
      </c>
      <c r="AJ50" s="38">
        <f>AI49*AJ12*(1-'Inputs'!$E$29*AJ35)</f>
        <v>0.00034347306644058823</v>
      </c>
      <c r="AK50" s="38">
        <f>AJ49*AK12*(1-'Inputs'!$E$29*AK35)</f>
        <v>0.0003306746910466179</v>
      </c>
      <c r="AL50" s="38">
        <f>AK49*AL12*(1-'Inputs'!$E$29*AL35)</f>
        <v>0.00031832449654418986</v>
      </c>
      <c r="AM50" s="38">
        <f>AL49*AM12*(1-'Inputs'!$E$29*AM35)</f>
        <v>0.00030640713381371436</v>
      </c>
      <c r="AN50" s="38">
        <f>AM49*AN12*(1-'Inputs'!$E$29*AN35)</f>
        <v>0.000294907803051383</v>
      </c>
      <c r="AO50" s="38">
        <f>AN49*AO12*(1-'Inputs'!$E$29*AO35)</f>
        <v>0.0005785388072249739</v>
      </c>
      <c r="AP50" s="38">
        <f>AO49*AP12*(1-'Inputs'!$E$29*AP35)</f>
        <v>0.0003011744560133553</v>
      </c>
      <c r="AQ50" s="38">
        <f>AP49*AQ12*(1-'Inputs'!$E$29*AQ35)</f>
        <v>0.0002899542930872446</v>
      </c>
    </row>
    <row r="51" ht="28" customHeight="1">
      <c r="A51" s="2" t="str">
        <v>DE.U.PLUS.Y10</v>
      </c>
      <c r="B51" s="6" t="str">
        <v>Germany: not yet identity-checked: Plus annual, plan month 11</v>
      </c>
      <c r="C51" s="2" t="str">
        <v>count</v>
      </c>
      <c r="D51" s="2" t="str">
        <v>NA</v>
      </c>
      <c r="E51" s="2"/>
      <c r="F51" s="6" t="str"/>
      <c r="G51" s="2"/>
      <c r="H51" s="38">
        <f>0*H12*(1-'Inputs'!$E$29*H35)</f>
        <v>0.0</v>
      </c>
      <c r="I51" s="38">
        <f>H50*I12*(1-'Inputs'!$E$29*I35)</f>
        <v>0.0</v>
      </c>
      <c r="J51" s="38">
        <f>I50*J12*(1-'Inputs'!$E$29*J35)</f>
        <v>0.0</v>
      </c>
      <c r="K51" s="38">
        <f>J50*K12*(1-'Inputs'!$E$29*K35)</f>
        <v>0.0</v>
      </c>
      <c r="L51" s="38">
        <f>K50*L12*(1-'Inputs'!$E$29*L35)</f>
        <v>0.0</v>
      </c>
      <c r="M51" s="38">
        <f>L50*M12*(1-'Inputs'!$E$29*M35)</f>
        <v>0.0</v>
      </c>
      <c r="N51" s="38">
        <f>M50*N12*(1-'Inputs'!$E$29*N35)</f>
        <v>0.0</v>
      </c>
      <c r="O51" s="38">
        <f>N50*O12*(1-'Inputs'!$E$29*O35)</f>
        <v>0.0</v>
      </c>
      <c r="P51" s="38">
        <f>O50*P12*(1-'Inputs'!$E$29*P35)</f>
        <v>0.0</v>
      </c>
      <c r="Q51" s="38">
        <f>P50*Q12*(1-'Inputs'!$E$29*Q35)</f>
        <v>0.0</v>
      </c>
      <c r="R51" s="38">
        <f>Q50*R12*(1-'Inputs'!$E$29*R35)</f>
        <v>0.00558589833704987</v>
      </c>
      <c r="S51" s="38">
        <f>R50*S12*(1-'Inputs'!$E$29*S35)</f>
        <v>0.0004878694208114426</v>
      </c>
      <c r="T51" s="38">
        <f>S50*T12*(1-'Inputs'!$E$29*T35)</f>
        <v>0.00046164956387096306</v>
      </c>
      <c r="U51" s="38">
        <f>T50*U12*(1-'Inputs'!$E$29*U35)</f>
        <v>0.0004458664993916149</v>
      </c>
      <c r="V51" s="38">
        <f>U50*V12*(1-'Inputs'!$E$29*V35)</f>
        <v>0.0004306116951390074</v>
      </c>
      <c r="W51" s="38">
        <f>V50*W12*(1-'Inputs'!$E$29*W35)</f>
        <v>0.0004152886826083112</v>
      </c>
      <c r="X51" s="38">
        <f>W50*X12*(1-'Inputs'!$E$29*X35)</f>
        <v>0.00040049870053384686</v>
      </c>
      <c r="Y51" s="38">
        <f>X50*Y12*(1-'Inputs'!$E$29*Y35)</f>
        <v>0.0003862226815311556</v>
      </c>
      <c r="Z51" s="38">
        <f>Y50*Z12*(1-'Inputs'!$E$29*Z35)</f>
        <v>0.0003724423497887518</v>
      </c>
      <c r="AA51" s="38">
        <f>Z50*AA12*(1-'Inputs'!$E$29*AA35)</f>
        <v>0.0003591401746525678</v>
      </c>
      <c r="AB51" s="38">
        <f>AA50*AB12*(1-'Inputs'!$E$29*AB35)</f>
        <v>0.0003462993282569292</v>
      </c>
      <c r="AC51" s="38">
        <f>AB50*AC12*(1-'Inputs'!$E$29*AC35)</f>
        <v>0.00033390364676056696</v>
      </c>
      <c r="AD51" s="38">
        <f>AC50*AD12*(1-'Inputs'!$E$29*AD35)</f>
        <v>0.0015939099439006477</v>
      </c>
      <c r="AE51" s="38">
        <f>AD50*AE12*(1-'Inputs'!$E$29*AE35)</f>
        <v>0.0004277454735190617</v>
      </c>
      <c r="AF51" s="38">
        <f>AE50*AF12*(1-'Inputs'!$E$29*AF35)</f>
        <v>0.0004128582330286706</v>
      </c>
      <c r="AG51" s="38">
        <f>AF50*AG12*(1-'Inputs'!$E$29*AG35)</f>
        <v>0.0003948212292548588</v>
      </c>
      <c r="AH51" s="38">
        <f>AG50*AH12*(1-'Inputs'!$E$29*AH35)</f>
        <v>0.0003774681449769174</v>
      </c>
      <c r="AI51" s="38">
        <f>AH50*AI12*(1-'Inputs'!$E$29*AI35)</f>
        <v>0.0003606415068793789</v>
      </c>
      <c r="AJ51" s="38">
        <f>AI50*AJ12*(1-'Inputs'!$E$29*AJ35)</f>
        <v>0.00034446200876884337</v>
      </c>
      <c r="AK51" s="38">
        <f>AJ50*AK12*(1-'Inputs'!$E$29*AK35)</f>
        <v>0.00033162436082068153</v>
      </c>
      <c r="AL51" s="38">
        <f>AK50*AL12*(1-'Inputs'!$E$29*AL35)</f>
        <v>0.0003192365992743497</v>
      </c>
      <c r="AM51" s="38">
        <f>AL50*AM12*(1-'Inputs'!$E$29*AM35)</f>
        <v>0.0003072832743544535</v>
      </c>
      <c r="AN51" s="38">
        <f>AM50*AN12*(1-'Inputs'!$E$29*AN35)</f>
        <v>0.0002957494943767156</v>
      </c>
      <c r="AO51" s="38">
        <f>AN50*AO12*(1-'Inputs'!$E$29*AO35)</f>
        <v>0.0002846209007996751</v>
      </c>
      <c r="AP51" s="38">
        <f>AO50*AP12*(1-'Inputs'!$E$29*AP35)</f>
        <v>0.0005582998216479909</v>
      </c>
      <c r="AQ51" s="38">
        <f>AP50*AQ12*(1-'Inputs'!$E$29*AQ35)</f>
        <v>0.0002906073867377143</v>
      </c>
    </row>
    <row r="52" ht="28" customHeight="1">
      <c r="A52" s="2" t="str">
        <v>DE.U.PLUS.Y11</v>
      </c>
      <c r="B52" s="6" t="str">
        <v>Germany: not yet identity-checked: Plus annual, plan month 12</v>
      </c>
      <c r="C52" s="2" t="str">
        <v>count</v>
      </c>
      <c r="D52" s="2" t="str">
        <v>NA</v>
      </c>
      <c r="E52" s="2"/>
      <c r="F52" s="6" t="str"/>
      <c r="G52" s="2"/>
      <c r="H52" s="38">
        <f>0*H12*(1-'Inputs'!$E$29*H35)</f>
        <v>0.0</v>
      </c>
      <c r="I52" s="38">
        <f>H51*I12*(1-'Inputs'!$E$29*I35)</f>
        <v>0.0</v>
      </c>
      <c r="J52" s="38">
        <f>I51*J12*(1-'Inputs'!$E$29*J35)</f>
        <v>0.0</v>
      </c>
      <c r="K52" s="38">
        <f>J51*K12*(1-'Inputs'!$E$29*K35)</f>
        <v>0.0</v>
      </c>
      <c r="L52" s="38">
        <f>K51*L12*(1-'Inputs'!$E$29*L35)</f>
        <v>0.0</v>
      </c>
      <c r="M52" s="38">
        <f>L51*M12*(1-'Inputs'!$E$29*M35)</f>
        <v>0.0</v>
      </c>
      <c r="N52" s="38">
        <f>M51*N12*(1-'Inputs'!$E$29*N35)</f>
        <v>0.0</v>
      </c>
      <c r="O52" s="38">
        <f>N51*O12*(1-'Inputs'!$E$29*O35)</f>
        <v>0.0</v>
      </c>
      <c r="P52" s="38">
        <f>O51*P12*(1-'Inputs'!$E$29*P35)</f>
        <v>0.0</v>
      </c>
      <c r="Q52" s="38">
        <f>P51*Q12*(1-'Inputs'!$E$29*Q35)</f>
        <v>0.0</v>
      </c>
      <c r="R52" s="38">
        <f>Q51*R12*(1-'Inputs'!$E$29*R35)</f>
        <v>0.0</v>
      </c>
      <c r="S52" s="38">
        <f>R51*S12*(1-'Inputs'!$E$29*S35)</f>
        <v>0.005302928487080897</v>
      </c>
      <c r="T52" s="38">
        <f>S51*T12*(1-'Inputs'!$E$29*T35)</f>
        <v>0.0004628166667697739</v>
      </c>
      <c r="U52" s="38">
        <f>T51*U12*(1-'Inputs'!$E$29*U35)</f>
        <v>0.0004469825725188127</v>
      </c>
      <c r="V52" s="38">
        <f>U51*V12*(1-'Inputs'!$E$29*V35)</f>
        <v>0.0004316798380473363</v>
      </c>
      <c r="W52" s="38">
        <f>V51*W12*(1-'Inputs'!$E$29*W35)</f>
        <v>0.00041688973795235947</v>
      </c>
      <c r="X52" s="38">
        <f>W51*X12*(1-'Inputs'!$E$29*X35)</f>
        <v>0.00040203478848251404</v>
      </c>
      <c r="Y52" s="38">
        <f>X51*Y12*(1-'Inputs'!$E$29*Y35)</f>
        <v>0.00038769704564178283</v>
      </c>
      <c r="Z52" s="38">
        <f>Y51*Z12*(1-'Inputs'!$E$29*Z35)</f>
        <v>0.0003738579985612733</v>
      </c>
      <c r="AA52" s="38">
        <f>Z51*AA12*(1-'Inputs'!$E$29*AA35)</f>
        <v>0.00036049990487704733</v>
      </c>
      <c r="AB52" s="38">
        <f>AA51*AB12*(1-'Inputs'!$E$29*AB35)</f>
        <v>0.000347605745685624</v>
      </c>
      <c r="AC52" s="38">
        <f>AB51*AC12*(1-'Inputs'!$E$29*AC35)</f>
        <v>0.0003351591844251346</v>
      </c>
      <c r="AD52" s="38">
        <f>AC51*AD12*(1-'Inputs'!$E$29*AD35)</f>
        <v>0.00032314452925383757</v>
      </c>
      <c r="AE52" s="38">
        <f>AD51*AE12*(1-'Inputs'!$E$29*AE35)</f>
        <v>0.001542464716233705</v>
      </c>
      <c r="AF52" s="38">
        <f>AE51*AF12*(1-'Inputs'!$E$29*AF35)</f>
        <v>0.00041391610858573856</v>
      </c>
      <c r="AG52" s="38">
        <f>AF51*AG12*(1-'Inputs'!$E$29*AG35)</f>
        <v>0.0003958278309162379</v>
      </c>
      <c r="AH52" s="38">
        <f>AG51*AH12*(1-'Inputs'!$E$29*AH35)</f>
        <v>0.0003784261104129197</v>
      </c>
      <c r="AI52" s="38">
        <f>AH51*AI12*(1-'Inputs'!$E$29*AI35)</f>
        <v>0.00036168607167400316</v>
      </c>
      <c r="AJ52" s="38">
        <f>AI51*AJ12*(1-'Inputs'!$E$29*AJ35)</f>
        <v>0.0003454566013265629</v>
      </c>
      <c r="AK52" s="38">
        <f>AJ51*AK12*(1-'Inputs'!$E$29*AK35)</f>
        <v>0.0003325791878494636</v>
      </c>
      <c r="AL52" s="38">
        <f>AK51*AL12*(1-'Inputs'!$E$29*AL35)</f>
        <v>0.00032015341981524485</v>
      </c>
      <c r="AM52" s="38">
        <f>AL51*AM12*(1-'Inputs'!$E$29*AM35)</f>
        <v>0.0003081637404087907</v>
      </c>
      <c r="AN52" s="38">
        <f>AM51*AN12*(1-'Inputs'!$E$29*AN35)</f>
        <v>0.0002965951604638638</v>
      </c>
      <c r="AO52" s="38">
        <f>AN51*AO12*(1-'Inputs'!$E$29*AO35)</f>
        <v>0.0002854332324529332</v>
      </c>
      <c r="AP52" s="38">
        <f>AO51*AP12*(1-'Inputs'!$E$29*AP35)</f>
        <v>0.0002746640262836455</v>
      </c>
      <c r="AQ52" s="38">
        <f>AP51*AQ12*(1-'Inputs'!$E$29*AQ35)</f>
        <v>0.0005387111985953415</v>
      </c>
    </row>
    <row r="53" ht="28" customHeight="1">
      <c r="A53" s="2" t="str">
        <v>DE.U.PRO.Y0</v>
      </c>
      <c r="B53" s="6" t="str">
        <v>Germany: not yet identity-checked: Pro annual, plan month 1</v>
      </c>
      <c r="C53" s="2" t="str">
        <v>count</v>
      </c>
      <c r="D53" s="2" t="str">
        <v>NA</v>
      </c>
      <c r="E53" s="2"/>
      <c r="F53" s="6" t="str"/>
      <c r="G53" s="2"/>
      <c r="H53" s="38">
        <f>(H38*'Inputs'!$E$19*'Inputs'!$E$22+0*H12*'Inputs'!$E$24)*(1-'Inputs'!$E$29*H35)* (1-H35)</f>
        <v>0.006</v>
      </c>
      <c r="I53" s="38">
        <f>(I38*'Inputs'!$E$19*'Inputs'!$E$22+H64*I12*'Inputs'!$E$24)*(1-'Inputs'!$E$29*I35)* (1-I35)</f>
        <v>0.0003864</v>
      </c>
      <c r="J53" s="38">
        <f>(J38*'Inputs'!$E$19*'Inputs'!$E$22+I64*J12*'Inputs'!$E$24)*(1-'Inputs'!$E$29*J35)* (1-J35)</f>
        <v>0.0003303648</v>
      </c>
      <c r="K53" s="38">
        <f>(K38*'Inputs'!$E$19*'Inputs'!$E$22+J64*K12*'Inputs'!$E$24)*(1-'Inputs'!$E$29*K35)* (1-K35)</f>
        <v>0.0</v>
      </c>
      <c r="L53" s="38">
        <f>(L38*'Inputs'!$E$19*'Inputs'!$E$22+K64*L12*'Inputs'!$E$24)*(1-'Inputs'!$E$29*L35)* (1-L35)</f>
        <v>0.0</v>
      </c>
      <c r="M53" s="38">
        <f>(M38*'Inputs'!$E$19*'Inputs'!$E$22+L64*M12*'Inputs'!$E$24)*(1-'Inputs'!$E$29*M35)* (1-M35)</f>
        <v>0.0</v>
      </c>
      <c r="N53" s="38">
        <f>(N38*'Inputs'!$E$19*'Inputs'!$E$22+M64*N12*'Inputs'!$E$24)*(1-'Inputs'!$E$29*N35)* (1-N35)</f>
        <v>0.0</v>
      </c>
      <c r="O53" s="38">
        <f>(O38*'Inputs'!$E$19*'Inputs'!$E$22+N64*O12*'Inputs'!$E$24)*(1-'Inputs'!$E$29*O35)* (1-O35)</f>
        <v>0.0</v>
      </c>
      <c r="P53" s="38">
        <f>(P38*'Inputs'!$E$19*'Inputs'!$E$22+O64*P12*'Inputs'!$E$24)*(1-'Inputs'!$E$29*P35)* (1-P35)</f>
        <v>0.0</v>
      </c>
      <c r="Q53" s="38">
        <f>(Q38*'Inputs'!$E$19*'Inputs'!$E$22+P64*Q12*'Inputs'!$E$24)*(1-'Inputs'!$E$29*Q35)* (1-Q35)</f>
        <v>0.0</v>
      </c>
      <c r="R53" s="38">
        <f>(R38*'Inputs'!$E$19*'Inputs'!$E$22+Q64*R12*'Inputs'!$E$24)*(1-'Inputs'!$E$29*R35)* (1-R35)</f>
        <v>0.0</v>
      </c>
      <c r="S53" s="38">
        <f>(S38*'Inputs'!$E$19*'Inputs'!$E$22+R64*S12*'Inputs'!$E$24)*(1-'Inputs'!$E$29*S35)* (1-S35)</f>
        <v>0.0</v>
      </c>
      <c r="T53" s="38">
        <f>(T38*'Inputs'!$E$19*'Inputs'!$E$22+S64*T12*'Inputs'!$E$24)*(1-'Inputs'!$E$29*T35)* (1-T35)</f>
        <v>0.0</v>
      </c>
      <c r="U53" s="38">
        <f>(U38*'Inputs'!$E$19*'Inputs'!$E$22+T64*U12*'Inputs'!$E$24)*(1-'Inputs'!$E$29*U35)* (1-U35)</f>
        <v>0.0</v>
      </c>
      <c r="V53" s="38">
        <f>(V38*'Inputs'!$E$19*'Inputs'!$E$22+U64*V12*'Inputs'!$E$24)*(1-'Inputs'!$E$29*V35)* (1-V35)</f>
        <v>0.0</v>
      </c>
      <c r="W53" s="38">
        <f>(W38*'Inputs'!$E$19*'Inputs'!$E$22+V64*W12*'Inputs'!$E$24)*(1-'Inputs'!$E$29*W35)* (1-W35)</f>
        <v>0.0</v>
      </c>
      <c r="X53" s="38">
        <f>(X38*'Inputs'!$E$19*'Inputs'!$E$22+W64*X12*'Inputs'!$E$24)*(1-'Inputs'!$E$29*X35)* (1-X35)</f>
        <v>0.0</v>
      </c>
      <c r="Y53" s="38">
        <f>(Y38*'Inputs'!$E$19*'Inputs'!$E$22+X64*Y12*'Inputs'!$E$24)*(1-'Inputs'!$E$29*Y35)* (1-Y35)</f>
        <v>0.0</v>
      </c>
      <c r="Z53" s="38">
        <f>(Z38*'Inputs'!$E$19*'Inputs'!$E$22+Y64*Z12*'Inputs'!$E$24)*(1-'Inputs'!$E$29*Z35)* (1-Z35)</f>
        <v>0.0</v>
      </c>
      <c r="AA53" s="38">
        <f>(AA38*'Inputs'!$E$19*'Inputs'!$E$22+Z64*AA12*'Inputs'!$E$24)*(1-'Inputs'!$E$29*AA35)* (1-AA35)</f>
        <v>0.0</v>
      </c>
      <c r="AB53" s="38">
        <f>(AB38*'Inputs'!$E$19*'Inputs'!$E$22+AA64*AB12*'Inputs'!$E$24)*(1-'Inputs'!$E$29*AB35)* (1-AB35)</f>
        <v>0.0</v>
      </c>
      <c r="AC53" s="38">
        <f>(AC38*'Inputs'!$E$19*'Inputs'!$E$22+AB64*AC12*'Inputs'!$E$24)*(1-'Inputs'!$E$29*AC35)* (1-AC35)</f>
        <v>0.0</v>
      </c>
      <c r="AD53" s="38">
        <f>(AD38*'Inputs'!$E$19*'Inputs'!$E$22+AC64*AD12*'Inputs'!$E$24)*(1-'Inputs'!$E$29*AD35)* (1-AD35)</f>
        <v>0.0</v>
      </c>
      <c r="AE53" s="38">
        <f>(AE38*'Inputs'!$E$19*'Inputs'!$E$22+AD64*AE12*'Inputs'!$E$24)*(1-'Inputs'!$E$29*AE35)* (1-AE35)</f>
        <v>0.0</v>
      </c>
      <c r="AF53" s="38">
        <f>(AF38*'Inputs'!$E$19*'Inputs'!$E$22+AE64*AF12*'Inputs'!$E$24)*(1-'Inputs'!$E$29*AF35)* (1-AF35)</f>
        <v>0.0</v>
      </c>
      <c r="AG53" s="38">
        <f>(AG38*'Inputs'!$E$19*'Inputs'!$E$22+AF64*AG12*'Inputs'!$E$24)*(1-'Inputs'!$E$29*AG35)* (1-AG35)</f>
        <v>0.0</v>
      </c>
      <c r="AH53" s="38">
        <f>(AH38*'Inputs'!$E$19*'Inputs'!$E$22+AG64*AH12*'Inputs'!$E$24)*(1-'Inputs'!$E$29*AH35)* (1-AH35)</f>
        <v>0.0</v>
      </c>
      <c r="AI53" s="38">
        <f>(AI38*'Inputs'!$E$19*'Inputs'!$E$22+AH64*AI12*'Inputs'!$E$24)*(1-'Inputs'!$E$29*AI35)* (1-AI35)</f>
        <v>0.0</v>
      </c>
      <c r="AJ53" s="38">
        <f>(AJ38*'Inputs'!$E$19*'Inputs'!$E$22+AI64*AJ12*'Inputs'!$E$24)*(1-'Inputs'!$E$29*AJ35)* (1-AJ35)</f>
        <v>0.0</v>
      </c>
      <c r="AK53" s="38">
        <f>(AK38*'Inputs'!$E$19*'Inputs'!$E$22+AJ64*AK12*'Inputs'!$E$24)*(1-'Inputs'!$E$29*AK35)* (1-AK35)</f>
        <v>0.0</v>
      </c>
      <c r="AL53" s="38">
        <f>(AL38*'Inputs'!$E$19*'Inputs'!$E$22+AK64*AL12*'Inputs'!$E$24)*(1-'Inputs'!$E$29*AL35)* (1-AL35)</f>
        <v>0.0</v>
      </c>
      <c r="AM53" s="38">
        <f>(AM38*'Inputs'!$E$19*'Inputs'!$E$22+AL64*AM12*'Inputs'!$E$24)*(1-'Inputs'!$E$29*AM35)* (1-AM35)</f>
        <v>0.0</v>
      </c>
      <c r="AN53" s="38">
        <f>(AN38*'Inputs'!$E$19*'Inputs'!$E$22+AM64*AN12*'Inputs'!$E$24)*(1-'Inputs'!$E$29*AN35)* (1-AN35)</f>
        <v>0.0</v>
      </c>
      <c r="AO53" s="38">
        <f>(AO38*'Inputs'!$E$19*'Inputs'!$E$22+AN64*AO12*'Inputs'!$E$24)*(1-'Inputs'!$E$29*AO35)* (1-AO35)</f>
        <v>0.0</v>
      </c>
      <c r="AP53" s="38">
        <f>(AP38*'Inputs'!$E$19*'Inputs'!$E$22+AO64*AP12*'Inputs'!$E$24)*(1-'Inputs'!$E$29*AP35)* (1-AP35)</f>
        <v>0.0</v>
      </c>
      <c r="AQ53" s="38">
        <f>(AQ38*'Inputs'!$E$19*'Inputs'!$E$22+AP64*AQ12*'Inputs'!$E$24)*(1-'Inputs'!$E$29*AQ35)* (1-AQ35)</f>
        <v>0.0</v>
      </c>
    </row>
    <row r="54" ht="28" customHeight="1">
      <c r="A54" s="2" t="str">
        <v>DE.U.PRO.Y1</v>
      </c>
      <c r="B54" s="6" t="str">
        <v>Germany: not yet identity-checked: Pro annual, plan month 2</v>
      </c>
      <c r="C54" s="2" t="str">
        <v>count</v>
      </c>
      <c r="D54" s="2" t="str">
        <v>NA</v>
      </c>
      <c r="E54" s="2"/>
      <c r="F54" s="6" t="str"/>
      <c r="G54" s="2"/>
      <c r="H54" s="38">
        <f>0*H12*(1-'Inputs'!$E$29*H35)* (1-H35)</f>
        <v>0.0</v>
      </c>
      <c r="I54" s="38">
        <f>H53*I12*(1-'Inputs'!$E$29*I35)* (1-I35)</f>
        <v>0.0042</v>
      </c>
      <c r="J54" s="38">
        <f>I53*J12*(1-'Inputs'!$E$29*J35)* (1-J35)</f>
        <v>0.00033120000000000003</v>
      </c>
      <c r="K54" s="38">
        <f>J53*K12*(1-'Inputs'!$E$29*K35)* (1-K35)</f>
        <v>0.0</v>
      </c>
      <c r="L54" s="38">
        <f>K53*L12*(1-'Inputs'!$E$29*L35)* (1-L35)</f>
        <v>0.0</v>
      </c>
      <c r="M54" s="38">
        <f>L53*M12*(1-'Inputs'!$E$29*M35)* (1-M35)</f>
        <v>0.0</v>
      </c>
      <c r="N54" s="38">
        <f>M53*N12*(1-'Inputs'!$E$29*N35)* (1-N35)</f>
        <v>0.0</v>
      </c>
      <c r="O54" s="38">
        <f>N53*O12*(1-'Inputs'!$E$29*O35)* (1-O35)</f>
        <v>0.0</v>
      </c>
      <c r="P54" s="38">
        <f>O53*P12*(1-'Inputs'!$E$29*P35)* (1-P35)</f>
        <v>0.0</v>
      </c>
      <c r="Q54" s="38">
        <f>P53*Q12*(1-'Inputs'!$E$29*Q35)* (1-Q35)</f>
        <v>0.0</v>
      </c>
      <c r="R54" s="38">
        <f>Q53*R12*(1-'Inputs'!$E$29*R35)* (1-R35)</f>
        <v>0.0</v>
      </c>
      <c r="S54" s="38">
        <f>R53*S12*(1-'Inputs'!$E$29*S35)* (1-S35)</f>
        <v>0.0</v>
      </c>
      <c r="T54" s="38">
        <f>S53*T12*(1-'Inputs'!$E$29*T35)* (1-T35)</f>
        <v>0.0</v>
      </c>
      <c r="U54" s="38">
        <f>T53*U12*(1-'Inputs'!$E$29*U35)* (1-U35)</f>
        <v>0.0</v>
      </c>
      <c r="V54" s="38">
        <f>U53*V12*(1-'Inputs'!$E$29*V35)* (1-V35)</f>
        <v>0.0</v>
      </c>
      <c r="W54" s="38">
        <f>V53*W12*(1-'Inputs'!$E$29*W35)* (1-W35)</f>
        <v>0.0</v>
      </c>
      <c r="X54" s="38">
        <f>W53*X12*(1-'Inputs'!$E$29*X35)* (1-X35)</f>
        <v>0.0</v>
      </c>
      <c r="Y54" s="38">
        <f>X53*Y12*(1-'Inputs'!$E$29*Y35)* (1-Y35)</f>
        <v>0.0</v>
      </c>
      <c r="Z54" s="38">
        <f>Y53*Z12*(1-'Inputs'!$E$29*Z35)* (1-Z35)</f>
        <v>0.0</v>
      </c>
      <c r="AA54" s="38">
        <f>Z53*AA12*(1-'Inputs'!$E$29*AA35)* (1-AA35)</f>
        <v>0.0</v>
      </c>
      <c r="AB54" s="38">
        <f>AA53*AB12*(1-'Inputs'!$E$29*AB35)* (1-AB35)</f>
        <v>0.0</v>
      </c>
      <c r="AC54" s="38">
        <f>AB53*AC12*(1-'Inputs'!$E$29*AC35)* (1-AC35)</f>
        <v>0.0</v>
      </c>
      <c r="AD54" s="38">
        <f>AC53*AD12*(1-'Inputs'!$E$29*AD35)* (1-AD35)</f>
        <v>0.0</v>
      </c>
      <c r="AE54" s="38">
        <f>AD53*AE12*(1-'Inputs'!$E$29*AE35)* (1-AE35)</f>
        <v>0.0</v>
      </c>
      <c r="AF54" s="38">
        <f>AE53*AF12*(1-'Inputs'!$E$29*AF35)* (1-AF35)</f>
        <v>0.0</v>
      </c>
      <c r="AG54" s="38">
        <f>AF53*AG12*(1-'Inputs'!$E$29*AG35)* (1-AG35)</f>
        <v>0.0</v>
      </c>
      <c r="AH54" s="38">
        <f>AG53*AH12*(1-'Inputs'!$E$29*AH35)* (1-AH35)</f>
        <v>0.0</v>
      </c>
      <c r="AI54" s="38">
        <f>AH53*AI12*(1-'Inputs'!$E$29*AI35)* (1-AI35)</f>
        <v>0.0</v>
      </c>
      <c r="AJ54" s="38">
        <f>AI53*AJ12*(1-'Inputs'!$E$29*AJ35)* (1-AJ35)</f>
        <v>0.0</v>
      </c>
      <c r="AK54" s="38">
        <f>AJ53*AK12*(1-'Inputs'!$E$29*AK35)* (1-AK35)</f>
        <v>0.0</v>
      </c>
      <c r="AL54" s="38">
        <f>AK53*AL12*(1-'Inputs'!$E$29*AL35)* (1-AL35)</f>
        <v>0.0</v>
      </c>
      <c r="AM54" s="38">
        <f>AL53*AM12*(1-'Inputs'!$E$29*AM35)* (1-AM35)</f>
        <v>0.0</v>
      </c>
      <c r="AN54" s="38">
        <f>AM53*AN12*(1-'Inputs'!$E$29*AN35)* (1-AN35)</f>
        <v>0.0</v>
      </c>
      <c r="AO54" s="38">
        <f>AN53*AO12*(1-'Inputs'!$E$29*AO35)* (1-AO35)</f>
        <v>0.0</v>
      </c>
      <c r="AP54" s="38">
        <f>AO53*AP12*(1-'Inputs'!$E$29*AP35)* (1-AP35)</f>
        <v>0.0</v>
      </c>
      <c r="AQ54" s="38">
        <f>AP53*AQ12*(1-'Inputs'!$E$29*AQ35)* (1-AQ35)</f>
        <v>0.0</v>
      </c>
    </row>
    <row r="55" ht="28" customHeight="1">
      <c r="A55" s="2" t="str">
        <v>DE.U.PRO.Y2</v>
      </c>
      <c r="B55" s="6" t="str">
        <v>Germany: not yet identity-checked: Pro annual, plan month 3</v>
      </c>
      <c r="C55" s="2" t="str">
        <v>count</v>
      </c>
      <c r="D55" s="2" t="str">
        <v>NA</v>
      </c>
      <c r="E55" s="2"/>
      <c r="F55" s="6" t="str"/>
      <c r="G55" s="2"/>
      <c r="H55" s="38">
        <f>0*H12*(1-'Inputs'!$E$29*H35)* (1-H35)</f>
        <v>0.0</v>
      </c>
      <c r="I55" s="38">
        <f>H54*I12*(1-'Inputs'!$E$29*I35)* (1-I35)</f>
        <v>0.0</v>
      </c>
      <c r="J55" s="38">
        <f>I54*J12*(1-'Inputs'!$E$29*J35)* (1-J35)</f>
        <v>0.0036</v>
      </c>
      <c r="K55" s="38">
        <f>J54*K12*(1-'Inputs'!$E$29*K35)* (1-K35)</f>
        <v>0.0</v>
      </c>
      <c r="L55" s="38">
        <f>K54*L12*(1-'Inputs'!$E$29*L35)* (1-L35)</f>
        <v>0.0</v>
      </c>
      <c r="M55" s="38">
        <f>L54*M12*(1-'Inputs'!$E$29*M35)* (1-M35)</f>
        <v>0.0</v>
      </c>
      <c r="N55" s="38">
        <f>M54*N12*(1-'Inputs'!$E$29*N35)* (1-N35)</f>
        <v>0.0</v>
      </c>
      <c r="O55" s="38">
        <f>N54*O12*(1-'Inputs'!$E$29*O35)* (1-O35)</f>
        <v>0.0</v>
      </c>
      <c r="P55" s="38">
        <f>O54*P12*(1-'Inputs'!$E$29*P35)* (1-P35)</f>
        <v>0.0</v>
      </c>
      <c r="Q55" s="38">
        <f>P54*Q12*(1-'Inputs'!$E$29*Q35)* (1-Q35)</f>
        <v>0.0</v>
      </c>
      <c r="R55" s="38">
        <f>Q54*R12*(1-'Inputs'!$E$29*R35)* (1-R35)</f>
        <v>0.0</v>
      </c>
      <c r="S55" s="38">
        <f>R54*S12*(1-'Inputs'!$E$29*S35)* (1-S35)</f>
        <v>0.0</v>
      </c>
      <c r="T55" s="38">
        <f>S54*T12*(1-'Inputs'!$E$29*T35)* (1-T35)</f>
        <v>0.0</v>
      </c>
      <c r="U55" s="38">
        <f>T54*U12*(1-'Inputs'!$E$29*U35)* (1-U35)</f>
        <v>0.0</v>
      </c>
      <c r="V55" s="38">
        <f>U54*V12*(1-'Inputs'!$E$29*V35)* (1-V35)</f>
        <v>0.0</v>
      </c>
      <c r="W55" s="38">
        <f>V54*W12*(1-'Inputs'!$E$29*W35)* (1-W35)</f>
        <v>0.0</v>
      </c>
      <c r="X55" s="38">
        <f>W54*X12*(1-'Inputs'!$E$29*X35)* (1-X35)</f>
        <v>0.0</v>
      </c>
      <c r="Y55" s="38">
        <f>X54*Y12*(1-'Inputs'!$E$29*Y35)* (1-Y35)</f>
        <v>0.0</v>
      </c>
      <c r="Z55" s="38">
        <f>Y54*Z12*(1-'Inputs'!$E$29*Z35)* (1-Z35)</f>
        <v>0.0</v>
      </c>
      <c r="AA55" s="38">
        <f>Z54*AA12*(1-'Inputs'!$E$29*AA35)* (1-AA35)</f>
        <v>0.0</v>
      </c>
      <c r="AB55" s="38">
        <f>AA54*AB12*(1-'Inputs'!$E$29*AB35)* (1-AB35)</f>
        <v>0.0</v>
      </c>
      <c r="AC55" s="38">
        <f>AB54*AC12*(1-'Inputs'!$E$29*AC35)* (1-AC35)</f>
        <v>0.0</v>
      </c>
      <c r="AD55" s="38">
        <f>AC54*AD12*(1-'Inputs'!$E$29*AD35)* (1-AD35)</f>
        <v>0.0</v>
      </c>
      <c r="AE55" s="38">
        <f>AD54*AE12*(1-'Inputs'!$E$29*AE35)* (1-AE35)</f>
        <v>0.0</v>
      </c>
      <c r="AF55" s="38">
        <f>AE54*AF12*(1-'Inputs'!$E$29*AF35)* (1-AF35)</f>
        <v>0.0</v>
      </c>
      <c r="AG55" s="38">
        <f>AF54*AG12*(1-'Inputs'!$E$29*AG35)* (1-AG35)</f>
        <v>0.0</v>
      </c>
      <c r="AH55" s="38">
        <f>AG54*AH12*(1-'Inputs'!$E$29*AH35)* (1-AH35)</f>
        <v>0.0</v>
      </c>
      <c r="AI55" s="38">
        <f>AH54*AI12*(1-'Inputs'!$E$29*AI35)* (1-AI35)</f>
        <v>0.0</v>
      </c>
      <c r="AJ55" s="38">
        <f>AI54*AJ12*(1-'Inputs'!$E$29*AJ35)* (1-AJ35)</f>
        <v>0.0</v>
      </c>
      <c r="AK55" s="38">
        <f>AJ54*AK12*(1-'Inputs'!$E$29*AK35)* (1-AK35)</f>
        <v>0.0</v>
      </c>
      <c r="AL55" s="38">
        <f>AK54*AL12*(1-'Inputs'!$E$29*AL35)* (1-AL35)</f>
        <v>0.0</v>
      </c>
      <c r="AM55" s="38">
        <f>AL54*AM12*(1-'Inputs'!$E$29*AM35)* (1-AM35)</f>
        <v>0.0</v>
      </c>
      <c r="AN55" s="38">
        <f>AM54*AN12*(1-'Inputs'!$E$29*AN35)* (1-AN35)</f>
        <v>0.0</v>
      </c>
      <c r="AO55" s="38">
        <f>AN54*AO12*(1-'Inputs'!$E$29*AO35)* (1-AO35)</f>
        <v>0.0</v>
      </c>
      <c r="AP55" s="38">
        <f>AO54*AP12*(1-'Inputs'!$E$29*AP35)* (1-AP35)</f>
        <v>0.0</v>
      </c>
      <c r="AQ55" s="38">
        <f>AP54*AQ12*(1-'Inputs'!$E$29*AQ35)* (1-AQ35)</f>
        <v>0.0</v>
      </c>
    </row>
    <row r="56" ht="28" customHeight="1">
      <c r="A56" s="2" t="str">
        <v>DE.U.PRO.Y3</v>
      </c>
      <c r="B56" s="6" t="str">
        <v>Germany: not yet identity-checked: Pro annual, plan month 4</v>
      </c>
      <c r="C56" s="2" t="str">
        <v>count</v>
      </c>
      <c r="D56" s="2" t="str">
        <v>NA</v>
      </c>
      <c r="E56" s="2"/>
      <c r="F56" s="6" t="str"/>
      <c r="G56" s="2"/>
      <c r="H56" s="38">
        <f>0*H12*(1-'Inputs'!$E$29*H35)* (1-H35)</f>
        <v>0.0</v>
      </c>
      <c r="I56" s="38">
        <f>H55*I12*(1-'Inputs'!$E$29*I35)* (1-I35)</f>
        <v>0.0</v>
      </c>
      <c r="J56" s="38">
        <f>I55*J12*(1-'Inputs'!$E$29*J35)* (1-J35)</f>
        <v>0.0</v>
      </c>
      <c r="K56" s="38">
        <f>J55*K12*(1-'Inputs'!$E$29*K35)* (1-K35)</f>
        <v>0.0</v>
      </c>
      <c r="L56" s="38">
        <f>K55*L12*(1-'Inputs'!$E$29*L35)* (1-L35)</f>
        <v>0.0</v>
      </c>
      <c r="M56" s="38">
        <f>L55*M12*(1-'Inputs'!$E$29*M35)* (1-M35)</f>
        <v>0.0</v>
      </c>
      <c r="N56" s="38">
        <f>M55*N12*(1-'Inputs'!$E$29*N35)* (1-N35)</f>
        <v>0.0</v>
      </c>
      <c r="O56" s="38">
        <f>N55*O12*(1-'Inputs'!$E$29*O35)* (1-O35)</f>
        <v>0.0</v>
      </c>
      <c r="P56" s="38">
        <f>O55*P12*(1-'Inputs'!$E$29*P35)* (1-P35)</f>
        <v>0.0</v>
      </c>
      <c r="Q56" s="38">
        <f>P55*Q12*(1-'Inputs'!$E$29*Q35)* (1-Q35)</f>
        <v>0.0</v>
      </c>
      <c r="R56" s="38">
        <f>Q55*R12*(1-'Inputs'!$E$29*R35)* (1-R35)</f>
        <v>0.0</v>
      </c>
      <c r="S56" s="38">
        <f>R55*S12*(1-'Inputs'!$E$29*S35)* (1-S35)</f>
        <v>0.0</v>
      </c>
      <c r="T56" s="38">
        <f>S55*T12*(1-'Inputs'!$E$29*T35)* (1-T35)</f>
        <v>0.0</v>
      </c>
      <c r="U56" s="38">
        <f>T55*U12*(1-'Inputs'!$E$29*U35)* (1-U35)</f>
        <v>0.0</v>
      </c>
      <c r="V56" s="38">
        <f>U55*V12*(1-'Inputs'!$E$29*V35)* (1-V35)</f>
        <v>0.0</v>
      </c>
      <c r="W56" s="38">
        <f>V55*W12*(1-'Inputs'!$E$29*W35)* (1-W35)</f>
        <v>0.0</v>
      </c>
      <c r="X56" s="38">
        <f>W55*X12*(1-'Inputs'!$E$29*X35)* (1-X35)</f>
        <v>0.0</v>
      </c>
      <c r="Y56" s="38">
        <f>X55*Y12*(1-'Inputs'!$E$29*Y35)* (1-Y35)</f>
        <v>0.0</v>
      </c>
      <c r="Z56" s="38">
        <f>Y55*Z12*(1-'Inputs'!$E$29*Z35)* (1-Z35)</f>
        <v>0.0</v>
      </c>
      <c r="AA56" s="38">
        <f>Z55*AA12*(1-'Inputs'!$E$29*AA35)* (1-AA35)</f>
        <v>0.0</v>
      </c>
      <c r="AB56" s="38">
        <f>AA55*AB12*(1-'Inputs'!$E$29*AB35)* (1-AB35)</f>
        <v>0.0</v>
      </c>
      <c r="AC56" s="38">
        <f>AB55*AC12*(1-'Inputs'!$E$29*AC35)* (1-AC35)</f>
        <v>0.0</v>
      </c>
      <c r="AD56" s="38">
        <f>AC55*AD12*(1-'Inputs'!$E$29*AD35)* (1-AD35)</f>
        <v>0.0</v>
      </c>
      <c r="AE56" s="38">
        <f>AD55*AE12*(1-'Inputs'!$E$29*AE35)* (1-AE35)</f>
        <v>0.0</v>
      </c>
      <c r="AF56" s="38">
        <f>AE55*AF12*(1-'Inputs'!$E$29*AF35)* (1-AF35)</f>
        <v>0.0</v>
      </c>
      <c r="AG56" s="38">
        <f>AF55*AG12*(1-'Inputs'!$E$29*AG35)* (1-AG35)</f>
        <v>0.0</v>
      </c>
      <c r="AH56" s="38">
        <f>AG55*AH12*(1-'Inputs'!$E$29*AH35)* (1-AH35)</f>
        <v>0.0</v>
      </c>
      <c r="AI56" s="38">
        <f>AH55*AI12*(1-'Inputs'!$E$29*AI35)* (1-AI35)</f>
        <v>0.0</v>
      </c>
      <c r="AJ56" s="38">
        <f>AI55*AJ12*(1-'Inputs'!$E$29*AJ35)* (1-AJ35)</f>
        <v>0.0</v>
      </c>
      <c r="AK56" s="38">
        <f>AJ55*AK12*(1-'Inputs'!$E$29*AK35)* (1-AK35)</f>
        <v>0.0</v>
      </c>
      <c r="AL56" s="38">
        <f>AK55*AL12*(1-'Inputs'!$E$29*AL35)* (1-AL35)</f>
        <v>0.0</v>
      </c>
      <c r="AM56" s="38">
        <f>AL55*AM12*(1-'Inputs'!$E$29*AM35)* (1-AM35)</f>
        <v>0.0</v>
      </c>
      <c r="AN56" s="38">
        <f>AM55*AN12*(1-'Inputs'!$E$29*AN35)* (1-AN35)</f>
        <v>0.0</v>
      </c>
      <c r="AO56" s="38">
        <f>AN55*AO12*(1-'Inputs'!$E$29*AO35)* (1-AO35)</f>
        <v>0.0</v>
      </c>
      <c r="AP56" s="38">
        <f>AO55*AP12*(1-'Inputs'!$E$29*AP35)* (1-AP35)</f>
        <v>0.0</v>
      </c>
      <c r="AQ56" s="38">
        <f>AP55*AQ12*(1-'Inputs'!$E$29*AQ35)* (1-AQ35)</f>
        <v>0.0</v>
      </c>
    </row>
    <row r="57" ht="28" customHeight="1">
      <c r="A57" s="2" t="str">
        <v>DE.U.PRO.Y4</v>
      </c>
      <c r="B57" s="6" t="str">
        <v>Germany: not yet identity-checked: Pro annual, plan month 5</v>
      </c>
      <c r="C57" s="2" t="str">
        <v>count</v>
      </c>
      <c r="D57" s="2" t="str">
        <v>NA</v>
      </c>
      <c r="E57" s="2"/>
      <c r="F57" s="6" t="str"/>
      <c r="G57" s="2"/>
      <c r="H57" s="38">
        <f>0*H12*(1-'Inputs'!$E$29*H35)* (1-H35)</f>
        <v>0.0</v>
      </c>
      <c r="I57" s="38">
        <f>H56*I12*(1-'Inputs'!$E$29*I35)* (1-I35)</f>
        <v>0.0</v>
      </c>
      <c r="J57" s="38">
        <f>I56*J12*(1-'Inputs'!$E$29*J35)* (1-J35)</f>
        <v>0.0</v>
      </c>
      <c r="K57" s="38">
        <f>J56*K12*(1-'Inputs'!$E$29*K35)* (1-K35)</f>
        <v>0.0</v>
      </c>
      <c r="L57" s="38">
        <f>K56*L12*(1-'Inputs'!$E$29*L35)* (1-L35)</f>
        <v>0.0</v>
      </c>
      <c r="M57" s="38">
        <f>L56*M12*(1-'Inputs'!$E$29*M35)* (1-M35)</f>
        <v>0.0</v>
      </c>
      <c r="N57" s="38">
        <f>M56*N12*(1-'Inputs'!$E$29*N35)* (1-N35)</f>
        <v>0.0</v>
      </c>
      <c r="O57" s="38">
        <f>N56*O12*(1-'Inputs'!$E$29*O35)* (1-O35)</f>
        <v>0.0</v>
      </c>
      <c r="P57" s="38">
        <f>O56*P12*(1-'Inputs'!$E$29*P35)* (1-P35)</f>
        <v>0.0</v>
      </c>
      <c r="Q57" s="38">
        <f>P56*Q12*(1-'Inputs'!$E$29*Q35)* (1-Q35)</f>
        <v>0.0</v>
      </c>
      <c r="R57" s="38">
        <f>Q56*R12*(1-'Inputs'!$E$29*R35)* (1-R35)</f>
        <v>0.0</v>
      </c>
      <c r="S57" s="38">
        <f>R56*S12*(1-'Inputs'!$E$29*S35)* (1-S35)</f>
        <v>0.0</v>
      </c>
      <c r="T57" s="38">
        <f>S56*T12*(1-'Inputs'!$E$29*T35)* (1-T35)</f>
        <v>0.0</v>
      </c>
      <c r="U57" s="38">
        <f>T56*U12*(1-'Inputs'!$E$29*U35)* (1-U35)</f>
        <v>0.0</v>
      </c>
      <c r="V57" s="38">
        <f>U56*V12*(1-'Inputs'!$E$29*V35)* (1-V35)</f>
        <v>0.0</v>
      </c>
      <c r="W57" s="38">
        <f>V56*W12*(1-'Inputs'!$E$29*W35)* (1-W35)</f>
        <v>0.0</v>
      </c>
      <c r="X57" s="38">
        <f>W56*X12*(1-'Inputs'!$E$29*X35)* (1-X35)</f>
        <v>0.0</v>
      </c>
      <c r="Y57" s="38">
        <f>X56*Y12*(1-'Inputs'!$E$29*Y35)* (1-Y35)</f>
        <v>0.0</v>
      </c>
      <c r="Z57" s="38">
        <f>Y56*Z12*(1-'Inputs'!$E$29*Z35)* (1-Z35)</f>
        <v>0.0</v>
      </c>
      <c r="AA57" s="38">
        <f>Z56*AA12*(1-'Inputs'!$E$29*AA35)* (1-AA35)</f>
        <v>0.0</v>
      </c>
      <c r="AB57" s="38">
        <f>AA56*AB12*(1-'Inputs'!$E$29*AB35)* (1-AB35)</f>
        <v>0.0</v>
      </c>
      <c r="AC57" s="38">
        <f>AB56*AC12*(1-'Inputs'!$E$29*AC35)* (1-AC35)</f>
        <v>0.0</v>
      </c>
      <c r="AD57" s="38">
        <f>AC56*AD12*(1-'Inputs'!$E$29*AD35)* (1-AD35)</f>
        <v>0.0</v>
      </c>
      <c r="AE57" s="38">
        <f>AD56*AE12*(1-'Inputs'!$E$29*AE35)* (1-AE35)</f>
        <v>0.0</v>
      </c>
      <c r="AF57" s="38">
        <f>AE56*AF12*(1-'Inputs'!$E$29*AF35)* (1-AF35)</f>
        <v>0.0</v>
      </c>
      <c r="AG57" s="38">
        <f>AF56*AG12*(1-'Inputs'!$E$29*AG35)* (1-AG35)</f>
        <v>0.0</v>
      </c>
      <c r="AH57" s="38">
        <f>AG56*AH12*(1-'Inputs'!$E$29*AH35)* (1-AH35)</f>
        <v>0.0</v>
      </c>
      <c r="AI57" s="38">
        <f>AH56*AI12*(1-'Inputs'!$E$29*AI35)* (1-AI35)</f>
        <v>0.0</v>
      </c>
      <c r="AJ57" s="38">
        <f>AI56*AJ12*(1-'Inputs'!$E$29*AJ35)* (1-AJ35)</f>
        <v>0.0</v>
      </c>
      <c r="AK57" s="38">
        <f>AJ56*AK12*(1-'Inputs'!$E$29*AK35)* (1-AK35)</f>
        <v>0.0</v>
      </c>
      <c r="AL57" s="38">
        <f>AK56*AL12*(1-'Inputs'!$E$29*AL35)* (1-AL35)</f>
        <v>0.0</v>
      </c>
      <c r="AM57" s="38">
        <f>AL56*AM12*(1-'Inputs'!$E$29*AM35)* (1-AM35)</f>
        <v>0.0</v>
      </c>
      <c r="AN57" s="38">
        <f>AM56*AN12*(1-'Inputs'!$E$29*AN35)* (1-AN35)</f>
        <v>0.0</v>
      </c>
      <c r="AO57" s="38">
        <f>AN56*AO12*(1-'Inputs'!$E$29*AO35)* (1-AO35)</f>
        <v>0.0</v>
      </c>
      <c r="AP57" s="38">
        <f>AO56*AP12*(1-'Inputs'!$E$29*AP35)* (1-AP35)</f>
        <v>0.0</v>
      </c>
      <c r="AQ57" s="38">
        <f>AP56*AQ12*(1-'Inputs'!$E$29*AQ35)* (1-AQ35)</f>
        <v>0.0</v>
      </c>
    </row>
    <row r="58" ht="28" customHeight="1">
      <c r="A58" s="2" t="str">
        <v>DE.U.PRO.Y5</v>
      </c>
      <c r="B58" s="6" t="str">
        <v>Germany: not yet identity-checked: Pro annual, plan month 6</v>
      </c>
      <c r="C58" s="2" t="str">
        <v>count</v>
      </c>
      <c r="D58" s="2" t="str">
        <v>NA</v>
      </c>
      <c r="E58" s="2"/>
      <c r="F58" s="6" t="str"/>
      <c r="G58" s="2"/>
      <c r="H58" s="38">
        <f>0*H12*(1-'Inputs'!$E$29*H35)* (1-H35)</f>
        <v>0.0</v>
      </c>
      <c r="I58" s="38">
        <f>H57*I12*(1-'Inputs'!$E$29*I35)* (1-I35)</f>
        <v>0.0</v>
      </c>
      <c r="J58" s="38">
        <f>I57*J12*(1-'Inputs'!$E$29*J35)* (1-J35)</f>
        <v>0.0</v>
      </c>
      <c r="K58" s="38">
        <f>J57*K12*(1-'Inputs'!$E$29*K35)* (1-K35)</f>
        <v>0.0</v>
      </c>
      <c r="L58" s="38">
        <f>K57*L12*(1-'Inputs'!$E$29*L35)* (1-L35)</f>
        <v>0.0</v>
      </c>
      <c r="M58" s="38">
        <f>L57*M12*(1-'Inputs'!$E$29*M35)* (1-M35)</f>
        <v>0.0</v>
      </c>
      <c r="N58" s="38">
        <f>M57*N12*(1-'Inputs'!$E$29*N35)* (1-N35)</f>
        <v>0.0</v>
      </c>
      <c r="O58" s="38">
        <f>N57*O12*(1-'Inputs'!$E$29*O35)* (1-O35)</f>
        <v>0.0</v>
      </c>
      <c r="P58" s="38">
        <f>O57*P12*(1-'Inputs'!$E$29*P35)* (1-P35)</f>
        <v>0.0</v>
      </c>
      <c r="Q58" s="38">
        <f>P57*Q12*(1-'Inputs'!$E$29*Q35)* (1-Q35)</f>
        <v>0.0</v>
      </c>
      <c r="R58" s="38">
        <f>Q57*R12*(1-'Inputs'!$E$29*R35)* (1-R35)</f>
        <v>0.0</v>
      </c>
      <c r="S58" s="38">
        <f>R57*S12*(1-'Inputs'!$E$29*S35)* (1-S35)</f>
        <v>0.0</v>
      </c>
      <c r="T58" s="38">
        <f>S57*T12*(1-'Inputs'!$E$29*T35)* (1-T35)</f>
        <v>0.0</v>
      </c>
      <c r="U58" s="38">
        <f>T57*U12*(1-'Inputs'!$E$29*U35)* (1-U35)</f>
        <v>0.0</v>
      </c>
      <c r="V58" s="38">
        <f>U57*V12*(1-'Inputs'!$E$29*V35)* (1-V35)</f>
        <v>0.0</v>
      </c>
      <c r="W58" s="38">
        <f>V57*W12*(1-'Inputs'!$E$29*W35)* (1-W35)</f>
        <v>0.0</v>
      </c>
      <c r="X58" s="38">
        <f>W57*X12*(1-'Inputs'!$E$29*X35)* (1-X35)</f>
        <v>0.0</v>
      </c>
      <c r="Y58" s="38">
        <f>X57*Y12*(1-'Inputs'!$E$29*Y35)* (1-Y35)</f>
        <v>0.0</v>
      </c>
      <c r="Z58" s="38">
        <f>Y57*Z12*(1-'Inputs'!$E$29*Z35)* (1-Z35)</f>
        <v>0.0</v>
      </c>
      <c r="AA58" s="38">
        <f>Z57*AA12*(1-'Inputs'!$E$29*AA35)* (1-AA35)</f>
        <v>0.0</v>
      </c>
      <c r="AB58" s="38">
        <f>AA57*AB12*(1-'Inputs'!$E$29*AB35)* (1-AB35)</f>
        <v>0.0</v>
      </c>
      <c r="AC58" s="38">
        <f>AB57*AC12*(1-'Inputs'!$E$29*AC35)* (1-AC35)</f>
        <v>0.0</v>
      </c>
      <c r="AD58" s="38">
        <f>AC57*AD12*(1-'Inputs'!$E$29*AD35)* (1-AD35)</f>
        <v>0.0</v>
      </c>
      <c r="AE58" s="38">
        <f>AD57*AE12*(1-'Inputs'!$E$29*AE35)* (1-AE35)</f>
        <v>0.0</v>
      </c>
      <c r="AF58" s="38">
        <f>AE57*AF12*(1-'Inputs'!$E$29*AF35)* (1-AF35)</f>
        <v>0.0</v>
      </c>
      <c r="AG58" s="38">
        <f>AF57*AG12*(1-'Inputs'!$E$29*AG35)* (1-AG35)</f>
        <v>0.0</v>
      </c>
      <c r="AH58" s="38">
        <f>AG57*AH12*(1-'Inputs'!$E$29*AH35)* (1-AH35)</f>
        <v>0.0</v>
      </c>
      <c r="AI58" s="38">
        <f>AH57*AI12*(1-'Inputs'!$E$29*AI35)* (1-AI35)</f>
        <v>0.0</v>
      </c>
      <c r="AJ58" s="38">
        <f>AI57*AJ12*(1-'Inputs'!$E$29*AJ35)* (1-AJ35)</f>
        <v>0.0</v>
      </c>
      <c r="AK58" s="38">
        <f>AJ57*AK12*(1-'Inputs'!$E$29*AK35)* (1-AK35)</f>
        <v>0.0</v>
      </c>
      <c r="AL58" s="38">
        <f>AK57*AL12*(1-'Inputs'!$E$29*AL35)* (1-AL35)</f>
        <v>0.0</v>
      </c>
      <c r="AM58" s="38">
        <f>AL57*AM12*(1-'Inputs'!$E$29*AM35)* (1-AM35)</f>
        <v>0.0</v>
      </c>
      <c r="AN58" s="38">
        <f>AM57*AN12*(1-'Inputs'!$E$29*AN35)* (1-AN35)</f>
        <v>0.0</v>
      </c>
      <c r="AO58" s="38">
        <f>AN57*AO12*(1-'Inputs'!$E$29*AO35)* (1-AO35)</f>
        <v>0.0</v>
      </c>
      <c r="AP58" s="38">
        <f>AO57*AP12*(1-'Inputs'!$E$29*AP35)* (1-AP35)</f>
        <v>0.0</v>
      </c>
      <c r="AQ58" s="38">
        <f>AP57*AQ12*(1-'Inputs'!$E$29*AQ35)* (1-AQ35)</f>
        <v>0.0</v>
      </c>
    </row>
    <row r="59" ht="28" customHeight="1">
      <c r="A59" s="2" t="str">
        <v>DE.U.PRO.Y6</v>
      </c>
      <c r="B59" s="6" t="str">
        <v>Germany: not yet identity-checked: Pro annual, plan month 7</v>
      </c>
      <c r="C59" s="2" t="str">
        <v>count</v>
      </c>
      <c r="D59" s="2" t="str">
        <v>NA</v>
      </c>
      <c r="E59" s="2"/>
      <c r="F59" s="6" t="str"/>
      <c r="G59" s="2"/>
      <c r="H59" s="38">
        <f>0*H12*(1-'Inputs'!$E$29*H35)* (1-H35)</f>
        <v>0.0</v>
      </c>
      <c r="I59" s="38">
        <f>H58*I12*(1-'Inputs'!$E$29*I35)* (1-I35)</f>
        <v>0.0</v>
      </c>
      <c r="J59" s="38">
        <f>I58*J12*(1-'Inputs'!$E$29*J35)* (1-J35)</f>
        <v>0.0</v>
      </c>
      <c r="K59" s="38">
        <f>J58*K12*(1-'Inputs'!$E$29*K35)* (1-K35)</f>
        <v>0.0</v>
      </c>
      <c r="L59" s="38">
        <f>K58*L12*(1-'Inputs'!$E$29*L35)* (1-L35)</f>
        <v>0.0</v>
      </c>
      <c r="M59" s="38">
        <f>L58*M12*(1-'Inputs'!$E$29*M35)* (1-M35)</f>
        <v>0.0</v>
      </c>
      <c r="N59" s="38">
        <f>M58*N12*(1-'Inputs'!$E$29*N35)* (1-N35)</f>
        <v>0.0</v>
      </c>
      <c r="O59" s="38">
        <f>N58*O12*(1-'Inputs'!$E$29*O35)* (1-O35)</f>
        <v>0.0</v>
      </c>
      <c r="P59" s="38">
        <f>O58*P12*(1-'Inputs'!$E$29*P35)* (1-P35)</f>
        <v>0.0</v>
      </c>
      <c r="Q59" s="38">
        <f>P58*Q12*(1-'Inputs'!$E$29*Q35)* (1-Q35)</f>
        <v>0.0</v>
      </c>
      <c r="R59" s="38">
        <f>Q58*R12*(1-'Inputs'!$E$29*R35)* (1-R35)</f>
        <v>0.0</v>
      </c>
      <c r="S59" s="38">
        <f>R58*S12*(1-'Inputs'!$E$29*S35)* (1-S35)</f>
        <v>0.0</v>
      </c>
      <c r="T59" s="38">
        <f>S58*T12*(1-'Inputs'!$E$29*T35)* (1-T35)</f>
        <v>0.0</v>
      </c>
      <c r="U59" s="38">
        <f>T58*U12*(1-'Inputs'!$E$29*U35)* (1-U35)</f>
        <v>0.0</v>
      </c>
      <c r="V59" s="38">
        <f>U58*V12*(1-'Inputs'!$E$29*V35)* (1-V35)</f>
        <v>0.0</v>
      </c>
      <c r="W59" s="38">
        <f>V58*W12*(1-'Inputs'!$E$29*W35)* (1-W35)</f>
        <v>0.0</v>
      </c>
      <c r="X59" s="38">
        <f>W58*X12*(1-'Inputs'!$E$29*X35)* (1-X35)</f>
        <v>0.0</v>
      </c>
      <c r="Y59" s="38">
        <f>X58*Y12*(1-'Inputs'!$E$29*Y35)* (1-Y35)</f>
        <v>0.0</v>
      </c>
      <c r="Z59" s="38">
        <f>Y58*Z12*(1-'Inputs'!$E$29*Z35)* (1-Z35)</f>
        <v>0.0</v>
      </c>
      <c r="AA59" s="38">
        <f>Z58*AA12*(1-'Inputs'!$E$29*AA35)* (1-AA35)</f>
        <v>0.0</v>
      </c>
      <c r="AB59" s="38">
        <f>AA58*AB12*(1-'Inputs'!$E$29*AB35)* (1-AB35)</f>
        <v>0.0</v>
      </c>
      <c r="AC59" s="38">
        <f>AB58*AC12*(1-'Inputs'!$E$29*AC35)* (1-AC35)</f>
        <v>0.0</v>
      </c>
      <c r="AD59" s="38">
        <f>AC58*AD12*(1-'Inputs'!$E$29*AD35)* (1-AD35)</f>
        <v>0.0</v>
      </c>
      <c r="AE59" s="38">
        <f>AD58*AE12*(1-'Inputs'!$E$29*AE35)* (1-AE35)</f>
        <v>0.0</v>
      </c>
      <c r="AF59" s="38">
        <f>AE58*AF12*(1-'Inputs'!$E$29*AF35)* (1-AF35)</f>
        <v>0.0</v>
      </c>
      <c r="AG59" s="38">
        <f>AF58*AG12*(1-'Inputs'!$E$29*AG35)* (1-AG35)</f>
        <v>0.0</v>
      </c>
      <c r="AH59" s="38">
        <f>AG58*AH12*(1-'Inputs'!$E$29*AH35)* (1-AH35)</f>
        <v>0.0</v>
      </c>
      <c r="AI59" s="38">
        <f>AH58*AI12*(1-'Inputs'!$E$29*AI35)* (1-AI35)</f>
        <v>0.0</v>
      </c>
      <c r="AJ59" s="38">
        <f>AI58*AJ12*(1-'Inputs'!$E$29*AJ35)* (1-AJ35)</f>
        <v>0.0</v>
      </c>
      <c r="AK59" s="38">
        <f>AJ58*AK12*(1-'Inputs'!$E$29*AK35)* (1-AK35)</f>
        <v>0.0</v>
      </c>
      <c r="AL59" s="38">
        <f>AK58*AL12*(1-'Inputs'!$E$29*AL35)* (1-AL35)</f>
        <v>0.0</v>
      </c>
      <c r="AM59" s="38">
        <f>AL58*AM12*(1-'Inputs'!$E$29*AM35)* (1-AM35)</f>
        <v>0.0</v>
      </c>
      <c r="AN59" s="38">
        <f>AM58*AN12*(1-'Inputs'!$E$29*AN35)* (1-AN35)</f>
        <v>0.0</v>
      </c>
      <c r="AO59" s="38">
        <f>AN58*AO12*(1-'Inputs'!$E$29*AO35)* (1-AO35)</f>
        <v>0.0</v>
      </c>
      <c r="AP59" s="38">
        <f>AO58*AP12*(1-'Inputs'!$E$29*AP35)* (1-AP35)</f>
        <v>0.0</v>
      </c>
      <c r="AQ59" s="38">
        <f>AP58*AQ12*(1-'Inputs'!$E$29*AQ35)* (1-AQ35)</f>
        <v>0.0</v>
      </c>
    </row>
    <row r="60" ht="28" customHeight="1">
      <c r="A60" s="2" t="str">
        <v>DE.U.PRO.Y7</v>
      </c>
      <c r="B60" s="6" t="str">
        <v>Germany: not yet identity-checked: Pro annual, plan month 8</v>
      </c>
      <c r="C60" s="2" t="str">
        <v>count</v>
      </c>
      <c r="D60" s="2" t="str">
        <v>NA</v>
      </c>
      <c r="E60" s="2"/>
      <c r="F60" s="6" t="str"/>
      <c r="G60" s="2"/>
      <c r="H60" s="38">
        <f>0*H12*(1-'Inputs'!$E$29*H35)* (1-H35)</f>
        <v>0.0</v>
      </c>
      <c r="I60" s="38">
        <f>H59*I12*(1-'Inputs'!$E$29*I35)* (1-I35)</f>
        <v>0.0</v>
      </c>
      <c r="J60" s="38">
        <f>I59*J12*(1-'Inputs'!$E$29*J35)* (1-J35)</f>
        <v>0.0</v>
      </c>
      <c r="K60" s="38">
        <f>J59*K12*(1-'Inputs'!$E$29*K35)* (1-K35)</f>
        <v>0.0</v>
      </c>
      <c r="L60" s="38">
        <f>K59*L12*(1-'Inputs'!$E$29*L35)* (1-L35)</f>
        <v>0.0</v>
      </c>
      <c r="M60" s="38">
        <f>L59*M12*(1-'Inputs'!$E$29*M35)* (1-M35)</f>
        <v>0.0</v>
      </c>
      <c r="N60" s="38">
        <f>M59*N12*(1-'Inputs'!$E$29*N35)* (1-N35)</f>
        <v>0.0</v>
      </c>
      <c r="O60" s="38">
        <f>N59*O12*(1-'Inputs'!$E$29*O35)* (1-O35)</f>
        <v>0.0</v>
      </c>
      <c r="P60" s="38">
        <f>O59*P12*(1-'Inputs'!$E$29*P35)* (1-P35)</f>
        <v>0.0</v>
      </c>
      <c r="Q60" s="38">
        <f>P59*Q12*(1-'Inputs'!$E$29*Q35)* (1-Q35)</f>
        <v>0.0</v>
      </c>
      <c r="R60" s="38">
        <f>Q59*R12*(1-'Inputs'!$E$29*R35)* (1-R35)</f>
        <v>0.0</v>
      </c>
      <c r="S60" s="38">
        <f>R59*S12*(1-'Inputs'!$E$29*S35)* (1-S35)</f>
        <v>0.0</v>
      </c>
      <c r="T60" s="38">
        <f>S59*T12*(1-'Inputs'!$E$29*T35)* (1-T35)</f>
        <v>0.0</v>
      </c>
      <c r="U60" s="38">
        <f>T59*U12*(1-'Inputs'!$E$29*U35)* (1-U35)</f>
        <v>0.0</v>
      </c>
      <c r="V60" s="38">
        <f>U59*V12*(1-'Inputs'!$E$29*V35)* (1-V35)</f>
        <v>0.0</v>
      </c>
      <c r="W60" s="38">
        <f>V59*W12*(1-'Inputs'!$E$29*W35)* (1-W35)</f>
        <v>0.0</v>
      </c>
      <c r="X60" s="38">
        <f>W59*X12*(1-'Inputs'!$E$29*X35)* (1-X35)</f>
        <v>0.0</v>
      </c>
      <c r="Y60" s="38">
        <f>X59*Y12*(1-'Inputs'!$E$29*Y35)* (1-Y35)</f>
        <v>0.0</v>
      </c>
      <c r="Z60" s="38">
        <f>Y59*Z12*(1-'Inputs'!$E$29*Z35)* (1-Z35)</f>
        <v>0.0</v>
      </c>
      <c r="AA60" s="38">
        <f>Z59*AA12*(1-'Inputs'!$E$29*AA35)* (1-AA35)</f>
        <v>0.0</v>
      </c>
      <c r="AB60" s="38">
        <f>AA59*AB12*(1-'Inputs'!$E$29*AB35)* (1-AB35)</f>
        <v>0.0</v>
      </c>
      <c r="AC60" s="38">
        <f>AB59*AC12*(1-'Inputs'!$E$29*AC35)* (1-AC35)</f>
        <v>0.0</v>
      </c>
      <c r="AD60" s="38">
        <f>AC59*AD12*(1-'Inputs'!$E$29*AD35)* (1-AD35)</f>
        <v>0.0</v>
      </c>
      <c r="AE60" s="38">
        <f>AD59*AE12*(1-'Inputs'!$E$29*AE35)* (1-AE35)</f>
        <v>0.0</v>
      </c>
      <c r="AF60" s="38">
        <f>AE59*AF12*(1-'Inputs'!$E$29*AF35)* (1-AF35)</f>
        <v>0.0</v>
      </c>
      <c r="AG60" s="38">
        <f>AF59*AG12*(1-'Inputs'!$E$29*AG35)* (1-AG35)</f>
        <v>0.0</v>
      </c>
      <c r="AH60" s="38">
        <f>AG59*AH12*(1-'Inputs'!$E$29*AH35)* (1-AH35)</f>
        <v>0.0</v>
      </c>
      <c r="AI60" s="38">
        <f>AH59*AI12*(1-'Inputs'!$E$29*AI35)* (1-AI35)</f>
        <v>0.0</v>
      </c>
      <c r="AJ60" s="38">
        <f>AI59*AJ12*(1-'Inputs'!$E$29*AJ35)* (1-AJ35)</f>
        <v>0.0</v>
      </c>
      <c r="AK60" s="38">
        <f>AJ59*AK12*(1-'Inputs'!$E$29*AK35)* (1-AK35)</f>
        <v>0.0</v>
      </c>
      <c r="AL60" s="38">
        <f>AK59*AL12*(1-'Inputs'!$E$29*AL35)* (1-AL35)</f>
        <v>0.0</v>
      </c>
      <c r="AM60" s="38">
        <f>AL59*AM12*(1-'Inputs'!$E$29*AM35)* (1-AM35)</f>
        <v>0.0</v>
      </c>
      <c r="AN60" s="38">
        <f>AM59*AN12*(1-'Inputs'!$E$29*AN35)* (1-AN35)</f>
        <v>0.0</v>
      </c>
      <c r="AO60" s="38">
        <f>AN59*AO12*(1-'Inputs'!$E$29*AO35)* (1-AO35)</f>
        <v>0.0</v>
      </c>
      <c r="AP60" s="38">
        <f>AO59*AP12*(1-'Inputs'!$E$29*AP35)* (1-AP35)</f>
        <v>0.0</v>
      </c>
      <c r="AQ60" s="38">
        <f>AP59*AQ12*(1-'Inputs'!$E$29*AQ35)* (1-AQ35)</f>
        <v>0.0</v>
      </c>
    </row>
    <row r="61" ht="28" customHeight="1">
      <c r="A61" s="2" t="str">
        <v>DE.U.PRO.Y8</v>
      </c>
      <c r="B61" s="6" t="str">
        <v>Germany: not yet identity-checked: Pro annual, plan month 9</v>
      </c>
      <c r="C61" s="2" t="str">
        <v>count</v>
      </c>
      <c r="D61" s="2" t="str">
        <v>NA</v>
      </c>
      <c r="E61" s="2"/>
      <c r="F61" s="6" t="str"/>
      <c r="G61" s="2"/>
      <c r="H61" s="38">
        <f>0*H12*(1-'Inputs'!$E$29*H35)* (1-H35)</f>
        <v>0.0</v>
      </c>
      <c r="I61" s="38">
        <f>H60*I12*(1-'Inputs'!$E$29*I35)* (1-I35)</f>
        <v>0.0</v>
      </c>
      <c r="J61" s="38">
        <f>I60*J12*(1-'Inputs'!$E$29*J35)* (1-J35)</f>
        <v>0.0</v>
      </c>
      <c r="K61" s="38">
        <f>J60*K12*(1-'Inputs'!$E$29*K35)* (1-K35)</f>
        <v>0.0</v>
      </c>
      <c r="L61" s="38">
        <f>K60*L12*(1-'Inputs'!$E$29*L35)* (1-L35)</f>
        <v>0.0</v>
      </c>
      <c r="M61" s="38">
        <f>L60*M12*(1-'Inputs'!$E$29*M35)* (1-M35)</f>
        <v>0.0</v>
      </c>
      <c r="N61" s="38">
        <f>M60*N12*(1-'Inputs'!$E$29*N35)* (1-N35)</f>
        <v>0.0</v>
      </c>
      <c r="O61" s="38">
        <f>N60*O12*(1-'Inputs'!$E$29*O35)* (1-O35)</f>
        <v>0.0</v>
      </c>
      <c r="P61" s="38">
        <f>O60*P12*(1-'Inputs'!$E$29*P35)* (1-P35)</f>
        <v>0.0</v>
      </c>
      <c r="Q61" s="38">
        <f>P60*Q12*(1-'Inputs'!$E$29*Q35)* (1-Q35)</f>
        <v>0.0</v>
      </c>
      <c r="R61" s="38">
        <f>Q60*R12*(1-'Inputs'!$E$29*R35)* (1-R35)</f>
        <v>0.0</v>
      </c>
      <c r="S61" s="38">
        <f>R60*S12*(1-'Inputs'!$E$29*S35)* (1-S35)</f>
        <v>0.0</v>
      </c>
      <c r="T61" s="38">
        <f>S60*T12*(1-'Inputs'!$E$29*T35)* (1-T35)</f>
        <v>0.0</v>
      </c>
      <c r="U61" s="38">
        <f>T60*U12*(1-'Inputs'!$E$29*U35)* (1-U35)</f>
        <v>0.0</v>
      </c>
      <c r="V61" s="38">
        <f>U60*V12*(1-'Inputs'!$E$29*V35)* (1-V35)</f>
        <v>0.0</v>
      </c>
      <c r="W61" s="38">
        <f>V60*W12*(1-'Inputs'!$E$29*W35)* (1-W35)</f>
        <v>0.0</v>
      </c>
      <c r="X61" s="38">
        <f>W60*X12*(1-'Inputs'!$E$29*X35)* (1-X35)</f>
        <v>0.0</v>
      </c>
      <c r="Y61" s="38">
        <f>X60*Y12*(1-'Inputs'!$E$29*Y35)* (1-Y35)</f>
        <v>0.0</v>
      </c>
      <c r="Z61" s="38">
        <f>Y60*Z12*(1-'Inputs'!$E$29*Z35)* (1-Z35)</f>
        <v>0.0</v>
      </c>
      <c r="AA61" s="38">
        <f>Z60*AA12*(1-'Inputs'!$E$29*AA35)* (1-AA35)</f>
        <v>0.0</v>
      </c>
      <c r="AB61" s="38">
        <f>AA60*AB12*(1-'Inputs'!$E$29*AB35)* (1-AB35)</f>
        <v>0.0</v>
      </c>
      <c r="AC61" s="38">
        <f>AB60*AC12*(1-'Inputs'!$E$29*AC35)* (1-AC35)</f>
        <v>0.0</v>
      </c>
      <c r="AD61" s="38">
        <f>AC60*AD12*(1-'Inputs'!$E$29*AD35)* (1-AD35)</f>
        <v>0.0</v>
      </c>
      <c r="AE61" s="38">
        <f>AD60*AE12*(1-'Inputs'!$E$29*AE35)* (1-AE35)</f>
        <v>0.0</v>
      </c>
      <c r="AF61" s="38">
        <f>AE60*AF12*(1-'Inputs'!$E$29*AF35)* (1-AF35)</f>
        <v>0.0</v>
      </c>
      <c r="AG61" s="38">
        <f>AF60*AG12*(1-'Inputs'!$E$29*AG35)* (1-AG35)</f>
        <v>0.0</v>
      </c>
      <c r="AH61" s="38">
        <f>AG60*AH12*(1-'Inputs'!$E$29*AH35)* (1-AH35)</f>
        <v>0.0</v>
      </c>
      <c r="AI61" s="38">
        <f>AH60*AI12*(1-'Inputs'!$E$29*AI35)* (1-AI35)</f>
        <v>0.0</v>
      </c>
      <c r="AJ61" s="38">
        <f>AI60*AJ12*(1-'Inputs'!$E$29*AJ35)* (1-AJ35)</f>
        <v>0.0</v>
      </c>
      <c r="AK61" s="38">
        <f>AJ60*AK12*(1-'Inputs'!$E$29*AK35)* (1-AK35)</f>
        <v>0.0</v>
      </c>
      <c r="AL61" s="38">
        <f>AK60*AL12*(1-'Inputs'!$E$29*AL35)* (1-AL35)</f>
        <v>0.0</v>
      </c>
      <c r="AM61" s="38">
        <f>AL60*AM12*(1-'Inputs'!$E$29*AM35)* (1-AM35)</f>
        <v>0.0</v>
      </c>
      <c r="AN61" s="38">
        <f>AM60*AN12*(1-'Inputs'!$E$29*AN35)* (1-AN35)</f>
        <v>0.0</v>
      </c>
      <c r="AO61" s="38">
        <f>AN60*AO12*(1-'Inputs'!$E$29*AO35)* (1-AO35)</f>
        <v>0.0</v>
      </c>
      <c r="AP61" s="38">
        <f>AO60*AP12*(1-'Inputs'!$E$29*AP35)* (1-AP35)</f>
        <v>0.0</v>
      </c>
      <c r="AQ61" s="38">
        <f>AP60*AQ12*(1-'Inputs'!$E$29*AQ35)* (1-AQ35)</f>
        <v>0.0</v>
      </c>
    </row>
    <row r="62" ht="28" customHeight="1">
      <c r="A62" s="2" t="str">
        <v>DE.U.PRO.Y9</v>
      </c>
      <c r="B62" s="6" t="str">
        <v>Germany: not yet identity-checked: Pro annual, plan month 10</v>
      </c>
      <c r="C62" s="2" t="str">
        <v>count</v>
      </c>
      <c r="D62" s="2" t="str">
        <v>NA</v>
      </c>
      <c r="E62" s="2"/>
      <c r="F62" s="6" t="str"/>
      <c r="G62" s="2"/>
      <c r="H62" s="38">
        <f>0*H12*(1-'Inputs'!$E$29*H35)* (1-H35)</f>
        <v>0.0</v>
      </c>
      <c r="I62" s="38">
        <f>H61*I12*(1-'Inputs'!$E$29*I35)* (1-I35)</f>
        <v>0.0</v>
      </c>
      <c r="J62" s="38">
        <f>I61*J12*(1-'Inputs'!$E$29*J35)* (1-J35)</f>
        <v>0.0</v>
      </c>
      <c r="K62" s="38">
        <f>J61*K12*(1-'Inputs'!$E$29*K35)* (1-K35)</f>
        <v>0.0</v>
      </c>
      <c r="L62" s="38">
        <f>K61*L12*(1-'Inputs'!$E$29*L35)* (1-L35)</f>
        <v>0.0</v>
      </c>
      <c r="M62" s="38">
        <f>L61*M12*(1-'Inputs'!$E$29*M35)* (1-M35)</f>
        <v>0.0</v>
      </c>
      <c r="N62" s="38">
        <f>M61*N12*(1-'Inputs'!$E$29*N35)* (1-N35)</f>
        <v>0.0</v>
      </c>
      <c r="O62" s="38">
        <f>N61*O12*(1-'Inputs'!$E$29*O35)* (1-O35)</f>
        <v>0.0</v>
      </c>
      <c r="P62" s="38">
        <f>O61*P12*(1-'Inputs'!$E$29*P35)* (1-P35)</f>
        <v>0.0</v>
      </c>
      <c r="Q62" s="38">
        <f>P61*Q12*(1-'Inputs'!$E$29*Q35)* (1-Q35)</f>
        <v>0.0</v>
      </c>
      <c r="R62" s="38">
        <f>Q61*R12*(1-'Inputs'!$E$29*R35)* (1-R35)</f>
        <v>0.0</v>
      </c>
      <c r="S62" s="38">
        <f>R61*S12*(1-'Inputs'!$E$29*S35)* (1-S35)</f>
        <v>0.0</v>
      </c>
      <c r="T62" s="38">
        <f>S61*T12*(1-'Inputs'!$E$29*T35)* (1-T35)</f>
        <v>0.0</v>
      </c>
      <c r="U62" s="38">
        <f>T61*U12*(1-'Inputs'!$E$29*U35)* (1-U35)</f>
        <v>0.0</v>
      </c>
      <c r="V62" s="38">
        <f>U61*V12*(1-'Inputs'!$E$29*V35)* (1-V35)</f>
        <v>0.0</v>
      </c>
      <c r="W62" s="38">
        <f>V61*W12*(1-'Inputs'!$E$29*W35)* (1-W35)</f>
        <v>0.0</v>
      </c>
      <c r="X62" s="38">
        <f>W61*X12*(1-'Inputs'!$E$29*X35)* (1-X35)</f>
        <v>0.0</v>
      </c>
      <c r="Y62" s="38">
        <f>X61*Y12*(1-'Inputs'!$E$29*Y35)* (1-Y35)</f>
        <v>0.0</v>
      </c>
      <c r="Z62" s="38">
        <f>Y61*Z12*(1-'Inputs'!$E$29*Z35)* (1-Z35)</f>
        <v>0.0</v>
      </c>
      <c r="AA62" s="38">
        <f>Z61*AA12*(1-'Inputs'!$E$29*AA35)* (1-AA35)</f>
        <v>0.0</v>
      </c>
      <c r="AB62" s="38">
        <f>AA61*AB12*(1-'Inputs'!$E$29*AB35)* (1-AB35)</f>
        <v>0.0</v>
      </c>
      <c r="AC62" s="38">
        <f>AB61*AC12*(1-'Inputs'!$E$29*AC35)* (1-AC35)</f>
        <v>0.0</v>
      </c>
      <c r="AD62" s="38">
        <f>AC61*AD12*(1-'Inputs'!$E$29*AD35)* (1-AD35)</f>
        <v>0.0</v>
      </c>
      <c r="AE62" s="38">
        <f>AD61*AE12*(1-'Inputs'!$E$29*AE35)* (1-AE35)</f>
        <v>0.0</v>
      </c>
      <c r="AF62" s="38">
        <f>AE61*AF12*(1-'Inputs'!$E$29*AF35)* (1-AF35)</f>
        <v>0.0</v>
      </c>
      <c r="AG62" s="38">
        <f>AF61*AG12*(1-'Inputs'!$E$29*AG35)* (1-AG35)</f>
        <v>0.0</v>
      </c>
      <c r="AH62" s="38">
        <f>AG61*AH12*(1-'Inputs'!$E$29*AH35)* (1-AH35)</f>
        <v>0.0</v>
      </c>
      <c r="AI62" s="38">
        <f>AH61*AI12*(1-'Inputs'!$E$29*AI35)* (1-AI35)</f>
        <v>0.0</v>
      </c>
      <c r="AJ62" s="38">
        <f>AI61*AJ12*(1-'Inputs'!$E$29*AJ35)* (1-AJ35)</f>
        <v>0.0</v>
      </c>
      <c r="AK62" s="38">
        <f>AJ61*AK12*(1-'Inputs'!$E$29*AK35)* (1-AK35)</f>
        <v>0.0</v>
      </c>
      <c r="AL62" s="38">
        <f>AK61*AL12*(1-'Inputs'!$E$29*AL35)* (1-AL35)</f>
        <v>0.0</v>
      </c>
      <c r="AM62" s="38">
        <f>AL61*AM12*(1-'Inputs'!$E$29*AM35)* (1-AM35)</f>
        <v>0.0</v>
      </c>
      <c r="AN62" s="38">
        <f>AM61*AN12*(1-'Inputs'!$E$29*AN35)* (1-AN35)</f>
        <v>0.0</v>
      </c>
      <c r="AO62" s="38">
        <f>AN61*AO12*(1-'Inputs'!$E$29*AO35)* (1-AO35)</f>
        <v>0.0</v>
      </c>
      <c r="AP62" s="38">
        <f>AO61*AP12*(1-'Inputs'!$E$29*AP35)* (1-AP35)</f>
        <v>0.0</v>
      </c>
      <c r="AQ62" s="38">
        <f>AP61*AQ12*(1-'Inputs'!$E$29*AQ35)* (1-AQ35)</f>
        <v>0.0</v>
      </c>
    </row>
    <row r="63" ht="28" customHeight="1">
      <c r="A63" s="2" t="str">
        <v>DE.U.PRO.Y10</v>
      </c>
      <c r="B63" s="6" t="str">
        <v>Germany: not yet identity-checked: Pro annual, plan month 11</v>
      </c>
      <c r="C63" s="2" t="str">
        <v>count</v>
      </c>
      <c r="D63" s="2" t="str">
        <v>NA</v>
      </c>
      <c r="E63" s="2"/>
      <c r="F63" s="6" t="str"/>
      <c r="G63" s="2"/>
      <c r="H63" s="38">
        <f>0*H12*(1-'Inputs'!$E$29*H35)* (1-H35)</f>
        <v>0.0</v>
      </c>
      <c r="I63" s="38">
        <f>H62*I12*(1-'Inputs'!$E$29*I35)* (1-I35)</f>
        <v>0.0</v>
      </c>
      <c r="J63" s="38">
        <f>I62*J12*(1-'Inputs'!$E$29*J35)* (1-J35)</f>
        <v>0.0</v>
      </c>
      <c r="K63" s="38">
        <f>J62*K12*(1-'Inputs'!$E$29*K35)* (1-K35)</f>
        <v>0.0</v>
      </c>
      <c r="L63" s="38">
        <f>K62*L12*(1-'Inputs'!$E$29*L35)* (1-L35)</f>
        <v>0.0</v>
      </c>
      <c r="M63" s="38">
        <f>L62*M12*(1-'Inputs'!$E$29*M35)* (1-M35)</f>
        <v>0.0</v>
      </c>
      <c r="N63" s="38">
        <f>M62*N12*(1-'Inputs'!$E$29*N35)* (1-N35)</f>
        <v>0.0</v>
      </c>
      <c r="O63" s="38">
        <f>N62*O12*(1-'Inputs'!$E$29*O35)* (1-O35)</f>
        <v>0.0</v>
      </c>
      <c r="P63" s="38">
        <f>O62*P12*(1-'Inputs'!$E$29*P35)* (1-P35)</f>
        <v>0.0</v>
      </c>
      <c r="Q63" s="38">
        <f>P62*Q12*(1-'Inputs'!$E$29*Q35)* (1-Q35)</f>
        <v>0.0</v>
      </c>
      <c r="R63" s="38">
        <f>Q62*R12*(1-'Inputs'!$E$29*R35)* (1-R35)</f>
        <v>0.0</v>
      </c>
      <c r="S63" s="38">
        <f>R62*S12*(1-'Inputs'!$E$29*S35)* (1-S35)</f>
        <v>0.0</v>
      </c>
      <c r="T63" s="38">
        <f>S62*T12*(1-'Inputs'!$E$29*T35)* (1-T35)</f>
        <v>0.0</v>
      </c>
      <c r="U63" s="38">
        <f>T62*U12*(1-'Inputs'!$E$29*U35)* (1-U35)</f>
        <v>0.0</v>
      </c>
      <c r="V63" s="38">
        <f>U62*V12*(1-'Inputs'!$E$29*V35)* (1-V35)</f>
        <v>0.0</v>
      </c>
      <c r="W63" s="38">
        <f>V62*W12*(1-'Inputs'!$E$29*W35)* (1-W35)</f>
        <v>0.0</v>
      </c>
      <c r="X63" s="38">
        <f>W62*X12*(1-'Inputs'!$E$29*X35)* (1-X35)</f>
        <v>0.0</v>
      </c>
      <c r="Y63" s="38">
        <f>X62*Y12*(1-'Inputs'!$E$29*Y35)* (1-Y35)</f>
        <v>0.0</v>
      </c>
      <c r="Z63" s="38">
        <f>Y62*Z12*(1-'Inputs'!$E$29*Z35)* (1-Z35)</f>
        <v>0.0</v>
      </c>
      <c r="AA63" s="38">
        <f>Z62*AA12*(1-'Inputs'!$E$29*AA35)* (1-AA35)</f>
        <v>0.0</v>
      </c>
      <c r="AB63" s="38">
        <f>AA62*AB12*(1-'Inputs'!$E$29*AB35)* (1-AB35)</f>
        <v>0.0</v>
      </c>
      <c r="AC63" s="38">
        <f>AB62*AC12*(1-'Inputs'!$E$29*AC35)* (1-AC35)</f>
        <v>0.0</v>
      </c>
      <c r="AD63" s="38">
        <f>AC62*AD12*(1-'Inputs'!$E$29*AD35)* (1-AD35)</f>
        <v>0.0</v>
      </c>
      <c r="AE63" s="38">
        <f>AD62*AE12*(1-'Inputs'!$E$29*AE35)* (1-AE35)</f>
        <v>0.0</v>
      </c>
      <c r="AF63" s="38">
        <f>AE62*AF12*(1-'Inputs'!$E$29*AF35)* (1-AF35)</f>
        <v>0.0</v>
      </c>
      <c r="AG63" s="38">
        <f>AF62*AG12*(1-'Inputs'!$E$29*AG35)* (1-AG35)</f>
        <v>0.0</v>
      </c>
      <c r="AH63" s="38">
        <f>AG62*AH12*(1-'Inputs'!$E$29*AH35)* (1-AH35)</f>
        <v>0.0</v>
      </c>
      <c r="AI63" s="38">
        <f>AH62*AI12*(1-'Inputs'!$E$29*AI35)* (1-AI35)</f>
        <v>0.0</v>
      </c>
      <c r="AJ63" s="38">
        <f>AI62*AJ12*(1-'Inputs'!$E$29*AJ35)* (1-AJ35)</f>
        <v>0.0</v>
      </c>
      <c r="AK63" s="38">
        <f>AJ62*AK12*(1-'Inputs'!$E$29*AK35)* (1-AK35)</f>
        <v>0.0</v>
      </c>
      <c r="AL63" s="38">
        <f>AK62*AL12*(1-'Inputs'!$E$29*AL35)* (1-AL35)</f>
        <v>0.0</v>
      </c>
      <c r="AM63" s="38">
        <f>AL62*AM12*(1-'Inputs'!$E$29*AM35)* (1-AM35)</f>
        <v>0.0</v>
      </c>
      <c r="AN63" s="38">
        <f>AM62*AN12*(1-'Inputs'!$E$29*AN35)* (1-AN35)</f>
        <v>0.0</v>
      </c>
      <c r="AO63" s="38">
        <f>AN62*AO12*(1-'Inputs'!$E$29*AO35)* (1-AO35)</f>
        <v>0.0</v>
      </c>
      <c r="AP63" s="38">
        <f>AO62*AP12*(1-'Inputs'!$E$29*AP35)* (1-AP35)</f>
        <v>0.0</v>
      </c>
      <c r="AQ63" s="38">
        <f>AP62*AQ12*(1-'Inputs'!$E$29*AQ35)* (1-AQ35)</f>
        <v>0.0</v>
      </c>
    </row>
    <row r="64" ht="28" customHeight="1">
      <c r="A64" s="2" t="str">
        <v>DE.U.PRO.Y11</v>
      </c>
      <c r="B64" s="6" t="str">
        <v>Germany: not yet identity-checked: Pro annual, plan month 12</v>
      </c>
      <c r="C64" s="2" t="str">
        <v>count</v>
      </c>
      <c r="D64" s="2" t="str">
        <v>NA</v>
      </c>
      <c r="E64" s="2"/>
      <c r="F64" s="6" t="str"/>
      <c r="G64" s="2"/>
      <c r="H64" s="38">
        <f>0*H12*(1-'Inputs'!$E$29*H35)* (1-H35)</f>
        <v>0.0</v>
      </c>
      <c r="I64" s="38">
        <f>H63*I12*(1-'Inputs'!$E$29*I35)* (1-I35)</f>
        <v>0.0</v>
      </c>
      <c r="J64" s="38">
        <f>I63*J12*(1-'Inputs'!$E$29*J35)* (1-J35)</f>
        <v>0.0</v>
      </c>
      <c r="K64" s="38">
        <f>J63*K12*(1-'Inputs'!$E$29*K35)* (1-K35)</f>
        <v>0.0</v>
      </c>
      <c r="L64" s="38">
        <f>K63*L12*(1-'Inputs'!$E$29*L35)* (1-L35)</f>
        <v>0.0</v>
      </c>
      <c r="M64" s="38">
        <f>L63*M12*(1-'Inputs'!$E$29*M35)* (1-M35)</f>
        <v>0.0</v>
      </c>
      <c r="N64" s="38">
        <f>M63*N12*(1-'Inputs'!$E$29*N35)* (1-N35)</f>
        <v>0.0</v>
      </c>
      <c r="O64" s="38">
        <f>N63*O12*(1-'Inputs'!$E$29*O35)* (1-O35)</f>
        <v>0.0</v>
      </c>
      <c r="P64" s="38">
        <f>O63*P12*(1-'Inputs'!$E$29*P35)* (1-P35)</f>
        <v>0.0</v>
      </c>
      <c r="Q64" s="38">
        <f>P63*Q12*(1-'Inputs'!$E$29*Q35)* (1-Q35)</f>
        <v>0.0</v>
      </c>
      <c r="R64" s="38">
        <f>Q63*R12*(1-'Inputs'!$E$29*R35)* (1-R35)</f>
        <v>0.0</v>
      </c>
      <c r="S64" s="38">
        <f>R63*S12*(1-'Inputs'!$E$29*S35)* (1-S35)</f>
        <v>0.0</v>
      </c>
      <c r="T64" s="38">
        <f>S63*T12*(1-'Inputs'!$E$29*T35)* (1-T35)</f>
        <v>0.0</v>
      </c>
      <c r="U64" s="38">
        <f>T63*U12*(1-'Inputs'!$E$29*U35)* (1-U35)</f>
        <v>0.0</v>
      </c>
      <c r="V64" s="38">
        <f>U63*V12*(1-'Inputs'!$E$29*V35)* (1-V35)</f>
        <v>0.0</v>
      </c>
      <c r="W64" s="38">
        <f>V63*W12*(1-'Inputs'!$E$29*W35)* (1-W35)</f>
        <v>0.0</v>
      </c>
      <c r="X64" s="38">
        <f>W63*X12*(1-'Inputs'!$E$29*X35)* (1-X35)</f>
        <v>0.0</v>
      </c>
      <c r="Y64" s="38">
        <f>X63*Y12*(1-'Inputs'!$E$29*Y35)* (1-Y35)</f>
        <v>0.0</v>
      </c>
      <c r="Z64" s="38">
        <f>Y63*Z12*(1-'Inputs'!$E$29*Z35)* (1-Z35)</f>
        <v>0.0</v>
      </c>
      <c r="AA64" s="38">
        <f>Z63*AA12*(1-'Inputs'!$E$29*AA35)* (1-AA35)</f>
        <v>0.0</v>
      </c>
      <c r="AB64" s="38">
        <f>AA63*AB12*(1-'Inputs'!$E$29*AB35)* (1-AB35)</f>
        <v>0.0</v>
      </c>
      <c r="AC64" s="38">
        <f>AB63*AC12*(1-'Inputs'!$E$29*AC35)* (1-AC35)</f>
        <v>0.0</v>
      </c>
      <c r="AD64" s="38">
        <f>AC63*AD12*(1-'Inputs'!$E$29*AD35)* (1-AD35)</f>
        <v>0.0</v>
      </c>
      <c r="AE64" s="38">
        <f>AD63*AE12*(1-'Inputs'!$E$29*AE35)* (1-AE35)</f>
        <v>0.0</v>
      </c>
      <c r="AF64" s="38">
        <f>AE63*AF12*(1-'Inputs'!$E$29*AF35)* (1-AF35)</f>
        <v>0.0</v>
      </c>
      <c r="AG64" s="38">
        <f>AF63*AG12*(1-'Inputs'!$E$29*AG35)* (1-AG35)</f>
        <v>0.0</v>
      </c>
      <c r="AH64" s="38">
        <f>AG63*AH12*(1-'Inputs'!$E$29*AH35)* (1-AH35)</f>
        <v>0.0</v>
      </c>
      <c r="AI64" s="38">
        <f>AH63*AI12*(1-'Inputs'!$E$29*AI35)* (1-AI35)</f>
        <v>0.0</v>
      </c>
      <c r="AJ64" s="38">
        <f>AI63*AJ12*(1-'Inputs'!$E$29*AJ35)* (1-AJ35)</f>
        <v>0.0</v>
      </c>
      <c r="AK64" s="38">
        <f>AJ63*AK12*(1-'Inputs'!$E$29*AK35)* (1-AK35)</f>
        <v>0.0</v>
      </c>
      <c r="AL64" s="38">
        <f>AK63*AL12*(1-'Inputs'!$E$29*AL35)* (1-AL35)</f>
        <v>0.0</v>
      </c>
      <c r="AM64" s="38">
        <f>AL63*AM12*(1-'Inputs'!$E$29*AM35)* (1-AM35)</f>
        <v>0.0</v>
      </c>
      <c r="AN64" s="38">
        <f>AM63*AN12*(1-'Inputs'!$E$29*AN35)* (1-AN35)</f>
        <v>0.0</v>
      </c>
      <c r="AO64" s="38">
        <f>AN63*AO12*(1-'Inputs'!$E$29*AO35)* (1-AO35)</f>
        <v>0.0</v>
      </c>
      <c r="AP64" s="38">
        <f>AO63*AP12*(1-'Inputs'!$E$29*AP35)* (1-AP35)</f>
        <v>0.0</v>
      </c>
      <c r="AQ64" s="38">
        <f>AP63*AQ12*(1-'Inputs'!$E$29*AQ35)* (1-AQ35)</f>
        <v>0.0</v>
      </c>
    </row>
    <row r="65" ht="22" customHeight="1">
      <c r="A65" s="2" t="str">
        <v>DE.KYC</v>
      </c>
      <c r="B65" s="6" t="str">
        <v>Germany: new identity checks (KYC)</v>
      </c>
      <c r="C65" s="2" t="str">
        <v>count</v>
      </c>
      <c r="D65" s="2" t="str">
        <v>NA</v>
      </c>
      <c r="E65" s="2"/>
      <c r="F65" s="6" t="str"/>
      <c r="G65" s="2"/>
      <c r="H65" s="37">
        <f>MAX(0,H11-SUM(H37,H39,H40,H41,H42,H43,H44,H45,H46,H47,H48,H49,H50,H51,H52,H53,H54,H55,H56,H57,H58,H59,H60,H61,H62,H63,H64))</f>
        <v>0</v>
      </c>
      <c r="I65" s="37">
        <f>MAX(0,SUM(H37,H39,H40,H41,H42,H43,H44,H45,H46,H47,H48,H49,H50,H51,H52,H53,H54,H55,H56,H57,H58,H59,H60,H61,H62,H63,H64)*I12-SUM(I37,I39,I40,I41,I42,I43,I44,I45,I46,I47,I48,I49,I50,I51,I52,I53,I54,I55,I56,I57,I58,I59,I60,I61,I62,I63,I64))</f>
        <v>0</v>
      </c>
      <c r="J65" s="37">
        <f>MAX(0,SUM(I37,I39,I40,I41,I42,I43,I44,I45,I46,I47,I48,I49,I50,I51,I52,I53,I54,I55,I56,I57,I58,I59,I60,I61,I62,I63,I64)*J12-SUM(J37,J39,J40,J41,J42,J43,J44,J45,J46,J47,J48,J49,J50,J51,J52,J53,J54,J55,J56,J57,J58,J59,J60,J61,J62,J63,J64))</f>
        <v>0</v>
      </c>
      <c r="K65" s="37">
        <f>MAX(0,SUM(J37,J39,J40,J41,J42,J43,J44,J45,J46,J47,J48,J49,J50,J51,J52,J53,J54,J55,J56,J57,J58,J59,J60,J61,J62,J63,J64)*K12-SUM(K37,K39,K40,K41,K42,K43,K44,K45,K46,K47,K48,K49,K50,K51,K52,K53,K54,K55,K56,K57,K58,K59,K60,K61,K62,K63,K64))</f>
        <v>0.025396865444499928</v>
      </c>
      <c r="L65" s="37">
        <f>MAX(0,SUM(K37,K39,K40,K41,K42,K43,K44,K45,K46,K47,K48,K49,K50,K51,K52,K53,K54,K55,K56,K57,K58,K59,K60,K61,K62,K63,K64)*L12-SUM(L37,L39,L40,L41,L42,L43,L44,L45,L46,L47,L48,L49,L50,L51,L52,L53,L54,L55,L56,L57,L58,L59,L60,L61,L62,L63,L64))</f>
        <v>0.012790836648564008</v>
      </c>
      <c r="M65" s="37">
        <f>MAX(0,SUM(L37,L39,L40,L41,L42,L43,L44,L45,L46,L47,L48,L49,L50,L51,L52,L53,L54,L55,L56,L57,L58,L59,L60,L61,L62,L63,L64)*M12-SUM(M37,M39,M40,M41,M42,M43,M44,M45,M46,M47,M48,M49,M50,M51,M52,M53,M54,M55,M56,M57,M58,M59,M60,M61,M62,M63,M64))</f>
        <v>0.011699347574242014</v>
      </c>
      <c r="N65" s="37">
        <f>MAX(0,SUM(M37,M39,M40,M41,M42,M43,M44,M45,M46,M47,M48,M49,M50,M51,M52,M53,M54,M55,M56,M57,M58,M59,M60,M61,M62,M63,M64)*N12-SUM(N37,N39,N40,N41,N42,N43,N44,N45,N46,N47,N48,N49,N50,N51,N52,N53,N54,N55,N56,N57,N58,N59,N60,N61,N62,N63,N64))</f>
        <v>0.010899669318691907</v>
      </c>
      <c r="O65" s="37">
        <f>MAX(0,SUM(N37,N39,N40,N41,N42,N43,N44,N45,N46,N47,N48,N49,N50,N51,N52,N53,N54,N55,N56,N57,N58,N59,N60,N61,N62,N63,N64)*O12-SUM(O37,O39,O40,O41,O42,O43,O44,O45,O46,O47,O48,O49,O50,O51,O52,O53,O54,O55,O56,O57,O58,O59,O60,O61,O62,O63,O64))</f>
        <v>0.010134641762012508</v>
      </c>
      <c r="P65" s="37">
        <f>MAX(0,SUM(O37,O39,O40,O41,O42,O43,O44,O45,O46,O47,O48,O49,O50,O51,O52,O53,O54,O55,O56,O57,O58,O59,O60,O61,O62,O63,O64)*P12-SUM(P37,P39,P40,P41,P42,P43,P44,P45,P46,P47,P48,P49,P50,P51,P52,P53,P54,P55,P56,P57,P58,P59,P60,P61,P62,P63,P64))</f>
        <v>0.009402968735467032</v>
      </c>
      <c r="Q65" s="37">
        <f>MAX(0,SUM(P37,P39,P40,P41,P42,P43,P44,P45,P46,P47,P48,P49,P50,P51,P52,P53,P54,P55,P56,P57,P58,P59,P60,P61,P62,P63,P64)*Q12-SUM(Q37,Q39,Q40,Q41,Q42,Q43,Q44,Q45,Q46,Q47,Q48,Q49,Q50,Q51,Q52,Q53,Q54,Q55,Q56,Q57,Q58,Q59,Q60,Q61,Q62,Q63,Q64))</f>
        <v>0.00870339961746791</v>
      </c>
      <c r="R65" s="37">
        <f>MAX(0,SUM(Q37,Q39,Q40,Q41,Q42,Q43,Q44,Q45,Q46,Q47,Q48,Q49,Q50,Q51,Q52,Q53,Q54,Q55,Q56,Q57,Q58,Q59,Q60,Q61,Q62,Q63,Q64)*R12-SUM(R37,R39,R40,R41,R42,R43,R44,R45,R46,R47,R48,R49,R50,R51,R52,R53,R54,R55,R56,R57,R58,R59,R60,R61,R62,R63,R64))</f>
        <v>0.008251882534110133</v>
      </c>
      <c r="S65" s="37">
        <f>MAX(0,SUM(R37,R39,R40,R41,R42,R43,R44,R45,R46,R47,R48,R49,R50,R51,R52,R53,R54,R55,R56,R57,R58,R59,R60,R61,R62,R63,R64)*S12-SUM(S37,S39,S40,S41,S42,S43,S44,S45,S46,S47,S48,S49,S50,S51,S52,S53,S54,S55,S56,S57,S58,S59,S60,S61,S62,S63,S64))</f>
        <v>0.007818405305584364</v>
      </c>
      <c r="T65" s="37">
        <f>MAX(0,SUM(S37,S39,S40,S41,S42,S43,S44,S45,S46,S47,S48,S49,S50,S51,S52,S53,S54,S55,S56,S57,S58,S59,S60,S61,S62,S63,S64)*T12-SUM(T37,T39,T40,T41,T42,T43,T44,T45,T46,T47,T48,T49,T50,T51,T52,T53,T54,T55,T56,T57,T58,T59,T60,T61,T62,T63,T64))</f>
        <v>0.007402319441354499</v>
      </c>
      <c r="U65" s="37">
        <f>MAX(0,SUM(T37,T39,T40,T41,T42,T43,T44,T45,T46,T47,T48,T49,T50,T51,T52,T53,T54,T55,T56,T57,T58,T59,T60,T61,T62,T63,T64)*U12-SUM(U37,U39,U40,U41,U42,U43,U44,U45,U46,U47,U48,U49,U50,U51,U52,U53,U54,U55,U56,U57,U58,U59,U60,U61,U62,U63,U64))</f>
        <v>0.007159394931544383</v>
      </c>
      <c r="V65" s="37">
        <f>MAX(0,SUM(U37,U39,U40,U41,U42,U43,U44,U45,U46,U47,U48,U49,U50,U51,U52,U53,U54,U55,U56,U57,U58,U59,U60,U61,U62,U63,U64)*V12-SUM(V37,V39,V40,V41,V42,V43,V44,V45,V46,V47,V48,V49,V50,V51,V52,V53,V54,V55,V56,V57,V58,V59,V60,V61,V62,V63,V64))</f>
        <v>0.006918378078952903</v>
      </c>
      <c r="W65" s="37">
        <f>MAX(0,SUM(V37,V39,V40,V41,V42,V43,V44,V45,V46,V47,V48,V49,V50,V51,V52,V53,V54,V55,V56,V57,V58,V59,V60,V61,V62,V63,V64)*W12-SUM(W37,W39,W40,W41,W42,W43,W44,W45,W46,W47,W48,W49,W50,W51,W52,W53,W54,W55,W56,W57,W58,W59,W60,W61,W62,W63,W64))</f>
        <v>0.006685155619344657</v>
      </c>
      <c r="X65" s="37">
        <f>MAX(0,SUM(W37,W39,W40,W41,W42,W43,W44,W45,W46,W47,W48,W49,W50,W51,W52,W53,W54,W55,W56,W57,W58,W59,W60,W61,W62,W63,W64)*X12-SUM(X37,X39,X40,X41,X42,X43,X44,X45,X46,X47,X48,X49,X50,X51,X52,X53,X54,X55,X56,X57,X58,X59,X60,X61,X62,X63,X64))</f>
        <v>0.0064594817235522906</v>
      </c>
      <c r="Y65" s="37">
        <f>MAX(0,SUM(X37,X39,X40,X41,X42,X43,X44,X45,X46,X47,X48,X49,X50,X51,X52,X53,X54,X55,X56,X57,X58,X59,X60,X61,X62,X63,X64)*Y12-SUM(Y37,Y39,Y40,Y41,Y42,Y43,Y44,Y45,Y46,Y47,Y48,Y49,Y50,Y51,Y52,Y53,Y54,Y55,Y56,Y57,Y58,Y59,Y60,Y61,Y62,Y63,Y64))</f>
        <v>0.006241118239315835</v>
      </c>
      <c r="Z65" s="37">
        <f>MAX(0,SUM(Y37,Y39,Y40,Y41,Y42,Y43,Y44,Y45,Y46,Y47,Y48,Y49,Y50,Y51,Y52,Y53,Y54,Y55,Y56,Y57,Y58,Y59,Y60,Y61,Y62,Y63,Y64)*Z12-SUM(Z37,Z39,Z40,Z41,Z42,Z43,Z44,Z45,Z46,Z47,Z48,Z49,Z50,Z51,Z52,Z53,Z54,Z55,Z56,Z57,Z58,Z59,Z60,Z61,Z62,Z63,Z64))</f>
        <v>0.006029833764208514</v>
      </c>
      <c r="AA65" s="37">
        <f>MAX(0,SUM(Z37,Z39,Z40,Z41,Z42,Z43,Z44,Z45,Z46,Z47,Z48,Z49,Z50,Z51,Z52,Z53,Z54,Z55,Z56,Z57,Z58,Z59,Z60,Z61,Z62,Z63,Z64)*AA12-SUM(AA37,AA39,AA40,AA41,AA42,AA43,AA44,AA45,AA46,AA47,AA48,AA49,AA50,AA51,AA52,AA53,AA54,AA55,AA56,AA57,AA58,AA59,AA60,AA61,AA62,AA63,AA64))</f>
        <v>0.005825404864844841</v>
      </c>
      <c r="AB65" s="37">
        <f>MAX(0,SUM(AA37,AA39,AA40,AA41,AA42,AA43,AA44,AA45,AA46,AA47,AA48,AA49,AA50,AA51,AA52,AA53,AA54,AA55,AA56,AA57,AA58,AA59,AA60,AA61,AA62,AA63,AA64)*AB12-SUM(AB37,AB39,AB40,AB41,AB42,AB43,AB44,AB45,AB46,AB47,AB48,AB49,AB50,AB51,AB52,AB53,AB54,AB55,AB56,AB57,AB58,AB59,AB60,AB61,AB62,AB63,AB64))</f>
        <v>0.005627615066520236</v>
      </c>
      <c r="AC65" s="37">
        <f>MAX(0,SUM(AB37,AB39,AB40,AB41,AB42,AB43,AB44,AB45,AB46,AB47,AB48,AB49,AB50,AB51,AB52,AB53,AB54,AB55,AB56,AB57,AB58,AB59,AB60,AB61,AB62,AB63,AB64)*AC12-SUM(AC37,AC39,AC40,AC41,AC42,AC43,AC44,AC45,AC46,AC47,AC48,AC49,AC50,AC51,AC52,AC53,AC54,AC55,AC56,AC57,AC58,AC59,AC60,AC61,AC62,AC63,AC64))</f>
        <v>0.005436254633693821</v>
      </c>
      <c r="AD65" s="37">
        <f>MAX(0,SUM(AC37,AC39,AC40,AC41,AC42,AC43,AC44,AC45,AC46,AC47,AC48,AC49,AC50,AC51,AC52,AC53,AC54,AC55,AC56,AC57,AC58,AC59,AC60,AC61,AC62,AC63,AC64)*AD12-SUM(AD37,AD39,AD40,AD41,AD42,AD43,AD44,AD45,AD46,AD47,AD48,AD49,AD50,AD51,AD52,AD53,AD54,AD55,AD56,AD57,AD58,AD59,AD60,AD61,AD62,AD63,AD64))</f>
        <v>0.005251120358056888</v>
      </c>
      <c r="AE65" s="37">
        <f>MAX(0,SUM(AD37,AD39,AD40,AD41,AD42,AD43,AD44,AD45,AD46,AD47,AD48,AD49,AD50,AD51,AD52,AD53,AD54,AD55,AD56,AD57,AD58,AD59,AD60,AD61,AD62,AD63,AD64)*AE12-SUM(AE37,AE39,AE40,AE41,AE42,AE43,AE44,AE45,AE46,AE47,AE48,AE49,AE50,AE51,AE52,AE53,AE54,AE55,AE56,AE57,AE58,AE59,AE60,AE61,AE62,AE63,AE64))</f>
        <v>0.005072015353839943</v>
      </c>
      <c r="AF65" s="37">
        <f>MAX(0,SUM(AE37,AE39,AE40,AE41,AE42,AE43,AE44,AE45,AE46,AE47,AE48,AE49,AE50,AE51,AE52,AE53,AE54,AE55,AE56,AE57,AE58,AE59,AE60,AE61,AE62,AE63,AE64)*AF12-SUM(AF37,AF39,AF40,AF41,AF42,AF43,AF44,AF45,AF46,AF47,AF48,AF49,AF50,AF51,AF52,AF53,AF54,AF55,AF56,AF57,AF58,AF59,AF60,AF61,AF62,AF63,AF64))</f>
        <v>0.004898748860035829</v>
      </c>
      <c r="AG65" s="37">
        <f>MAX(0,SUM(AF37,AF39,AF40,AF41,AF42,AF43,AF44,AF45,AF46,AF47,AF48,AF49,AF50,AF51,AF52,AF53,AF54,AF55,AF56,AF57,AF58,AF59,AF60,AF61,AF62,AF63,AF64)*AG12-SUM(AG37,AG39,AG40,AG41,AG42,AG43,AG44,AG45,AG46,AG47,AG48,AG49,AG50,AG51,AG52,AG53,AG54,AG55,AG56,AG57,AG58,AG59,AG60,AG61,AG62,AG63,AG64))</f>
        <v>0.0046892819823662335</v>
      </c>
      <c r="AH65" s="37">
        <f>MAX(0,SUM(AG37,AG39,AG40,AG41,AG42,AG43,AG44,AG45,AG46,AG47,AG48,AG49,AG50,AG51,AG52,AG53,AG54,AG55,AG56,AG57,AG58,AG59,AG60,AG61,AG62,AG63,AG64)*AH12-SUM(AH37,AH39,AH40,AH41,AH42,AH43,AH44,AH45,AH46,AH47,AH48,AH49,AH50,AH51,AH52,AH53,AH54,AH55,AH56,AH57,AH58,AH59,AH60,AH61,AH62,AH63,AH64))</f>
        <v>0.004486157847155003</v>
      </c>
      <c r="AI65" s="37">
        <f>MAX(0,SUM(AH37,AH39,AH40,AH41,AH42,AH43,AH44,AH45,AH46,AH47,AH48,AH49,AH50,AH51,AH52,AH53,AH54,AH55,AH56,AH57,AH58,AH59,AH60,AH61,AH62,AH63,AH64)*AI12-SUM(AI37,AI39,AI40,AI41,AI42,AI43,AI44,AI45,AI46,AI47,AI48,AI49,AI50,AI51,AI52,AI53,AI54,AI55,AI56,AI57,AI58,AI59,AI60,AI61,AI62,AI63,AI64))</f>
        <v>0.004290558937298405</v>
      </c>
      <c r="AJ65" s="37">
        <f>MAX(0,SUM(AI37,AI39,AI40,AI41,AI42,AI43,AI44,AI45,AI46,AI47,AI48,AI49,AI50,AI51,AI52,AI53,AI54,AI55,AI56,AI57,AI58,AI59,AI60,AI61,AI62,AI63,AI64)*AJ12-SUM(AJ37,AJ39,AJ40,AJ41,AJ42,AJ43,AJ44,AJ45,AJ46,AJ47,AJ48,AJ49,AJ50,AJ51,AJ52,AJ53,AJ54,AJ55,AJ56,AJ57,AJ58,AJ59,AJ60,AJ61,AJ62,AJ63,AJ64))</f>
        <v>0.004102227443480516</v>
      </c>
      <c r="AK65" s="37">
        <f>MAX(0,SUM(AJ37,AJ39,AJ40,AJ41,AJ42,AJ43,AJ44,AJ45,AJ46,AJ47,AJ48,AJ49,AJ50,AJ51,AJ52,AJ53,AJ54,AJ55,AJ56,AJ57,AJ58,AJ59,AJ60,AJ61,AJ62,AJ63,AJ64)*AK12-SUM(AK37,AK39,AK40,AK41,AK42,AK43,AK44,AK45,AK46,AK47,AK48,AK49,AK50,AK51,AK52,AK53,AK54,AK55,AK56,AK57,AK58,AK59,AK60,AK61,AK62,AK63,AK64))</f>
        <v>0.003953318244440035</v>
      </c>
      <c r="AL65" s="37">
        <f>MAX(0,SUM(AK37,AK39,AK40,AK41,AK42,AK43,AK44,AK45,AK46,AK47,AK48,AK49,AK50,AK51,AK52,AK53,AK54,AK55,AK56,AK57,AK58,AK59,AK60,AK61,AK62,AK63,AK64)*AL12-SUM(AL37,AL39,AL40,AL41,AL42,AL43,AL44,AL45,AL46,AL47,AL48,AL49,AL50,AL51,AL52,AL53,AL54,AL55,AL56,AL57,AL58,AL59,AL60,AL61,AL62,AL63,AL64))</f>
        <v>0.003809447569938784</v>
      </c>
      <c r="AM65" s="37">
        <f>MAX(0,SUM(AL37,AL39,AL40,AL41,AL42,AL43,AL44,AL45,AL46,AL47,AL48,AL49,AL50,AL51,AL52,AL53,AL54,AL55,AL56,AL57,AL58,AL59,AL60,AL61,AL62,AL63,AL64)*AM12-SUM(AM37,AM39,AM40,AM41,AM42,AM43,AM44,AM45,AM46,AM47,AM48,AM49,AM50,AM51,AM52,AM53,AM54,AM55,AM56,AM57,AM58,AM59,AM60,AM61,AM62,AM63,AM64))</f>
        <v>0.0036704521238122567</v>
      </c>
      <c r="AN65" s="37">
        <f>MAX(0,SUM(AM37,AM39,AM40,AM41,AM42,AM43,AM44,AM45,AM46,AM47,AM48,AM49,AM50,AM51,AM52,AM53,AM54,AM55,AM56,AM57,AM58,AM59,AM60,AM61,AM62,AM63,AM64)*AN12-SUM(AN37,AN39,AN40,AN41,AN42,AN43,AN44,AN45,AN46,AN47,AN48,AN49,AN50,AN51,AN52,AN53,AN54,AN55,AN56,AN57,AN58,AN59,AN60,AN61,AN62,AN63,AN64))</f>
        <v>0.0035361737573602614</v>
      </c>
      <c r="AO65" s="37">
        <f>MAX(0,SUM(AN37,AN39,AN40,AN41,AN42,AN43,AN44,AN45,AN46,AN47,AN48,AN49,AN50,AN51,AN52,AN53,AN54,AN55,AN56,AN57,AN58,AN59,AN60,AN61,AN62,AN63,AN64)*AO12-SUM(AO37,AO39,AO40,AO41,AO42,AO43,AO44,AO45,AO46,AO47,AO48,AO49,AO50,AO51,AO52,AO53,AO54,AO55,AO56,AO57,AO58,AO59,AO60,AO61,AO62,AO63,AO64))</f>
        <v>0.0034064593093259266</v>
      </c>
      <c r="AP65" s="37">
        <f>MAX(0,SUM(AO37,AO39,AO40,AO41,AO42,AO43,AO44,AO45,AO46,AO47,AO48,AO49,AO50,AO51,AO52,AO53,AO54,AO55,AO56,AO57,AO58,AO59,AO60,AO61,AO62,AO63,AO64)*AP12-SUM(AP37,AP39,AP40,AP41,AP42,AP43,AP44,AP45,AP46,AP47,AP48,AP49,AP50,AP51,AP52,AP53,AP54,AP55,AP56,AP57,AP58,AP59,AP60,AP61,AP62,AP63,AP64))</f>
        <v>0.0032811604509200704</v>
      </c>
      <c r="AQ65" s="37">
        <f>MAX(0,SUM(AP37,AP39,AP40,AP41,AP42,AP43,AP44,AP45,AP46,AP47,AP48,AP49,AP50,AP51,AP52,AP53,AP54,AP55,AP56,AP57,AP58,AP59,AP60,AP61,AP62,AP63,AP64)*AQ12-SUM(AQ37,AQ39,AQ40,AQ41,AQ42,AQ43,AQ44,AQ45,AQ46,AQ47,AQ48,AQ49,AQ50,AQ51,AQ52,AQ53,AQ54,AQ55,AQ56,AQ57,AQ58,AQ59,AQ60,AQ61,AQ62,AQ63,AQ64))</f>
        <v>0.003160133535714163</v>
      </c>
    </row>
    <row r="66" ht="28" customHeight="1">
      <c r="A66" s="2" t="str">
        <v>DE.R1.REVENUE</v>
      </c>
      <c r="B66" s="6" t="str">
        <v>Germany: subscription revenue (net of VAT)</v>
      </c>
      <c r="C66" s="2" t="str">
        <v>EUR_per_user</v>
      </c>
      <c r="D66" s="2" t="str">
        <v>SUM</v>
      </c>
      <c r="E66" s="35">
        <f>SUM(H66:AQ66)</f>
        <v>22.218544125185687</v>
      </c>
      <c r="F66" s="6" t="str"/>
      <c r="G66" s="2"/>
      <c r="H66" s="36">
        <f>H33/(1+'Inputs'!$E$43)</f>
        <v>0.9322857142857144</v>
      </c>
      <c r="I66" s="36">
        <f>I33/(1+'Inputs'!$E$43)</f>
        <v>0.928837855462185</v>
      </c>
      <c r="J66" s="36">
        <f>J33/(1+'Inputs'!$E$43)</f>
        <v>0.9183084626016806</v>
      </c>
      <c r="K66" s="36">
        <f>K33/(1+'Inputs'!$E$43)</f>
        <v>0.9054557917111798</v>
      </c>
      <c r="L66" s="36">
        <f>L33/(1+'Inputs'!$E$43)</f>
        <v>0.8904152651788771</v>
      </c>
      <c r="M66" s="36">
        <f>M33/(1+'Inputs'!$E$43)</f>
        <v>0.8750085624672937</v>
      </c>
      <c r="N66" s="36">
        <f>N33/(1+'Inputs'!$E$43)</f>
        <v>0.8600711411468224</v>
      </c>
      <c r="O66" s="36">
        <f>O33/(1+'Inputs'!$E$43)</f>
        <v>0.8455306302922507</v>
      </c>
      <c r="P66" s="36">
        <f>P33/(1+'Inputs'!$E$43)</f>
        <v>0.8313211970989185</v>
      </c>
      <c r="Q66" s="36">
        <f>Q33/(1+'Inputs'!$E$43)</f>
        <v>0.8173829714932233</v>
      </c>
      <c r="R66" s="36">
        <f>R33/(1+'Inputs'!$E$43)</f>
        <v>0.8045005619366952</v>
      </c>
      <c r="S66" s="36">
        <f>S33/(1+'Inputs'!$E$43)</f>
        <v>0.7925633871992783</v>
      </c>
      <c r="T66" s="36">
        <f>T33/(1+'Inputs'!$E$43)</f>
        <v>0.6340027726945605</v>
      </c>
      <c r="U66" s="36">
        <f>U33/(1+'Inputs'!$E$43)</f>
        <v>0.6153111629721577</v>
      </c>
      <c r="V66" s="36">
        <f>V33/(1+'Inputs'!$E$43)</f>
        <v>0.5992503298848209</v>
      </c>
      <c r="W66" s="36">
        <f>W33/(1+'Inputs'!$E$43)</f>
        <v>0.5850207848133783</v>
      </c>
      <c r="X66" s="36">
        <f>X33/(1+'Inputs'!$E$43)</f>
        <v>0.5725120328696142</v>
      </c>
      <c r="Y66" s="36">
        <f>Y33/(1+'Inputs'!$E$43)</f>
        <v>0.5613546109341191</v>
      </c>
      <c r="Z66" s="36">
        <f>Z33/(1+'Inputs'!$E$43)</f>
        <v>0.5513238312640053</v>
      </c>
      <c r="AA66" s="36">
        <f>AA33/(1+'Inputs'!$E$43)</f>
        <v>0.5423376563609846</v>
      </c>
      <c r="AB66" s="36">
        <f>AB33/(1+'Inputs'!$E$43)</f>
        <v>0.5343213242531126</v>
      </c>
      <c r="AC66" s="36">
        <f>AC33/(1+'Inputs'!$E$43)</f>
        <v>0.5272066948915716</v>
      </c>
      <c r="AD66" s="36">
        <f>AD33/(1+'Inputs'!$E$43)</f>
        <v>0.5207989365981358</v>
      </c>
      <c r="AE66" s="36">
        <f>AE33/(1+'Inputs'!$E$43)</f>
        <v>0.5150420500224286</v>
      </c>
      <c r="AF66" s="36">
        <f>AF33/(1+'Inputs'!$E$43)</f>
        <v>0.45827119889374957</v>
      </c>
      <c r="AG66" s="36">
        <f>AG33/(1+'Inputs'!$E$43)</f>
        <v>0.4500759699613995</v>
      </c>
      <c r="AH66" s="36">
        <f>AH33/(1+'Inputs'!$E$43)</f>
        <v>0.4425352754904627</v>
      </c>
      <c r="AI66" s="36">
        <f>AI33/(1+'Inputs'!$E$43)</f>
        <v>0.4353881259495041</v>
      </c>
      <c r="AJ66" s="36">
        <f>AJ33/(1+'Inputs'!$E$43)</f>
        <v>0.42861298581552176</v>
      </c>
      <c r="AK66" s="36">
        <f>AK33/(1+'Inputs'!$E$43)</f>
        <v>0.4223069645691858</v>
      </c>
      <c r="AL66" s="36">
        <f>AL33/(1+'Inputs'!$E$43)</f>
        <v>0.416391136553486</v>
      </c>
      <c r="AM66" s="36">
        <f>AM33/(1+'Inputs'!$E$43)</f>
        <v>0.41083652744287164</v>
      </c>
      <c r="AN66" s="36">
        <f>AN33/(1+'Inputs'!$E$43)</f>
        <v>0.40561673080518823</v>
      </c>
      <c r="AO66" s="36">
        <f>AO33/(1+'Inputs'!$E$43)</f>
        <v>0.4007076772746897</v>
      </c>
      <c r="AP66" s="36">
        <f>AP33/(1+'Inputs'!$E$43)</f>
        <v>0.39604097294227125</v>
      </c>
      <c r="AQ66" s="36">
        <f>AQ33/(1+'Inputs'!$E$43)</f>
        <v>0.3915968310543483</v>
      </c>
    </row>
    <row r="67" ht="28" customHeight="1">
      <c r="A67" s="2" t="str">
        <v>DE.R2.REVENUE</v>
      </c>
      <c r="B67" s="6" t="str">
        <v>Germany: copy-trading revenue (net of VAT)</v>
      </c>
      <c r="C67" s="2" t="str">
        <v>EUR_per_user</v>
      </c>
      <c r="D67" s="2" t="str">
        <v>SUM</v>
      </c>
      <c r="E67" s="35">
        <f>SUM(H67:AQ67)</f>
        <v>49.13970119405569</v>
      </c>
      <c r="F67" s="6" t="str"/>
      <c r="G67" s="2"/>
      <c r="H67" s="36">
        <f>H36*'Inputs'!$E$31*'Inputs'!$E$27*'Inputs'!$E$61/'Inputs'!$E$62/(1+'Inputs'!$E$43)</f>
        <v>0.0</v>
      </c>
      <c r="I67" s="36">
        <f>I36*'Inputs'!$E$31*'Inputs'!$E$27*'Inputs'!$E$61/'Inputs'!$E$62/(1+'Inputs'!$E$43)</f>
        <v>0.0</v>
      </c>
      <c r="J67" s="36">
        <f>J36*'Inputs'!$E$31*'Inputs'!$E$27*'Inputs'!$E$61/'Inputs'!$E$62/(1+'Inputs'!$E$43)</f>
        <v>0.0</v>
      </c>
      <c r="K67" s="36">
        <f>K36*'Inputs'!$E$31*'Inputs'!$E$27*'Inputs'!$E$61/'Inputs'!$E$62/(1+'Inputs'!$E$43)</f>
        <v>0.30026995798319334</v>
      </c>
      <c r="L67" s="36">
        <f>L36*'Inputs'!$E$31*'Inputs'!$E$27*'Inputs'!$E$61/'Inputs'!$E$62/(1+'Inputs'!$E$43)</f>
        <v>0.522742699579832</v>
      </c>
      <c r="M67" s="36">
        <f>M36*'Inputs'!$E$31*'Inputs'!$E$27*'Inputs'!$E$61/'Inputs'!$E$62/(1+'Inputs'!$E$43)</f>
        <v>0.7062053236397057</v>
      </c>
      <c r="N67" s="36">
        <f>N36*'Inputs'!$E$31*'Inputs'!$E$27*'Inputs'!$E$61/'Inputs'!$E$62/(1+'Inputs'!$E$43)</f>
        <v>0.8643563606120009</v>
      </c>
      <c r="O67" s="36">
        <f>O36*'Inputs'!$E$31*'Inputs'!$E$27*'Inputs'!$E$61/'Inputs'!$E$62/(1+'Inputs'!$E$43)</f>
        <v>0.9904920905668015</v>
      </c>
      <c r="P67" s="36">
        <f>P36*'Inputs'!$E$31*'Inputs'!$E$27*'Inputs'!$E$61/'Inputs'!$E$62/(1+'Inputs'!$E$43)</f>
        <v>1.0879843673120992</v>
      </c>
      <c r="Q67" s="36">
        <f>Q36*'Inputs'!$E$31*'Inputs'!$E$27*'Inputs'!$E$61/'Inputs'!$E$62/(1+'Inputs'!$E$43)</f>
        <v>1.15986314010173</v>
      </c>
      <c r="R67" s="36">
        <f>R36*'Inputs'!$E$31*'Inputs'!$E$27*'Inputs'!$E$61/'Inputs'!$E$62/(1+'Inputs'!$E$43)</f>
        <v>1.2415218432189445</v>
      </c>
      <c r="S67" s="36">
        <f>S36*'Inputs'!$E$31*'Inputs'!$E$27*'Inputs'!$E$61/'Inputs'!$E$62/(1+'Inputs'!$E$43)</f>
        <v>1.3080977373416867</v>
      </c>
      <c r="T67" s="36">
        <f>T36*'Inputs'!$E$31*'Inputs'!$E$27*'Inputs'!$E$61/'Inputs'!$E$62/(1+'Inputs'!$E$43)</f>
        <v>1.3611008622975662</v>
      </c>
      <c r="U67" s="36">
        <f>U36*'Inputs'!$E$31*'Inputs'!$E$27*'Inputs'!$E$61/'Inputs'!$E$62/(1+'Inputs'!$E$43)</f>
        <v>1.431934099962166</v>
      </c>
      <c r="V67" s="36">
        <f>V36*'Inputs'!$E$31*'Inputs'!$E$27*'Inputs'!$E$61/'Inputs'!$E$62/(1+'Inputs'!$E$43)</f>
        <v>1.4948679351743561</v>
      </c>
      <c r="W67" s="36">
        <f>W36*'Inputs'!$E$31*'Inputs'!$E$27*'Inputs'!$E$61/'Inputs'!$E$62/(1+'Inputs'!$E$43)</f>
        <v>1.5506174828160628</v>
      </c>
      <c r="X67" s="36">
        <f>X36*'Inputs'!$E$31*'Inputs'!$E$27*'Inputs'!$E$61/'Inputs'!$E$62/(1+'Inputs'!$E$43)</f>
        <v>1.5998333614220028</v>
      </c>
      <c r="Y67" s="36">
        <f>Y36*'Inputs'!$E$31*'Inputs'!$E$27*'Inputs'!$E$61/'Inputs'!$E$62/(1+'Inputs'!$E$43)</f>
        <v>1.6431074908536871</v>
      </c>
      <c r="Z67" s="36">
        <f>Z36*'Inputs'!$E$31*'Inputs'!$E$27*'Inputs'!$E$61/'Inputs'!$E$62/(1+'Inputs'!$E$43)</f>
        <v>1.680978370354955</v>
      </c>
      <c r="AA67" s="36">
        <f>AA36*'Inputs'!$E$31*'Inputs'!$E$27*'Inputs'!$E$61/'Inputs'!$E$62/(1+'Inputs'!$E$43)</f>
        <v>1.7139358834359768</v>
      </c>
      <c r="AB67" s="36">
        <f>AB36*'Inputs'!$E$31*'Inputs'!$E$27*'Inputs'!$E$61/'Inputs'!$E$62/(1+'Inputs'!$E$43)</f>
        <v>1.742425671890939</v>
      </c>
      <c r="AC67" s="36">
        <f>AC36*'Inputs'!$E$31*'Inputs'!$E$27*'Inputs'!$E$61/'Inputs'!$E$62/(1+'Inputs'!$E$43)</f>
        <v>1.7668531174814048</v>
      </c>
      <c r="AD67" s="36">
        <f>AD36*'Inputs'!$E$31*'Inputs'!$E$27*'Inputs'!$E$61/'Inputs'!$E$62/(1+'Inputs'!$E$43)</f>
        <v>1.7875869663798947</v>
      </c>
      <c r="AE67" s="36">
        <f>AE36*'Inputs'!$E$31*'Inputs'!$E$27*'Inputs'!$E$61/'Inputs'!$E$62/(1+'Inputs'!$E$43)</f>
        <v>1.804962628336796</v>
      </c>
      <c r="AF67" s="36">
        <f>AF36*'Inputs'!$E$31*'Inputs'!$E$27*'Inputs'!$E$61/'Inputs'!$E$62/(1+'Inputs'!$E$43)</f>
        <v>1.8192851796810305</v>
      </c>
      <c r="AG67" s="36">
        <f>AG36*'Inputs'!$E$31*'Inputs'!$E$27*'Inputs'!$E$61/'Inputs'!$E$62/(1+'Inputs'!$E$43)</f>
        <v>1.8140611156280915</v>
      </c>
      <c r="AH67" s="36">
        <f>AH36*'Inputs'!$E$31*'Inputs'!$E$27*'Inputs'!$E$61/'Inputs'!$E$62/(1+'Inputs'!$E$43)</f>
        <v>1.8058891757384348</v>
      </c>
      <c r="AI67" s="36">
        <f>AI36*'Inputs'!$E$31*'Inputs'!$E$27*'Inputs'!$E$61/'Inputs'!$E$62/(1+'Inputs'!$E$43)</f>
        <v>1.7950530133028006</v>
      </c>
      <c r="AJ67" s="36">
        <f>AJ36*'Inputs'!$E$31*'Inputs'!$E$27*'Inputs'!$E$61/'Inputs'!$E$62/(1+'Inputs'!$E$43)</f>
        <v>1.7818093589554218</v>
      </c>
      <c r="AK67" s="36">
        <f>AK36*'Inputs'!$E$31*'Inputs'!$E$27*'Inputs'!$E$61/'Inputs'!$E$62/(1+'Inputs'!$E$43)</f>
        <v>1.780988817123421</v>
      </c>
      <c r="AL67" s="36">
        <f>AL36*'Inputs'!$E$31*'Inputs'!$E$27*'Inputs'!$E$61/'Inputs'!$E$62/(1+'Inputs'!$E$43)</f>
        <v>1.7784513725154998</v>
      </c>
      <c r="AM67" s="36">
        <f>AM36*'Inputs'!$E$31*'Inputs'!$E$27*'Inputs'!$E$61/'Inputs'!$E$62/(1+'Inputs'!$E$43)</f>
        <v>1.7743556109468723</v>
      </c>
      <c r="AN67" s="36">
        <f>AN36*'Inputs'!$E$31*'Inputs'!$E$27*'Inputs'!$E$61/'Inputs'!$E$62/(1+'Inputs'!$E$43)</f>
        <v>1.7688455632667222</v>
      </c>
      <c r="AO67" s="36">
        <f>AO36*'Inputs'!$E$31*'Inputs'!$E$27*'Inputs'!$E$61/'Inputs'!$E$62/(1+'Inputs'!$E$43)</f>
        <v>1.7620520339199135</v>
      </c>
      <c r="AP67" s="36">
        <f>AP36*'Inputs'!$E$31*'Inputs'!$E$27*'Inputs'!$E$61/'Inputs'!$E$62/(1+'Inputs'!$E$43)</f>
        <v>1.7540938088128386</v>
      </c>
      <c r="AQ67" s="36">
        <f>AQ36*'Inputs'!$E$31*'Inputs'!$E$27*'Inputs'!$E$61/'Inputs'!$E$62/(1+'Inputs'!$E$43)</f>
        <v>1.7450787534028442</v>
      </c>
    </row>
    <row r="68" ht="22" customHeight="1">
      <c r="A68" s="2" t="str">
        <v>DE.WEB_GROSS</v>
      </c>
      <c r="B68" s="6" t="str">
        <v>Germany: web card volume (incl. VAT)</v>
      </c>
      <c r="C68" s="2" t="str">
        <v>EUR_per_user</v>
      </c>
      <c r="D68" s="2" t="str">
        <v>NA</v>
      </c>
      <c r="E68" s="2"/>
      <c r="F68" s="6" t="str"/>
      <c r="G68" s="2"/>
      <c r="H68" s="36">
        <f>H32*(1-'Inputs'!$E$25)+H67*(1+'Inputs'!$E$43)</f>
        <v>2.44752</v>
      </c>
      <c r="I68" s="36">
        <f>I32*(1-'Inputs'!$E$25)+I67*(1+'Inputs'!$E$43)</f>
        <v>0.6159545280000001</v>
      </c>
      <c r="J68" s="36">
        <f>J32*(1-'Inputs'!$E$25)+J67*(1+'Inputs'!$E$43)</f>
        <v>0.5813632926719999</v>
      </c>
      <c r="K68" s="36">
        <f>K32*(1-'Inputs'!$E$25)+K67*(1+'Inputs'!$E$43)</f>
        <v>0.912188064096256</v>
      </c>
      <c r="L68" s="36">
        <f>L32*(1-'Inputs'!$E$25)+L67*(1+'Inputs'!$E$43)</f>
        <v>1.1496788745686057</v>
      </c>
      <c r="M68" s="36">
        <f>M32*(1-'Inputs'!$E$25)+M67*(1+'Inputs'!$E$43)</f>
        <v>1.3445344006774693</v>
      </c>
      <c r="N68" s="36">
        <f>N32*(1-'Inputs'!$E$25)+N67*(1+'Inputs'!$E$43)</f>
        <v>1.511709840137983</v>
      </c>
      <c r="O68" s="36">
        <f>O32*(1-'Inputs'!$E$25)+O67*(1+'Inputs'!$E$43)</f>
        <v>1.641399127763973</v>
      </c>
      <c r="P68" s="36">
        <f>P32*(1-'Inputs'!$E$25)+P67*(1+'Inputs'!$E$43)</f>
        <v>1.7375658499892621</v>
      </c>
      <c r="Q68" s="36">
        <f>Q32*(1-'Inputs'!$E$25)+Q67*(1+'Inputs'!$E$43)</f>
        <v>1.8037710467870598</v>
      </c>
      <c r="R68" s="36">
        <f>R32*(1-'Inputs'!$E$25)+R67*(1+'Inputs'!$E$43)</f>
        <v>1.8842949692267055</v>
      </c>
      <c r="S68" s="36">
        <f>S32*(1-'Inputs'!$E$25)+S67*(1+'Inputs'!$E$43)</f>
        <v>1.9477132321201742</v>
      </c>
      <c r="T68" s="36">
        <f>T32*(1-'Inputs'!$E$25)+T67*(1+'Inputs'!$E$43)</f>
        <v>2.6760996144656106</v>
      </c>
      <c r="U68" s="36">
        <f>U32*(1-'Inputs'!$E$25)+U67*(1+'Inputs'!$E$43)</f>
        <v>2.1125283802310353</v>
      </c>
      <c r="V68" s="36">
        <f>V32*(1-'Inputs'!$E$25)+V67*(1+'Inputs'!$E$43)</f>
        <v>2.1696760116776104</v>
      </c>
      <c r="W68" s="36">
        <f>W32*(1-'Inputs'!$E$25)+W67*(1+'Inputs'!$E$43)</f>
        <v>2.222274289124069</v>
      </c>
      <c r="X68" s="36">
        <f>X32*(1-'Inputs'!$E$25)+X67*(1+'Inputs'!$E$43)</f>
        <v>2.2678909856029708</v>
      </c>
      <c r="Y68" s="36">
        <f>Y32*(1-'Inputs'!$E$25)+Y67*(1+'Inputs'!$E$43)</f>
        <v>2.308399978846658</v>
      </c>
      <c r="Z68" s="36">
        <f>Z32*(1-'Inputs'!$E$25)+Z67*(1+'Inputs'!$E$43)</f>
        <v>2.3437511620569036</v>
      </c>
      <c r="AA68" s="36">
        <f>AA32*(1-'Inputs'!$E$25)+AA67*(1+'Inputs'!$E$43)</f>
        <v>2.3738484484520486</v>
      </c>
      <c r="AB68" s="36">
        <f>AB32*(1-'Inputs'!$E$25)+AB67*(1+'Inputs'!$E$43)</f>
        <v>2.3991695424967796</v>
      </c>
      <c r="AC68" s="36">
        <f>AC32*(1-'Inputs'!$E$25)+AC67*(1+'Inputs'!$E$43)</f>
        <v>2.420148967829283</v>
      </c>
      <c r="AD68" s="36">
        <f>AD32*(1-'Inputs'!$E$25)+AD67*(1+'Inputs'!$E$43)</f>
        <v>2.4377942581080942</v>
      </c>
      <c r="AE68" s="36">
        <f>AE32*(1-'Inputs'!$E$25)+AE67*(1+'Inputs'!$E$43)</f>
        <v>2.4518496906536633</v>
      </c>
      <c r="AF68" s="36">
        <f>AF32*(1-'Inputs'!$E$25)+AF67*(1+'Inputs'!$E$43)</f>
        <v>2.700764599803811</v>
      </c>
      <c r="AG68" s="36">
        <f>AG32*(1-'Inputs'!$E$25)+AG67*(1+'Inputs'!$E$43)</f>
        <v>2.4664550232767843</v>
      </c>
      <c r="AH68" s="36">
        <f>AH32*(1-'Inputs'!$E$25)+AH67*(1+'Inputs'!$E$43)</f>
        <v>2.4487111795972103</v>
      </c>
      <c r="AI68" s="36">
        <f>AI32*(1-'Inputs'!$E$25)+AI67*(1+'Inputs'!$E$43)</f>
        <v>2.4290616113444483</v>
      </c>
      <c r="AJ68" s="36">
        <f>AJ32*(1-'Inputs'!$E$25)+AJ67*(1+'Inputs'!$E$43)</f>
        <v>2.4067018320926215</v>
      </c>
      <c r="AK68" s="36">
        <f>AK32*(1-'Inputs'!$E$25)+AK67*(1+'Inputs'!$E$43)</f>
        <v>2.4002542255682626</v>
      </c>
      <c r="AL68" s="36">
        <f>AL32*(1-'Inputs'!$E$25)+AL67*(1+'Inputs'!$E$43)</f>
        <v>2.3922103630185085</v>
      </c>
      <c r="AM68" s="36">
        <f>AM32*(1-'Inputs'!$E$25)+AM67*(1+'Inputs'!$E$43)</f>
        <v>2.3825211556565113</v>
      </c>
      <c r="AN68" s="36">
        <f>AN32*(1-'Inputs'!$E$25)+AN67*(1+'Inputs'!$E$43)</f>
        <v>2.371339462081272</v>
      </c>
      <c r="AO68" s="36">
        <f>AO32*(1-'Inputs'!$E$25)+AO67*(1+'Inputs'!$E$43)</f>
        <v>2.358804069303678</v>
      </c>
      <c r="AP68" s="36">
        <f>AP32*(1-'Inputs'!$E$25)+AP67*(1+'Inputs'!$E$43)</f>
        <v>2.345255286088205</v>
      </c>
      <c r="AQ68" s="36">
        <f>AQ32*(1-'Inputs'!$E$25)+AQ67*(1+'Inputs'!$E$43)</f>
        <v>2.3305921812353816</v>
      </c>
    </row>
    <row r="69" ht="22" customHeight="1">
      <c r="A69" s="2" t="str">
        <v>DE.TRANSACTIONS</v>
      </c>
      <c r="B69" s="6" t="str">
        <v>Germany: web card payments (count)</v>
      </c>
      <c r="C69" s="2" t="str">
        <v>EUR_per_user</v>
      </c>
      <c r="D69" s="2" t="str">
        <v>NA</v>
      </c>
      <c r="E69" s="2"/>
      <c r="F69" s="6" t="str"/>
      <c r="G69" s="2"/>
      <c r="H69" s="36">
        <f>H34*(1-'Inputs'!$E$25)+H36*'Inputs'!$E$31</f>
        <v>0.047999999999999994</v>
      </c>
      <c r="I69" s="36">
        <f>I34*(1-'Inputs'!$E$25)+I36*'Inputs'!$E$31</f>
        <v>0.033667199999999994</v>
      </c>
      <c r="J69" s="36">
        <f>J34*(1-'Inputs'!$E$25)+J36*'Inputs'!$E$31</f>
        <v>0.032436172799999996</v>
      </c>
      <c r="K69" s="36">
        <f>K34*(1-'Inputs'!$E$25)+K36*'Inputs'!$E$31</f>
        <v>0.049087026534399995</v>
      </c>
      <c r="L69" s="36">
        <f>L34*(1-'Inputs'!$E$25)+L36*'Inputs'!$E$31</f>
        <v>0.061053451920243196</v>
      </c>
      <c r="M69" s="36">
        <f>M34*(1-'Inputs'!$E$25)+M36*'Inputs'!$E$31</f>
        <v>0.07073748871135635</v>
      </c>
      <c r="N69" s="36">
        <f>N34*(1-'Inputs'!$E$25)+N36*'Inputs'!$E$31</f>
        <v>0.07897114343505374</v>
      </c>
      <c r="O69" s="36">
        <f>O34*(1-'Inputs'!$E$25)+O36*'Inputs'!$E$31</f>
        <v>0.0853386406068152</v>
      </c>
      <c r="P69" s="36">
        <f>P34*(1-'Inputs'!$E$25)+P36*'Inputs'!$E$31</f>
        <v>0.0900374639962966</v>
      </c>
      <c r="Q69" s="36">
        <f>Q34*(1-'Inputs'!$E$25)+Q36*'Inputs'!$E$31</f>
        <v>0.09324502997945316</v>
      </c>
      <c r="R69" s="36">
        <f>R34*(1-'Inputs'!$E$25)+R36*'Inputs'!$E$31</f>
        <v>0.09710880564065116</v>
      </c>
      <c r="S69" s="36">
        <f>S34*(1-'Inputs'!$E$25)+S36*'Inputs'!$E$31</f>
        <v>0.10013037524139681</v>
      </c>
      <c r="T69" s="36">
        <f>T34*(1-'Inputs'!$E$25)+T36*'Inputs'!$E$31</f>
        <v>0.10743478622701177</v>
      </c>
      <c r="U69" s="36">
        <f>U34*(1-'Inputs'!$E$25)+U36*'Inputs'!$E$31</f>
        <v>0.10615054992671454</v>
      </c>
      <c r="V69" s="36">
        <f>V34*(1-'Inputs'!$E$25)+V36*'Inputs'!$E$31</f>
        <v>0.10911948641557019</v>
      </c>
      <c r="W69" s="36">
        <f>W34*(1-'Inputs'!$E$25)+W36*'Inputs'!$E$31</f>
        <v>0.11174092262294978</v>
      </c>
      <c r="X69" s="36">
        <f>X34*(1-'Inputs'!$E$25)+X36*'Inputs'!$E$31</f>
        <v>0.1140253037162635</v>
      </c>
      <c r="Y69" s="36">
        <f>Y34*(1-'Inputs'!$E$25)+Y36*'Inputs'!$E$31</f>
        <v>0.11601240465929835</v>
      </c>
      <c r="Z69" s="36">
        <f>Z34*(1-'Inputs'!$E$25)+Z36*'Inputs'!$E$31</f>
        <v>0.11772540908323662</v>
      </c>
      <c r="AA69" s="36">
        <f>AA34*(1-'Inputs'!$E$25)+AA36*'Inputs'!$E$31</f>
        <v>0.1191850318482289</v>
      </c>
      <c r="AB69" s="36">
        <f>AB34*(1-'Inputs'!$E$25)+AB36*'Inputs'!$E$31</f>
        <v>0.12041430180585272</v>
      </c>
      <c r="AC69" s="36">
        <f>AC34*(1-'Inputs'!$E$25)+AC36*'Inputs'!$E$31</f>
        <v>0.12143416564532991</v>
      </c>
      <c r="AD69" s="36">
        <f>AD34*(1-'Inputs'!$E$25)+AD36*'Inputs'!$E$31</f>
        <v>0.12226821131601975</v>
      </c>
      <c r="AE69" s="36">
        <f>AE34*(1-'Inputs'!$E$25)+AE36*'Inputs'!$E$31</f>
        <v>0.12292920951258718</v>
      </c>
      <c r="AF69" s="36">
        <f>AF34*(1-'Inputs'!$E$25)+AF36*'Inputs'!$E$31</f>
        <v>0.12519691991436083</v>
      </c>
      <c r="AG69" s="36">
        <f>AG34*(1-'Inputs'!$E$25)+AG36*'Inputs'!$E$31</f>
        <v>0.12291063530634135</v>
      </c>
      <c r="AH69" s="36">
        <f>AH34*(1-'Inputs'!$E$25)+AH36*'Inputs'!$E$31</f>
        <v>0.12208973784822912</v>
      </c>
      <c r="AI69" s="36">
        <f>AI34*(1-'Inputs'!$E$25)+AI36*'Inputs'!$E$31</f>
        <v>0.12112924288973054</v>
      </c>
      <c r="AJ69" s="36">
        <f>AJ34*(1-'Inputs'!$E$25)+AJ36*'Inputs'!$E$31</f>
        <v>0.12003535246813116</v>
      </c>
      <c r="AK69" s="36">
        <f>AK34*(1-'Inputs'!$E$25)+AK36*'Inputs'!$E$31</f>
        <v>0.11970411736149306</v>
      </c>
      <c r="AL69" s="36">
        <f>AL34*(1-'Inputs'!$E$25)+AL36*'Inputs'!$E$31</f>
        <v>0.11928741213677058</v>
      </c>
      <c r="AM69" s="36">
        <f>AM34*(1-'Inputs'!$E$25)+AM36*'Inputs'!$E$31</f>
        <v>0.1187917118254557</v>
      </c>
      <c r="AN69" s="36">
        <f>AN34*(1-'Inputs'!$E$25)+AN36*'Inputs'!$E$31</f>
        <v>0.1182243575794286</v>
      </c>
      <c r="AO69" s="36">
        <f>AO34*(1-'Inputs'!$E$25)+AO36*'Inputs'!$E$31</f>
        <v>0.11759201406147665</v>
      </c>
      <c r="AP69" s="36">
        <f>AP34*(1-'Inputs'!$E$25)+AP36*'Inputs'!$E$31</f>
        <v>0.1169023189538659</v>
      </c>
      <c r="AQ69" s="36">
        <f>AQ34*(1-'Inputs'!$E$25)+AQ36*'Inputs'!$E$31</f>
        <v>0.11615916903849284</v>
      </c>
    </row>
    <row r="70" ht="28" customHeight="1">
      <c r="A70" s="2" t="str">
        <v>DE.TRADER</v>
      </c>
      <c r="B70" s="6" t="str">
        <v>Germany: lead-trader share of copy fees</v>
      </c>
      <c r="C70" s="2" t="str">
        <v>EUR_per_user</v>
      </c>
      <c r="D70" s="2" t="str">
        <v>NA</v>
      </c>
      <c r="E70" s="2"/>
      <c r="F70" s="6" t="str"/>
      <c r="G70" s="2"/>
      <c r="H70" s="36">
        <f>H67*'Inputs'!$E$28</f>
        <v>0.0</v>
      </c>
      <c r="I70" s="36">
        <f>I67*'Inputs'!$E$28</f>
        <v>0.0</v>
      </c>
      <c r="J70" s="36">
        <f>J67*'Inputs'!$E$28</f>
        <v>0.0</v>
      </c>
      <c r="K70" s="36">
        <f>K67*'Inputs'!$E$28</f>
        <v>0.15013497899159667</v>
      </c>
      <c r="L70" s="36">
        <f>L67*'Inputs'!$E$28</f>
        <v>0.261371349789916</v>
      </c>
      <c r="M70" s="36">
        <f>M67*'Inputs'!$E$28</f>
        <v>0.35310266181985284</v>
      </c>
      <c r="N70" s="36">
        <f>N67*'Inputs'!$E$28</f>
        <v>0.43217818030600047</v>
      </c>
      <c r="O70" s="36">
        <f>O67*'Inputs'!$E$28</f>
        <v>0.49524604528340077</v>
      </c>
      <c r="P70" s="36">
        <f>P67*'Inputs'!$E$28</f>
        <v>0.5439921836560496</v>
      </c>
      <c r="Q70" s="36">
        <f>Q67*'Inputs'!$E$28</f>
        <v>0.579931570050865</v>
      </c>
      <c r="R70" s="36">
        <f>R67*'Inputs'!$E$28</f>
        <v>0.6207609216094723</v>
      </c>
      <c r="S70" s="36">
        <f>S67*'Inputs'!$E$28</f>
        <v>0.6540488686708433</v>
      </c>
      <c r="T70" s="36">
        <f>T67*'Inputs'!$E$28</f>
        <v>0.6805504311487831</v>
      </c>
      <c r="U70" s="36">
        <f>U67*'Inputs'!$E$28</f>
        <v>0.715967049981083</v>
      </c>
      <c r="V70" s="36">
        <f>V67*'Inputs'!$E$28</f>
        <v>0.7474339675871781</v>
      </c>
      <c r="W70" s="36">
        <f>W67*'Inputs'!$E$28</f>
        <v>0.7753087414080314</v>
      </c>
      <c r="X70" s="36">
        <f>X67*'Inputs'!$E$28</f>
        <v>0.7999166807110014</v>
      </c>
      <c r="Y70" s="36">
        <f>Y67*'Inputs'!$E$28</f>
        <v>0.8215537454268436</v>
      </c>
      <c r="Z70" s="36">
        <f>Z67*'Inputs'!$E$28</f>
        <v>0.8404891851774775</v>
      </c>
      <c r="AA70" s="36">
        <f>AA67*'Inputs'!$E$28</f>
        <v>0.8569679417179884</v>
      </c>
      <c r="AB70" s="36">
        <f>AB67*'Inputs'!$E$28</f>
        <v>0.8712128359454695</v>
      </c>
      <c r="AC70" s="36">
        <f>AC67*'Inputs'!$E$28</f>
        <v>0.8834265587407024</v>
      </c>
      <c r="AD70" s="36">
        <f>AD67*'Inputs'!$E$28</f>
        <v>0.8937934831899473</v>
      </c>
      <c r="AE70" s="36">
        <f>AE67*'Inputs'!$E$28</f>
        <v>0.902481314168398</v>
      </c>
      <c r="AF70" s="36">
        <f>AF67*'Inputs'!$E$28</f>
        <v>0.9096425898405153</v>
      </c>
      <c r="AG70" s="36">
        <f>AG67*'Inputs'!$E$28</f>
        <v>0.9070305578140457</v>
      </c>
      <c r="AH70" s="36">
        <f>AH67*'Inputs'!$E$28</f>
        <v>0.9029445878692174</v>
      </c>
      <c r="AI70" s="36">
        <f>AI67*'Inputs'!$E$28</f>
        <v>0.8975265066514003</v>
      </c>
      <c r="AJ70" s="36">
        <f>AJ67*'Inputs'!$E$28</f>
        <v>0.8909046794777109</v>
      </c>
      <c r="AK70" s="36">
        <f>AK67*'Inputs'!$E$28</f>
        <v>0.8904944085617105</v>
      </c>
      <c r="AL70" s="36">
        <f>AL67*'Inputs'!$E$28</f>
        <v>0.8892256862577499</v>
      </c>
      <c r="AM70" s="36">
        <f>AM67*'Inputs'!$E$28</f>
        <v>0.8871778054734362</v>
      </c>
      <c r="AN70" s="36">
        <f>AN67*'Inputs'!$E$28</f>
        <v>0.8844227816333611</v>
      </c>
      <c r="AO70" s="36">
        <f>AO67*'Inputs'!$E$28</f>
        <v>0.8810260169599567</v>
      </c>
      <c r="AP70" s="36">
        <f>AP67*'Inputs'!$E$28</f>
        <v>0.8770469044064193</v>
      </c>
      <c r="AQ70" s="36">
        <f>AQ67*'Inputs'!$E$28</f>
        <v>0.8725393767014221</v>
      </c>
    </row>
    <row r="71" ht="22" customHeight="1">
      <c r="A71" s="2" t="str">
        <v>DE.PROCESSOR</v>
      </c>
      <c r="B71" s="6" t="str">
        <v>Germany: card processing fees</v>
      </c>
      <c r="C71" s="2" t="str">
        <v>EUR_per_user</v>
      </c>
      <c r="D71" s="2" t="str">
        <v>NA</v>
      </c>
      <c r="E71" s="2"/>
      <c r="F71" s="6" t="str"/>
      <c r="G71" s="2"/>
      <c r="H71" s="36">
        <f>H68*'Inputs'!$E$32+H69*'Inputs'!$E$33</f>
        <v>0.048712799999999994</v>
      </c>
      <c r="I71" s="36">
        <f>I68*'Inputs'!$E$32+I69*'Inputs'!$E$33</f>
        <v>0.01765611792</v>
      </c>
      <c r="J71" s="36">
        <f>J68*'Inputs'!$E$32+J69*'Inputs'!$E$33</f>
        <v>0.01682949259008</v>
      </c>
      <c r="K71" s="36">
        <f>K68*'Inputs'!$E$32+K69*'Inputs'!$E$33</f>
        <v>0.02595457759504384</v>
      </c>
      <c r="L71" s="36">
        <f>L68*'Inputs'!$E$32+L69*'Inputs'!$E$33</f>
        <v>0.032508546098589886</v>
      </c>
      <c r="M71" s="36">
        <f>M68*'Inputs'!$E$32+M69*'Inputs'!$E$33</f>
        <v>0.03785238818800113</v>
      </c>
      <c r="N71" s="36">
        <f>N68*'Inputs'!$E$32+N69*'Inputs'!$E$33</f>
        <v>0.042418433460833176</v>
      </c>
      <c r="O71" s="36">
        <f>O68*'Inputs'!$E$32+O69*'Inputs'!$E$33</f>
        <v>0.045955647068163394</v>
      </c>
      <c r="P71" s="36">
        <f>P68*'Inputs'!$E$32+P69*'Inputs'!$E$33</f>
        <v>0.048572853748913083</v>
      </c>
      <c r="Q71" s="36">
        <f>Q68*'Inputs'!$E$32+Q69*'Inputs'!$E$33</f>
        <v>0.05036782319666919</v>
      </c>
      <c r="R71" s="36">
        <f>R68*'Inputs'!$E$32+R69*'Inputs'!$E$33</f>
        <v>0.052541625948563375</v>
      </c>
      <c r="S71" s="36">
        <f>S68*'Inputs'!$E$32+S69*'Inputs'!$E$33</f>
        <v>0.05424829229215182</v>
      </c>
      <c r="T71" s="36">
        <f>T68*'Inputs'!$E$32+T69*'Inputs'!$E$33</f>
        <v>0.0670001907737371</v>
      </c>
      <c r="U71" s="36">
        <f>U68*'Inputs'!$E$32+U69*'Inputs'!$E$33</f>
        <v>0.05822556318514416</v>
      </c>
      <c r="V71" s="36">
        <f>V68*'Inputs'!$E$32+V69*'Inputs'!$E$33</f>
        <v>0.059825011779056705</v>
      </c>
      <c r="W71" s="36">
        <f>W68*'Inputs'!$E$32+W69*'Inputs'!$E$33</f>
        <v>0.06126934499259848</v>
      </c>
      <c r="X71" s="36">
        <f>X68*'Inputs'!$E$32+X69*'Inputs'!$E$33</f>
        <v>0.06252469071311044</v>
      </c>
      <c r="Y71" s="36">
        <f>Y68*'Inputs'!$E$32+Y69*'Inputs'!$E$33</f>
        <v>0.06362910084752446</v>
      </c>
      <c r="Z71" s="36">
        <f>Z68*'Inputs'!$E$32+Z69*'Inputs'!$E$33</f>
        <v>0.06458761970166271</v>
      </c>
      <c r="AA71" s="36">
        <f>AA68*'Inputs'!$E$32+AA69*'Inputs'!$E$33</f>
        <v>0.06540398468883796</v>
      </c>
      <c r="AB71" s="36">
        <f>AB68*'Inputs'!$E$32+AB69*'Inputs'!$E$33</f>
        <v>0.06609111858891487</v>
      </c>
      <c r="AC71" s="36">
        <f>AC68*'Inputs'!$E$32+AC69*'Inputs'!$E$33</f>
        <v>0.06666077592877173</v>
      </c>
      <c r="AD71" s="36">
        <f>AD68*'Inputs'!$E$32+AD69*'Inputs'!$E$33</f>
        <v>0.06713396670062635</v>
      </c>
      <c r="AE71" s="36">
        <f>AE68*'Inputs'!$E$32+AE69*'Inputs'!$E$33</f>
        <v>0.06751004773795174</v>
      </c>
      <c r="AF71" s="36">
        <f>AF68*'Inputs'!$E$32+AF69*'Inputs'!$E$33</f>
        <v>0.07181069897564737</v>
      </c>
      <c r="AG71" s="36">
        <f>AG68*'Inputs'!$E$32+AG69*'Inputs'!$E$33</f>
        <v>0.0677244841757371</v>
      </c>
      <c r="AH71" s="36">
        <f>AH68*'Inputs'!$E$32+AH69*'Inputs'!$E$33</f>
        <v>0.06725310215601543</v>
      </c>
      <c r="AI71" s="36">
        <f>AI68*'Inputs'!$E$32+AI69*'Inputs'!$E$33</f>
        <v>0.06671823489259936</v>
      </c>
      <c r="AJ71" s="36">
        <f>AJ68*'Inputs'!$E$32+AJ69*'Inputs'!$E$33</f>
        <v>0.0661093655984221</v>
      </c>
      <c r="AK71" s="36">
        <f>AK68*'Inputs'!$E$32+AK69*'Inputs'!$E$33</f>
        <v>0.06592984272389721</v>
      </c>
      <c r="AL71" s="36">
        <f>AL68*'Inputs'!$E$32+AL69*'Inputs'!$E$33</f>
        <v>0.06570500847947028</v>
      </c>
      <c r="AM71" s="36">
        <f>AM68*'Inputs'!$E$32+AM69*'Inputs'!$E$33</f>
        <v>0.0654357452912116</v>
      </c>
      <c r="AN71" s="36">
        <f>AN68*'Inputs'!$E$32+AN69*'Inputs'!$E$33</f>
        <v>0.06512618132607623</v>
      </c>
      <c r="AO71" s="36">
        <f>AO68*'Inputs'!$E$32+AO69*'Inputs'!$E$33</f>
        <v>0.06478006455492433</v>
      </c>
      <c r="AP71" s="36">
        <f>AP68*'Inputs'!$E$32+AP69*'Inputs'!$E$33</f>
        <v>0.06440440902978954</v>
      </c>
      <c r="AQ71" s="36">
        <f>AQ68*'Inputs'!$E$32+AQ69*'Inputs'!$E$33</f>
        <v>0.06399867497815394</v>
      </c>
    </row>
    <row r="72" ht="22" customHeight="1">
      <c r="A72" s="2" t="str">
        <v>DE.BILLING</v>
      </c>
      <c r="B72" s="6" t="str">
        <v>Germany: subscription billing fees</v>
      </c>
      <c r="C72" s="2" t="str">
        <v>EUR_per_user</v>
      </c>
      <c r="D72" s="2" t="str">
        <v>NA</v>
      </c>
      <c r="E72" s="2"/>
      <c r="F72" s="6" t="str"/>
      <c r="G72" s="2"/>
      <c r="H72" s="36">
        <f>H68*'Inputs'!$E$34</f>
        <v>0.01713264</v>
      </c>
      <c r="I72" s="36">
        <f>I68*'Inputs'!$E$34</f>
        <v>0.004311681696</v>
      </c>
      <c r="J72" s="36">
        <f>J68*'Inputs'!$E$34</f>
        <v>0.004069543048703999</v>
      </c>
      <c r="K72" s="36">
        <f>K68*'Inputs'!$E$34</f>
        <v>0.006385316448673792</v>
      </c>
      <c r="L72" s="36">
        <f>L68*'Inputs'!$E$34</f>
        <v>0.00804775212198024</v>
      </c>
      <c r="M72" s="36">
        <f>M68*'Inputs'!$E$34</f>
        <v>0.009411740804742285</v>
      </c>
      <c r="N72" s="36">
        <f>N68*'Inputs'!$E$34</f>
        <v>0.01058196888096588</v>
      </c>
      <c r="O72" s="36">
        <f>O68*'Inputs'!$E$34</f>
        <v>0.011489793894347811</v>
      </c>
      <c r="P72" s="36">
        <f>P68*'Inputs'!$E$34</f>
        <v>0.012162960949924835</v>
      </c>
      <c r="Q72" s="36">
        <f>Q68*'Inputs'!$E$34</f>
        <v>0.012626397327509418</v>
      </c>
      <c r="R72" s="36">
        <f>R68*'Inputs'!$E$34</f>
        <v>0.013190064784586938</v>
      </c>
      <c r="S72" s="36">
        <f>S68*'Inputs'!$E$34</f>
        <v>0.01363399262484122</v>
      </c>
      <c r="T72" s="36">
        <f>T68*'Inputs'!$E$34</f>
        <v>0.018732697301259274</v>
      </c>
      <c r="U72" s="36">
        <f>U68*'Inputs'!$E$34</f>
        <v>0.014787698661617247</v>
      </c>
      <c r="V72" s="36">
        <f>V68*'Inputs'!$E$34</f>
        <v>0.015187732081743273</v>
      </c>
      <c r="W72" s="36">
        <f>W68*'Inputs'!$E$34</f>
        <v>0.015555920023868484</v>
      </c>
      <c r="X72" s="36">
        <f>X68*'Inputs'!$E$34</f>
        <v>0.015875236899220796</v>
      </c>
      <c r="Y72" s="36">
        <f>Y68*'Inputs'!$E$34</f>
        <v>0.016158799851926607</v>
      </c>
      <c r="Z72" s="36">
        <f>Z68*'Inputs'!$E$34</f>
        <v>0.016406258134398326</v>
      </c>
      <c r="AA72" s="36">
        <f>AA68*'Inputs'!$E$34</f>
        <v>0.01661693913916434</v>
      </c>
      <c r="AB72" s="36">
        <f>AB68*'Inputs'!$E$34</f>
        <v>0.016794186797477458</v>
      </c>
      <c r="AC72" s="36">
        <f>AC68*'Inputs'!$E$34</f>
        <v>0.016941042774804984</v>
      </c>
      <c r="AD72" s="36">
        <f>AD68*'Inputs'!$E$34</f>
        <v>0.01706455980675666</v>
      </c>
      <c r="AE72" s="36">
        <f>AE68*'Inputs'!$E$34</f>
        <v>0.017162947834575643</v>
      </c>
      <c r="AF72" s="36">
        <f>AF68*'Inputs'!$E$34</f>
        <v>0.018905352198626678</v>
      </c>
      <c r="AG72" s="36">
        <f>AG68*'Inputs'!$E$34</f>
        <v>0.017265185162937492</v>
      </c>
      <c r="AH72" s="36">
        <f>AH68*'Inputs'!$E$34</f>
        <v>0.017140978257180473</v>
      </c>
      <c r="AI72" s="36">
        <f>AI68*'Inputs'!$E$34</f>
        <v>0.01700343127941114</v>
      </c>
      <c r="AJ72" s="36">
        <f>AJ68*'Inputs'!$E$34</f>
        <v>0.01684691282464835</v>
      </c>
      <c r="AK72" s="36">
        <f>AK68*'Inputs'!$E$34</f>
        <v>0.016801779578977837</v>
      </c>
      <c r="AL72" s="36">
        <f>AL68*'Inputs'!$E$34</f>
        <v>0.01674547254112956</v>
      </c>
      <c r="AM72" s="36">
        <f>AM68*'Inputs'!$E$34</f>
        <v>0.01667764808959558</v>
      </c>
      <c r="AN72" s="36">
        <f>AN68*'Inputs'!$E$34</f>
        <v>0.016599376234568905</v>
      </c>
      <c r="AO72" s="36">
        <f>AO68*'Inputs'!$E$34</f>
        <v>0.016511628485125746</v>
      </c>
      <c r="AP72" s="36">
        <f>AP68*'Inputs'!$E$34</f>
        <v>0.016416787002617436</v>
      </c>
      <c r="AQ72" s="36">
        <f>AQ68*'Inputs'!$E$34</f>
        <v>0.016314145268647672</v>
      </c>
    </row>
    <row r="73" ht="22" customHeight="1">
      <c r="A73" s="2" t="str">
        <v>DE.STORE</v>
      </c>
      <c r="B73" s="6" t="str">
        <v>Germany: app-store commission</v>
      </c>
      <c r="C73" s="2" t="str">
        <v>EUR_per_user</v>
      </c>
      <c r="D73" s="2" t="str">
        <v>NA</v>
      </c>
      <c r="E73" s="2"/>
      <c r="F73" s="6" t="str"/>
      <c r="G73" s="2"/>
      <c r="H73" s="36">
        <f>H32*'Inputs'!$E$25/(1+'Inputs'!$E$43)*'Inputs'!$E$26</f>
        <v>0.20567394957983198</v>
      </c>
      <c r="I73" s="36">
        <f>I32*'Inputs'!$E$25/(1+'Inputs'!$E$43)*'Inputs'!$E$26</f>
        <v>0.05176088470588235</v>
      </c>
      <c r="J73" s="36">
        <f>J32*'Inputs'!$E$25/(1+'Inputs'!$E$43)*'Inputs'!$E$26</f>
        <v>0.048854058207731095</v>
      </c>
      <c r="K73" s="36">
        <f>K32*'Inputs'!$E$25/(1+'Inputs'!$E$43)*'Inputs'!$E$26</f>
        <v>0.04662746336943328</v>
      </c>
      <c r="L73" s="36">
        <f>L32*'Inputs'!$E$25/(1+'Inputs'!$E$43)*'Inputs'!$E$26</f>
        <v>0.044337400173832406</v>
      </c>
      <c r="M73" s="36">
        <f>M32*'Inputs'!$E$25/(1+'Inputs'!$E$43)*'Inputs'!$E$26</f>
        <v>0.04236555172657308</v>
      </c>
      <c r="N73" s="36">
        <f>N32*'Inputs'!$E$25/(1+'Inputs'!$E$43)*'Inputs'!$E$26</f>
        <v>0.04059880428652957</v>
      </c>
      <c r="O73" s="36">
        <f>O32*'Inputs'!$E$25/(1+'Inputs'!$E$43)*'Inputs'!$E$26</f>
        <v>0.03888349075541843</v>
      </c>
      <c r="P73" s="36">
        <f>P32*'Inputs'!$E$25/(1+'Inputs'!$E$43)*'Inputs'!$E$26</f>
        <v>0.03721550024267767</v>
      </c>
      <c r="Q73" s="36">
        <f>Q32*'Inputs'!$E$25/(1+'Inputs'!$E$43)*'Inputs'!$E$26</f>
        <v>0.03559108487949591</v>
      </c>
      <c r="R73" s="36">
        <f>R32*'Inputs'!$E$25/(1+'Inputs'!$E$43)*'Inputs'!$E$26</f>
        <v>0.03419193073917324</v>
      </c>
      <c r="S73" s="36">
        <f>S32*'Inputs'!$E$25/(1+'Inputs'!$E$43)*'Inputs'!$E$26</f>
        <v>0.03286360711626616</v>
      </c>
      <c r="T73" s="36">
        <f>T32*'Inputs'!$E$25/(1+'Inputs'!$E$43)*'Inputs'!$E$26</f>
        <v>0.08877223431357201</v>
      </c>
      <c r="U73" s="36">
        <f>U32*'Inputs'!$E$25/(1+'Inputs'!$E$43)*'Inputs'!$E$26</f>
        <v>0.03432998330050908</v>
      </c>
      <c r="V73" s="36">
        <f>V32*'Inputs'!$E$25/(1+'Inputs'!$E$43)*'Inputs'!$E$26</f>
        <v>0.03283892174959046</v>
      </c>
      <c r="W73" s="36">
        <f>W32*'Inputs'!$E$25/(1+'Inputs'!$E$43)*'Inputs'!$E$26</f>
        <v>0.031683990300248266</v>
      </c>
      <c r="X73" s="36">
        <f>X32*'Inputs'!$E$25/(1+'Inputs'!$E$43)*'Inputs'!$E$26</f>
        <v>0.03059573827821745</v>
      </c>
      <c r="Y73" s="36">
        <f>Y32*'Inputs'!$E$25/(1+'Inputs'!$E$43)*'Inputs'!$E$26</f>
        <v>0.029672442414350454</v>
      </c>
      <c r="Z73" s="36">
        <f>Z32*'Inputs'!$E$25/(1+'Inputs'!$E$43)*'Inputs'!$E$26</f>
        <v>0.028856042128950186</v>
      </c>
      <c r="AA73" s="36">
        <f>AA32*'Inputs'!$E$25/(1+'Inputs'!$E$43)*'Inputs'!$E$26</f>
        <v>0.02808947455153248</v>
      </c>
      <c r="AB73" s="36">
        <f>AB32*'Inputs'!$E$25/(1+'Inputs'!$E$43)*'Inputs'!$E$26</f>
        <v>0.027368318735005247</v>
      </c>
      <c r="AC73" s="36">
        <f>AC32*'Inputs'!$E$25/(1+'Inputs'!$E$43)*'Inputs'!$E$26</f>
        <v>0.02668855109465643</v>
      </c>
      <c r="AD73" s="36">
        <f>AD32*'Inputs'!$E$25/(1+'Inputs'!$E$43)*'Inputs'!$E$26</f>
        <v>0.02609796370722854</v>
      </c>
      <c r="AE73" s="36">
        <f>AE32*'Inputs'!$E$25/(1+'Inputs'!$E$43)*'Inputs'!$E$26</f>
        <v>0.025541526296880324</v>
      </c>
      <c r="AF73" s="36">
        <f>AF32*'Inputs'!$E$25/(1+'Inputs'!$E$43)*'Inputs'!$E$26</f>
        <v>0.04502649041877183</v>
      </c>
      <c r="AG73" s="36">
        <f>AG32*'Inputs'!$E$25/(1+'Inputs'!$E$43)*'Inputs'!$E$26</f>
        <v>0.025859016443643336</v>
      </c>
      <c r="AH73" s="36">
        <f>AH32*'Inputs'!$E$25/(1+'Inputs'!$E$43)*'Inputs'!$E$26</f>
        <v>0.02518513113180444</v>
      </c>
      <c r="AI73" s="36">
        <f>AI32*'Inputs'!$E$25/(1+'Inputs'!$E$43)*'Inputs'!$E$26</f>
        <v>0.024617523152446707</v>
      </c>
      <c r="AJ73" s="36">
        <f>AJ32*'Inputs'!$E$25/(1+'Inputs'!$E$43)*'Inputs'!$E$26</f>
        <v>0.024062915540812607</v>
      </c>
      <c r="AK73" s="36">
        <f>AK32*'Inputs'!$E$25/(1+'Inputs'!$E$43)*'Inputs'!$E$26</f>
        <v>0.023603154049696796</v>
      </c>
      <c r="AL73" s="36">
        <f>AL32*'Inputs'!$E$25/(1+'Inputs'!$E$43)*'Inputs'!$E$26</f>
        <v>0.023180943674375138</v>
      </c>
      <c r="AM73" s="36">
        <f>AM32*'Inputs'!$E$25/(1+'Inputs'!$E$43)*'Inputs'!$E$26</f>
        <v>0.022776300725187697</v>
      </c>
      <c r="AN73" s="36">
        <f>AN32*'Inputs'!$E$25/(1+'Inputs'!$E$43)*'Inputs'!$E$26</f>
        <v>0.02238766737763639</v>
      </c>
      <c r="AO73" s="36">
        <f>AO32*'Inputs'!$E$25/(1+'Inputs'!$E$43)*'Inputs'!$E$26</f>
        <v>0.022013625961258918</v>
      </c>
      <c r="AP73" s="36">
        <f>AP32*'Inputs'!$E$25/(1+'Inputs'!$E$43)*'Inputs'!$E$26</f>
        <v>0.02167089526058212</v>
      </c>
      <c r="AQ73" s="36">
        <f>AQ32*'Inputs'!$E$25/(1+'Inputs'!$E$43)*'Inputs'!$E$26</f>
        <v>0.021340207116470365</v>
      </c>
    </row>
    <row r="74" ht="22" customHeight="1">
      <c r="A74" s="2" t="str">
        <v>DE.DISPUTE</v>
      </c>
      <c r="B74" s="6" t="str">
        <v>Germany: card disputes</v>
      </c>
      <c r="C74" s="2" t="str">
        <v>EUR_per_user</v>
      </c>
      <c r="D74" s="2" t="str">
        <v>NA</v>
      </c>
      <c r="E74" s="2"/>
      <c r="F74" s="6" t="str"/>
      <c r="G74" s="2"/>
      <c r="H74" s="36">
        <f>H68*'Inputs'!$E$40+H69*'Inputs'!$E$40*'Inputs'!$E$41</f>
        <v>0.010222559999999999</v>
      </c>
      <c r="I74" s="36">
        <f>I68*'Inputs'!$E$40+I69*'Inputs'!$E$40*'Inputs'!$E$41</f>
        <v>0.003867895584</v>
      </c>
      <c r="J74" s="36">
        <f>J68*'Inputs'!$E$40+J69*'Inputs'!$E$40*'Inputs'!$E$41</f>
        <v>0.003690260246016</v>
      </c>
      <c r="K74" s="36">
        <f>K68*'Inputs'!$E$40+K69*'Inputs'!$E$40*'Inputs'!$E$41</f>
        <v>0.0056817857843527685</v>
      </c>
      <c r="L74" s="36">
        <f>L68*'Inputs'!$E$40+L69*'Inputs'!$E$40*'Inputs'!$E$41</f>
        <v>0.007112243738920409</v>
      </c>
      <c r="M74" s="36">
        <f>M68*'Inputs'!$E$40+M69*'Inputs'!$E$40*'Inputs'!$E$41</f>
        <v>0.008277852524713789</v>
      </c>
      <c r="N74" s="36">
        <f>N68*'Inputs'!$E$40+N69*'Inputs'!$E$40*'Inputs'!$E$41</f>
        <v>0.009273398126517174</v>
      </c>
      <c r="O74" s="36">
        <f>O68*'Inputs'!$E$40+O69*'Inputs'!$E$40*'Inputs'!$E$41</f>
        <v>0.010044515819700832</v>
      </c>
      <c r="P74" s="36">
        <f>P68*'Inputs'!$E$40+P69*'Inputs'!$E$40*'Inputs'!$E$41</f>
        <v>0.010614945389745582</v>
      </c>
      <c r="Q74" s="36">
        <f>Q68*'Inputs'!$E$40+Q69*'Inputs'!$E$40*'Inputs'!$E$41</f>
        <v>0.01100601493912837</v>
      </c>
      <c r="R74" s="36">
        <f>R68*'Inputs'!$E$40+R69*'Inputs'!$E$40*'Inputs'!$E$41</f>
        <v>0.011479413246119187</v>
      </c>
      <c r="S74" s="36">
        <f>S68*'Inputs'!$E$40+S69*'Inputs'!$E$40*'Inputs'!$E$41</f>
        <v>0.011850962210844331</v>
      </c>
      <c r="T74" s="36">
        <f>T68*'Inputs'!$E$40+T69*'Inputs'!$E$40*'Inputs'!$E$41</f>
        <v>0.014474386017017537</v>
      </c>
      <c r="U74" s="36">
        <f>U68*'Inputs'!$E$40+U69*'Inputs'!$E$40*'Inputs'!$E$41</f>
        <v>0.012706618136295979</v>
      </c>
      <c r="V74" s="36">
        <f>V68*'Inputs'!$E$40+V69*'Inputs'!$E$40*'Inputs'!$E$41</f>
        <v>0.013056197219967043</v>
      </c>
      <c r="W74" s="36">
        <f>W68*'Inputs'!$E$40+W69*'Inputs'!$E$40*'Inputs'!$E$41</f>
        <v>0.013371278224749195</v>
      </c>
      <c r="X74" s="36">
        <f>X68*'Inputs'!$E$40+X69*'Inputs'!$E$40*'Inputs'!$E$41</f>
        <v>0.013645191179784723</v>
      </c>
      <c r="Y74" s="36">
        <f>Y68*'Inputs'!$E$40+Y69*'Inputs'!$E$40*'Inputs'!$E$41</f>
        <v>0.013885944216097876</v>
      </c>
      <c r="Z74" s="36">
        <f>Z68*'Inputs'!$E$40+Z69*'Inputs'!$E$40*'Inputs'!$E$41</f>
        <v>0.014094778031164908</v>
      </c>
      <c r="AA74" s="36">
        <f>AA68*'Inputs'!$E$40+AA69*'Inputs'!$E$40*'Inputs'!$E$41</f>
        <v>0.014272647256249878</v>
      </c>
      <c r="AB74" s="36">
        <f>AB68*'Inputs'!$E$40+AB69*'Inputs'!$E$40*'Inputs'!$E$41</f>
        <v>0.014422366735841501</v>
      </c>
      <c r="AC74" s="36">
        <f>AC68*'Inputs'!$E$40+AC69*'Inputs'!$E$40*'Inputs'!$E$41</f>
        <v>0.014546496842207645</v>
      </c>
      <c r="AD74" s="36">
        <f>AD68*'Inputs'!$E$40+AD69*'Inputs'!$E$40*'Inputs'!$E$41</f>
        <v>0.014649475453285469</v>
      </c>
      <c r="AE74" s="36">
        <f>AE68*'Inputs'!$E$40+AE69*'Inputs'!$E$40*'Inputs'!$E$41</f>
        <v>0.014731301642716221</v>
      </c>
      <c r="AF74" s="36">
        <f>AF68*'Inputs'!$E$40+AF69*'Inputs'!$E$40*'Inputs'!$E$41</f>
        <v>0.015614108994273082</v>
      </c>
      <c r="AG74" s="36">
        <f>AG68*'Inputs'!$E$40+AG69*'Inputs'!$E$40*'Inputs'!$E$41</f>
        <v>0.014774003188210833</v>
      </c>
      <c r="AH74" s="36">
        <f>AH68*'Inputs'!$E$40+AH69*'Inputs'!$E$40*'Inputs'!$E$41</f>
        <v>0.01467151780968538</v>
      </c>
      <c r="AI74" s="36">
        <f>AI68*'Inputs'!$E$40+AI69*'Inputs'!$E$40*'Inputs'!$E$41</f>
        <v>0.014554939407417177</v>
      </c>
      <c r="AJ74" s="36">
        <f>AJ68*'Inputs'!$E$40+AJ69*'Inputs'!$E$40*'Inputs'!$E$41</f>
        <v>0.014422226644365734</v>
      </c>
      <c r="AK74" s="36">
        <f>AK68*'Inputs'!$E$40+AK69*'Inputs'!$E$40*'Inputs'!$E$41</f>
        <v>0.01438300971839437</v>
      </c>
      <c r="AL74" s="36">
        <f>AL68*'Inputs'!$E$40+AL69*'Inputs'!$E$40*'Inputs'!$E$41</f>
        <v>0.014333875817261761</v>
      </c>
      <c r="AM74" s="36">
        <f>AM68*'Inputs'!$E$40+AM69*'Inputs'!$E$40*'Inputs'!$E$41</f>
        <v>0.014275066176496876</v>
      </c>
      <c r="AN74" s="36">
        <f>AN68*'Inputs'!$E$40+AN69*'Inputs'!$E$40*'Inputs'!$E$41</f>
        <v>0.014207479841009535</v>
      </c>
      <c r="AO74" s="36">
        <f>AO68*'Inputs'!$E$40+AO69*'Inputs'!$E$40*'Inputs'!$E$41</f>
        <v>0.014131933051599634</v>
      </c>
      <c r="AP74" s="36">
        <f>AP68*'Inputs'!$E$40+AP69*'Inputs'!$E$40*'Inputs'!$E$41</f>
        <v>0.014049904995496569</v>
      </c>
      <c r="AQ74" s="36">
        <f>AQ68*'Inputs'!$E$40+AQ69*'Inputs'!$E$40*'Inputs'!$E$41</f>
        <v>0.013961326686015716</v>
      </c>
    </row>
    <row r="75" ht="22" customHeight="1">
      <c r="A75" s="2" t="str">
        <v>DE.FRAUD</v>
      </c>
      <c r="B75" s="6" t="str">
        <v>Germany: card fraud losses</v>
      </c>
      <c r="C75" s="2" t="str">
        <v>EUR_per_user</v>
      </c>
      <c r="D75" s="2" t="str">
        <v>NA</v>
      </c>
      <c r="E75" s="2"/>
      <c r="F75" s="6" t="str"/>
      <c r="G75" s="2"/>
      <c r="H75" s="36">
        <f>(H66*(1-'Inputs'!$E$25)+H67)*'Inputs'!$E$42</f>
        <v>0.0011187428571428574</v>
      </c>
      <c r="I75" s="36">
        <f>(I66*(1-'Inputs'!$E$25)+I67)*'Inputs'!$E$42</f>
        <v>0.001114605426554622</v>
      </c>
      <c r="J75" s="36">
        <f>(J66*(1-'Inputs'!$E$25)+J67)*'Inputs'!$E$42</f>
        <v>0.0011019701551220167</v>
      </c>
      <c r="K75" s="36">
        <f>(K66*(1-'Inputs'!$E$25)+K67)*'Inputs'!$E$42</f>
        <v>0.0016870868660198025</v>
      </c>
      <c r="L75" s="36">
        <f>(L66*(1-'Inputs'!$E$25)+L67)*'Inputs'!$E$42</f>
        <v>0.0021139837173743165</v>
      </c>
      <c r="M75" s="36">
        <f>(M66*(1-'Inputs'!$E$25)+M67)*'Inputs'!$E$42</f>
        <v>0.0024624209222401643</v>
      </c>
      <c r="N75" s="36">
        <f>(N66*(1-'Inputs'!$E$25)+N67)*'Inputs'!$E$42</f>
        <v>0.002760798090600189</v>
      </c>
      <c r="O75" s="36">
        <f>(O66*(1-'Inputs'!$E$25)+O67)*'Inputs'!$E$42</f>
        <v>0.002995620937484304</v>
      </c>
      <c r="P75" s="36">
        <f>(P66*(1-'Inputs'!$E$25)+P67)*'Inputs'!$E$42</f>
        <v>0.0031735541711429005</v>
      </c>
      <c r="Q75" s="36">
        <f>(Q66*(1-'Inputs'!$E$25)+Q67)*'Inputs'!$E$42</f>
        <v>0.003300585845995328</v>
      </c>
      <c r="R75" s="36">
        <f>(R66*(1-'Inputs'!$E$25)+R67)*'Inputs'!$E$42</f>
        <v>0.0034484443607619235</v>
      </c>
      <c r="S75" s="36">
        <f>(S66*(1-'Inputs'!$E$25)+S67)*'Inputs'!$E$42</f>
        <v>0.0035672715393225076</v>
      </c>
      <c r="T75" s="36">
        <f>(T66*(1-'Inputs'!$E$25)+T67)*'Inputs'!$E$42</f>
        <v>0.0034830050518286047</v>
      </c>
      <c r="U75" s="36">
        <f>(U66*(1-'Inputs'!$E$25)+U67)*'Inputs'!$E$42</f>
        <v>0.003602241595490921</v>
      </c>
      <c r="V75" s="36">
        <f>(V66*(1-'Inputs'!$E$25)+V67)*'Inputs'!$E$42</f>
        <v>0.003708836266210497</v>
      </c>
      <c r="W75" s="36">
        <f>(W66*(1-'Inputs'!$E$25)+W67)*'Inputs'!$E$42</f>
        <v>0.0038032599074081797</v>
      </c>
      <c r="X75" s="36">
        <f>(X66*(1-'Inputs'!$E$25)+X67)*'Inputs'!$E$42</f>
        <v>0.0038866811622875427</v>
      </c>
      <c r="Y75" s="36">
        <f>(Y66*(1-'Inputs'!$E$25)+Y67)*'Inputs'!$E$42</f>
        <v>0.003959840514828317</v>
      </c>
      <c r="Z75" s="36">
        <f>(Z66*(1-'Inputs'!$E$25)+Z67)*'Inputs'!$E$42</f>
        <v>0.0040235453382267165</v>
      </c>
      <c r="AA75" s="36">
        <f>(AA66*(1-'Inputs'!$E$25)+AA67)*'Inputs'!$E$42</f>
        <v>0.004078676954505135</v>
      </c>
      <c r="AB75" s="36">
        <f>(AB66*(1-'Inputs'!$E$25)+AB67)*'Inputs'!$E$42</f>
        <v>0.004126036932885613</v>
      </c>
      <c r="AC75" s="36">
        <f>(AC66*(1-'Inputs'!$E$25)+AC67)*'Inputs'!$E$42</f>
        <v>0.004166354268832696</v>
      </c>
      <c r="AD75" s="36">
        <f>(AD66*(1-'Inputs'!$E$25)+AD67)*'Inputs'!$E$42</f>
        <v>0.004200132656677552</v>
      </c>
      <c r="AE75" s="36">
        <f>(AE66*(1-'Inputs'!$E$25)+AE67)*'Inputs'!$E$42</f>
        <v>0.004227975716700507</v>
      </c>
      <c r="AF75" s="36">
        <f>(AF66*(1-'Inputs'!$E$25)+AF67)*'Inputs'!$E$42</f>
        <v>0.004188495798034561</v>
      </c>
      <c r="AG75" s="36">
        <f>(AG66*(1-'Inputs'!$E$25)+AG67)*'Inputs'!$E$42</f>
        <v>0.004168213395209863</v>
      </c>
      <c r="AH75" s="36">
        <f>(AH66*(1-'Inputs'!$E$25)+AH67)*'Inputs'!$E$42</f>
        <v>0.004142820682065425</v>
      </c>
      <c r="AI75" s="36">
        <f>(AI66*(1-'Inputs'!$E$25)+AI67)*'Inputs'!$E$42</f>
        <v>0.004112571777745006</v>
      </c>
      <c r="AJ75" s="36">
        <f>(AJ66*(1-'Inputs'!$E$25)+AJ67)*'Inputs'!$E$42</f>
        <v>0.0040779543008894695</v>
      </c>
      <c r="AK75" s="36">
        <f>(AK66*(1-'Inputs'!$E$25)+AK67)*'Inputs'!$E$42</f>
        <v>0.004068745991729865</v>
      </c>
      <c r="AL75" s="36">
        <f>(AL66*(1-'Inputs'!$E$25)+AL67)*'Inputs'!$E$42</f>
        <v>0.004056572108895182</v>
      </c>
      <c r="AM75" s="36">
        <f>(AM66*(1-'Inputs'!$E$25)+AM67)*'Inputs'!$E$42</f>
        <v>0.004041715054825191</v>
      </c>
      <c r="AN75" s="36">
        <f>(AN66*(1-'Inputs'!$E$25)+AN67)*'Inputs'!$E$42</f>
        <v>0.00402443120349967</v>
      </c>
      <c r="AO75" s="36">
        <f>(AO66*(1-'Inputs'!$E$25)+AO67)*'Inputs'!$E$42</f>
        <v>0.004004953280569454</v>
      </c>
      <c r="AP75" s="36">
        <f>(AP66*(1-'Inputs'!$E$25)+AP67)*'Inputs'!$E$42</f>
        <v>0.0039834367851564025</v>
      </c>
      <c r="AQ75" s="36">
        <f>(AQ66*(1-'Inputs'!$E$25)+AQ67)*'Inputs'!$E$42</f>
        <v>0.003960073704070906</v>
      </c>
    </row>
    <row r="76" ht="22" customHeight="1">
      <c r="A76" s="2" t="str">
        <v>DE.RETAIL_KYC</v>
      </c>
      <c r="B76" s="6" t="str">
        <v>Germany: identity checks, users</v>
      </c>
      <c r="C76" s="2" t="str">
        <v>EUR_per_user</v>
      </c>
      <c r="D76" s="2" t="str">
        <v>NA</v>
      </c>
      <c r="E76" s="2"/>
      <c r="F76" s="6" t="str"/>
      <c r="G76" s="2"/>
      <c r="H76" s="36">
        <f>H65*'Inputs'!$E$35/'Inputs'!$E$36</f>
        <v>0.0</v>
      </c>
      <c r="I76" s="36">
        <f>I65*'Inputs'!$E$35/'Inputs'!$E$36</f>
        <v>0.0</v>
      </c>
      <c r="J76" s="36">
        <f>J65*'Inputs'!$E$35/'Inputs'!$E$36</f>
        <v>0.0</v>
      </c>
      <c r="K76" s="36">
        <f>K65*'Inputs'!$E$35/'Inputs'!$E$36</f>
        <v>0.040855827019412934</v>
      </c>
      <c r="L76" s="36">
        <f>L65*'Inputs'!$E$35/'Inputs'!$E$36</f>
        <v>0.02057656330421167</v>
      </c>
      <c r="M76" s="36">
        <f>M65*'Inputs'!$E$35/'Inputs'!$E$36</f>
        <v>0.018820689575954546</v>
      </c>
      <c r="N76" s="36">
        <f>N65*'Inputs'!$E$35/'Inputs'!$E$36</f>
        <v>0.017534250643113067</v>
      </c>
      <c r="O76" s="36">
        <f>O65*'Inputs'!$E$35/'Inputs'!$E$36</f>
        <v>0.01630355413888969</v>
      </c>
      <c r="P76" s="36">
        <f>P65*'Inputs'!$E$35/'Inputs'!$E$36</f>
        <v>0.015126514922273054</v>
      </c>
      <c r="Q76" s="36">
        <f>Q65*'Inputs'!$E$35/'Inputs'!$E$36</f>
        <v>0.014001121123752727</v>
      </c>
      <c r="R76" s="36">
        <f>R65*'Inputs'!$E$35/'Inputs'!$E$36</f>
        <v>0.013274767554872825</v>
      </c>
      <c r="S76" s="36">
        <f>S65*'Inputs'!$E$35/'Inputs'!$E$36</f>
        <v>0.01257743462202702</v>
      </c>
      <c r="T76" s="36">
        <f>T65*'Inputs'!$E$35/'Inputs'!$E$36</f>
        <v>0.011908079101309414</v>
      </c>
      <c r="U76" s="36">
        <f>U65*'Inputs'!$E$35/'Inputs'!$E$36</f>
        <v>0.0115172874985714</v>
      </c>
      <c r="V76" s="36">
        <f>V65*'Inputs'!$E$35/'Inputs'!$E$36</f>
        <v>0.011129564735706844</v>
      </c>
      <c r="W76" s="36">
        <f>W65*'Inputs'!$E$35/'Inputs'!$E$36</f>
        <v>0.010754380778945754</v>
      </c>
      <c r="X76" s="36">
        <f>X65*'Inputs'!$E$35/'Inputs'!$E$36</f>
        <v>0.010391340163975426</v>
      </c>
      <c r="Y76" s="36">
        <f>Y65*'Inputs'!$E$35/'Inputs'!$E$36</f>
        <v>0.010040059776290692</v>
      </c>
      <c r="Z76" s="36">
        <f>Z65*'Inputs'!$E$35/'Inputs'!$E$36</f>
        <v>0.009700167359813699</v>
      </c>
      <c r="AA76" s="36">
        <f>AA65*'Inputs'!$E$35/'Inputs'!$E$36</f>
        <v>0.009371303478228657</v>
      </c>
      <c r="AB76" s="36">
        <f>AB65*'Inputs'!$E$35/'Inputs'!$E$36</f>
        <v>0.009053119889619512</v>
      </c>
      <c r="AC76" s="36">
        <f>AC65*'Inputs'!$E$35/'Inputs'!$E$36</f>
        <v>0.008745279193333538</v>
      </c>
      <c r="AD76" s="36">
        <f>AD65*'Inputs'!$E$35/'Inputs'!$E$36</f>
        <v>0.008447454489048038</v>
      </c>
      <c r="AE76" s="36">
        <f>AE65*'Inputs'!$E$35/'Inputs'!$E$36</f>
        <v>0.008159329047481647</v>
      </c>
      <c r="AF76" s="36">
        <f>AF65*'Inputs'!$E$35/'Inputs'!$E$36</f>
        <v>0.007880595992231551</v>
      </c>
      <c r="AG76" s="36">
        <f>AG65*'Inputs'!$E$35/'Inputs'!$E$36</f>
        <v>0.007543627536850029</v>
      </c>
      <c r="AH76" s="36">
        <f>AH65*'Inputs'!$E$35/'Inputs'!$E$36</f>
        <v>0.0072168626236841366</v>
      </c>
      <c r="AI76" s="36">
        <f>AI65*'Inputs'!$E$35/'Inputs'!$E$36</f>
        <v>0.006902203507827871</v>
      </c>
      <c r="AJ76" s="36">
        <f>AJ65*'Inputs'!$E$35/'Inputs'!$E$36</f>
        <v>0.006599235452555614</v>
      </c>
      <c r="AK76" s="36">
        <f>AK65*'Inputs'!$E$35/'Inputs'!$E$36</f>
        <v>0.006359685871490492</v>
      </c>
      <c r="AL76" s="36">
        <f>AL65*'Inputs'!$E$35/'Inputs'!$E$36</f>
        <v>0.006128241742945001</v>
      </c>
      <c r="AM76" s="36">
        <f>AM65*'Inputs'!$E$35/'Inputs'!$E$36</f>
        <v>0.0059046403730892835</v>
      </c>
      <c r="AN76" s="36">
        <f>AN65*'Inputs'!$E$35/'Inputs'!$E$36</f>
        <v>0.005688627348796943</v>
      </c>
      <c r="AO76" s="36">
        <f>AO65*'Inputs'!$E$35/'Inputs'!$E$36</f>
        <v>0.005479956280219969</v>
      </c>
      <c r="AP76" s="36">
        <f>AP65*'Inputs'!$E$35/'Inputs'!$E$36</f>
        <v>0.0052783885514801135</v>
      </c>
      <c r="AQ76" s="36">
        <f>AQ65*'Inputs'!$E$35/'Inputs'!$E$36</f>
        <v>0.00508369307919235</v>
      </c>
    </row>
    <row r="77" ht="22" customHeight="1">
      <c r="A77" s="2" t="str">
        <v>DE.CLOUD_SUPPORT</v>
      </c>
      <c r="B77" s="6" t="str">
        <v>Germany: hosting and support, variable</v>
      </c>
      <c r="C77" s="2" t="str">
        <v>EUR_per_user</v>
      </c>
      <c r="D77" s="2" t="str">
        <v>NA</v>
      </c>
      <c r="E77" s="2"/>
      <c r="F77" s="6" t="str"/>
      <c r="G77" s="2"/>
      <c r="H77" s="36">
        <f>H11*('Inputs'!$E$37+'Inputs'!$E$38/'Inputs'!$E$53*'Inputs'!$E$39)</f>
        <v>0.2</v>
      </c>
      <c r="I77" s="36">
        <f>I11*('Inputs'!$E$37+'Inputs'!$E$38/'Inputs'!$E$53*'Inputs'!$E$39)</f>
        <v>0.13999999999999999</v>
      </c>
      <c r="J77" s="36">
        <f>J11*('Inputs'!$E$37+'Inputs'!$E$38/'Inputs'!$E$53*'Inputs'!$E$39)</f>
        <v>0.12</v>
      </c>
      <c r="K77" s="36">
        <f>K11*('Inputs'!$E$37+'Inputs'!$E$38/'Inputs'!$E$53*'Inputs'!$E$39)</f>
        <v>0.11000000000000001</v>
      </c>
      <c r="L77" s="36">
        <f>L11*('Inputs'!$E$37+'Inputs'!$E$38/'Inputs'!$E$53*'Inputs'!$E$39)</f>
        <v>0.1</v>
      </c>
      <c r="M77" s="36">
        <f>M11*('Inputs'!$E$37+'Inputs'!$E$38/'Inputs'!$E$53*'Inputs'!$E$39)</f>
        <v>0.094</v>
      </c>
      <c r="N77" s="36">
        <f>N11*('Inputs'!$E$37+'Inputs'!$E$38/'Inputs'!$E$53*'Inputs'!$E$39)</f>
        <v>0.09000000000000001</v>
      </c>
      <c r="O77" s="36">
        <f>O11*('Inputs'!$E$37+'Inputs'!$E$38/'Inputs'!$E$53*'Inputs'!$E$39)</f>
        <v>0.08600000000000001</v>
      </c>
      <c r="P77" s="36">
        <f>P11*('Inputs'!$E$37+'Inputs'!$E$38/'Inputs'!$E$53*'Inputs'!$E$39)</f>
        <v>0.082</v>
      </c>
      <c r="Q77" s="36">
        <f>Q11*('Inputs'!$E$37+'Inputs'!$E$38/'Inputs'!$E$53*'Inputs'!$E$39)</f>
        <v>0.07800000000000001</v>
      </c>
      <c r="R77" s="36">
        <f>R11*('Inputs'!$E$37+'Inputs'!$E$38/'Inputs'!$E$53*'Inputs'!$E$39)</f>
        <v>0.07600000000000001</v>
      </c>
      <c r="S77" s="36">
        <f>S11*('Inputs'!$E$37+'Inputs'!$E$38/'Inputs'!$E$53*'Inputs'!$E$39)</f>
        <v>0.074</v>
      </c>
      <c r="T77" s="36">
        <f>T11*('Inputs'!$E$37+'Inputs'!$E$38/'Inputs'!$E$53*'Inputs'!$E$39)</f>
        <v>0.072</v>
      </c>
      <c r="U77" s="36">
        <f>U11*('Inputs'!$E$37+'Inputs'!$E$38/'Inputs'!$E$53*'Inputs'!$E$39)</f>
        <v>0.0715</v>
      </c>
      <c r="V77" s="36">
        <f>V11*('Inputs'!$E$37+'Inputs'!$E$38/'Inputs'!$E$53*'Inputs'!$E$39)</f>
        <v>0.071</v>
      </c>
      <c r="W77" s="36">
        <f>W11*('Inputs'!$E$37+'Inputs'!$E$38/'Inputs'!$E$53*'Inputs'!$E$39)</f>
        <v>0.0705</v>
      </c>
      <c r="X77" s="36">
        <f>X11*('Inputs'!$E$37+'Inputs'!$E$38/'Inputs'!$E$53*'Inputs'!$E$39)</f>
        <v>0.06999999999999999</v>
      </c>
      <c r="Y77" s="36">
        <f>Y11*('Inputs'!$E$37+'Inputs'!$E$38/'Inputs'!$E$53*'Inputs'!$E$39)</f>
        <v>0.06949999999999999</v>
      </c>
      <c r="Z77" s="36">
        <f>Z11*('Inputs'!$E$37+'Inputs'!$E$38/'Inputs'!$E$53*'Inputs'!$E$39)</f>
        <v>0.06899999999999999</v>
      </c>
      <c r="AA77" s="36">
        <f>AA11*('Inputs'!$E$37+'Inputs'!$E$38/'Inputs'!$E$53*'Inputs'!$E$39)</f>
        <v>0.0685</v>
      </c>
      <c r="AB77" s="36">
        <f>AB11*('Inputs'!$E$37+'Inputs'!$E$38/'Inputs'!$E$53*'Inputs'!$E$39)</f>
        <v>0.068</v>
      </c>
      <c r="AC77" s="36">
        <f>AC11*('Inputs'!$E$37+'Inputs'!$E$38/'Inputs'!$E$53*'Inputs'!$E$39)</f>
        <v>0.0675</v>
      </c>
      <c r="AD77" s="36">
        <f>AD11*('Inputs'!$E$37+'Inputs'!$E$38/'Inputs'!$E$53*'Inputs'!$E$39)</f>
        <v>0.067</v>
      </c>
      <c r="AE77" s="36">
        <f>AE11*('Inputs'!$E$37+'Inputs'!$E$38/'Inputs'!$E$53*'Inputs'!$E$39)</f>
        <v>0.0665</v>
      </c>
      <c r="AF77" s="36">
        <f>AF11*('Inputs'!$E$37+'Inputs'!$E$38/'Inputs'!$E$53*'Inputs'!$E$39)</f>
        <v>0.066</v>
      </c>
      <c r="AG77" s="36">
        <f>AG11*('Inputs'!$E$37+'Inputs'!$E$38/'Inputs'!$E$53*'Inputs'!$E$39)</f>
        <v>0.0649</v>
      </c>
      <c r="AH77" s="36">
        <f>AH11*('Inputs'!$E$37+'Inputs'!$E$38/'Inputs'!$E$53*'Inputs'!$E$39)</f>
        <v>0.06380000000000001</v>
      </c>
      <c r="AI77" s="36">
        <f>AI11*('Inputs'!$E$37+'Inputs'!$E$38/'Inputs'!$E$53*'Inputs'!$E$39)</f>
        <v>0.0627</v>
      </c>
      <c r="AJ77" s="36">
        <f>AJ11*('Inputs'!$E$37+'Inputs'!$E$38/'Inputs'!$E$53*'Inputs'!$E$39)</f>
        <v>0.0616</v>
      </c>
      <c r="AK77" s="36">
        <f>AK11*('Inputs'!$E$37+'Inputs'!$E$38/'Inputs'!$E$53*'Inputs'!$E$39)</f>
        <v>0.061</v>
      </c>
      <c r="AL77" s="36">
        <f>AL11*('Inputs'!$E$37+'Inputs'!$E$38/'Inputs'!$E$53*'Inputs'!$E$39)</f>
        <v>0.0604</v>
      </c>
      <c r="AM77" s="36">
        <f>AM11*('Inputs'!$E$37+'Inputs'!$E$38/'Inputs'!$E$53*'Inputs'!$E$39)</f>
        <v>0.0598</v>
      </c>
      <c r="AN77" s="36">
        <f>AN11*('Inputs'!$E$37+'Inputs'!$E$38/'Inputs'!$E$53*'Inputs'!$E$39)</f>
        <v>0.0592</v>
      </c>
      <c r="AO77" s="36">
        <f>AO11*('Inputs'!$E$37+'Inputs'!$E$38/'Inputs'!$E$53*'Inputs'!$E$39)</f>
        <v>0.0586</v>
      </c>
      <c r="AP77" s="36">
        <f>AP11*('Inputs'!$E$37+'Inputs'!$E$38/'Inputs'!$E$53*'Inputs'!$E$39)</f>
        <v>0.057999999999999996</v>
      </c>
      <c r="AQ77" s="36">
        <f>AQ11*('Inputs'!$E$37+'Inputs'!$E$38/'Inputs'!$E$53*'Inputs'!$E$39)</f>
        <v>0.0574</v>
      </c>
    </row>
    <row r="78" ht="28" customHeight="1">
      <c r="A78" s="2" t="str">
        <v>DE.CONNECT</v>
      </c>
      <c r="B78" s="6" t="str">
        <v>Germany: payout charges (allocated by copy revenue)</v>
      </c>
      <c r="C78" s="2" t="str">
        <v>EUR_per_user</v>
      </c>
      <c r="D78" s="2" t="str">
        <v>NA</v>
      </c>
      <c r="E78" s="2"/>
      <c r="F78" s="6" t="str"/>
      <c r="G78" s="2"/>
      <c r="H78" s="36">
        <f>H67*INDEX('Calendar_Seeds'!$H$19:$CX$19,1,'Inputs'!$E$52+H$6)</f>
        <v>0.0</v>
      </c>
      <c r="I78" s="36">
        <f>I67*INDEX('Calendar_Seeds'!$H$19:$CX$19,1,'Inputs'!$E$52+I$6)</f>
        <v>0.0</v>
      </c>
      <c r="J78" s="36">
        <f>J67*INDEX('Calendar_Seeds'!$H$19:$CX$19,1,'Inputs'!$E$52+J$6)</f>
        <v>0.0</v>
      </c>
      <c r="K78" s="36">
        <f>K67*INDEX('Calendar_Seeds'!$H$19:$CX$19,1,'Inputs'!$E$52+K$6)</f>
        <v>0.0</v>
      </c>
      <c r="L78" s="36">
        <f>L67*INDEX('Calendar_Seeds'!$H$19:$CX$19,1,'Inputs'!$E$52+L$6)</f>
        <v>0.011163186889220378</v>
      </c>
      <c r="M78" s="36">
        <f>M67*INDEX('Calendar_Seeds'!$H$19:$CX$19,1,'Inputs'!$E$52+M$6)</f>
        <v>0.01451816017356062</v>
      </c>
      <c r="N78" s="36">
        <f>N67*INDEX('Calendar_Seeds'!$H$19:$CX$19,1,'Inputs'!$E$52+N$6)</f>
        <v>0.016636979752115345</v>
      </c>
      <c r="O78" s="36">
        <f>O67*INDEX('Calendar_Seeds'!$H$19:$CX$19,1,'Inputs'!$E$52+O$6)</f>
        <v>0.017951130905086394</v>
      </c>
      <c r="P78" s="36">
        <f>P67*INDEX('Calendar_Seeds'!$H$19:$CX$19,1,'Inputs'!$E$52+P$6)</f>
        <v>0.018718399408692417</v>
      </c>
      <c r="Q78" s="36">
        <f>Q67*INDEX('Calendar_Seeds'!$H$19:$CX$19,1,'Inputs'!$E$52+Q$6)</f>
        <v>0.019045332896515863</v>
      </c>
      <c r="R78" s="36">
        <f>R67*INDEX('Calendar_Seeds'!$H$19:$CX$19,1,'Inputs'!$E$52+R$6)</f>
        <v>0.01953224359248929</v>
      </c>
      <c r="S78" s="36">
        <f>S67*INDEX('Calendar_Seeds'!$H$19:$CX$19,1,'Inputs'!$E$52+S$6)</f>
        <v>0.019805721268407895</v>
      </c>
      <c r="T78" s="36">
        <f>T67*INDEX('Calendar_Seeds'!$H$19:$CX$19,1,'Inputs'!$E$52+T$6)</f>
        <v>0.019928450114795524</v>
      </c>
      <c r="U78" s="36">
        <f>U67*INDEX('Calendar_Seeds'!$H$19:$CX$19,1,'Inputs'!$E$52+U$6)</f>
        <v>0.02030768929637177</v>
      </c>
      <c r="V78" s="36">
        <f>V67*INDEX('Calendar_Seeds'!$H$19:$CX$19,1,'Inputs'!$E$52+V$6)</f>
        <v>0.020576223486520103</v>
      </c>
      <c r="W78" s="36">
        <f>W67*INDEX('Calendar_Seeds'!$H$19:$CX$19,1,'Inputs'!$E$52+W$6)</f>
        <v>0.020317220778628662</v>
      </c>
      <c r="X78" s="36">
        <f>X67*INDEX('Calendar_Seeds'!$H$19:$CX$19,1,'Inputs'!$E$52+X$6)</f>
        <v>0.020020592545330396</v>
      </c>
      <c r="Y78" s="36">
        <f>Y67*INDEX('Calendar_Seeds'!$H$19:$CX$19,1,'Inputs'!$E$52+Y$6)</f>
        <v>0.021311163993067535</v>
      </c>
      <c r="Z78" s="36">
        <f>Z67*INDEX('Calendar_Seeds'!$H$19:$CX$19,1,'Inputs'!$E$52+Z$6)</f>
        <v>0.021853517306521564</v>
      </c>
      <c r="AA78" s="36">
        <f>AA67*INDEX('Calendar_Seeds'!$H$19:$CX$19,1,'Inputs'!$E$52+AA$6)</f>
        <v>0.022157097011783877</v>
      </c>
      <c r="AB78" s="36">
        <f>AB67*INDEX('Calendar_Seeds'!$H$19:$CX$19,1,'Inputs'!$E$52+AB$6)</f>
        <v>0.022303616212165537</v>
      </c>
      <c r="AC78" s="36">
        <f>AC67*INDEX('Calendar_Seeds'!$H$19:$CX$19,1,'Inputs'!$E$52+AC$6)</f>
        <v>0.02232278306577565</v>
      </c>
      <c r="AD78" s="36">
        <f>AD67*INDEX('Calendar_Seeds'!$H$19:$CX$19,1,'Inputs'!$E$52+AD$6)</f>
        <v>0.02226963628374742</v>
      </c>
      <c r="AE78" s="36">
        <f>AE67*INDEX('Calendar_Seeds'!$H$19:$CX$19,1,'Inputs'!$E$52+AE$6)</f>
        <v>0.022172085382924388</v>
      </c>
      <c r="AF78" s="36">
        <f>AF67*INDEX('Calendar_Seeds'!$H$19:$CX$19,1,'Inputs'!$E$52+AF$6)</f>
        <v>0.022042434615245365</v>
      </c>
      <c r="AG78" s="36">
        <f>AG67*INDEX('Calendar_Seeds'!$H$19:$CX$19,1,'Inputs'!$E$52+AG$6)</f>
        <v>0.021680791403975587</v>
      </c>
      <c r="AH78" s="36">
        <f>AH67*INDEX('Calendar_Seeds'!$H$19:$CX$19,1,'Inputs'!$E$52+AH$6)</f>
        <v>0.021296238648390566</v>
      </c>
      <c r="AI78" s="36">
        <f>AI67*INDEX('Calendar_Seeds'!$H$19:$CX$19,1,'Inputs'!$E$52+AI$6)</f>
        <v>0.02081876774647029</v>
      </c>
      <c r="AJ78" s="36">
        <f>AJ67*INDEX('Calendar_Seeds'!$H$19:$CX$19,1,'Inputs'!$E$52+AJ$6)</f>
        <v>0.020331106595380174</v>
      </c>
      <c r="AK78" s="36">
        <f>AK67*INDEX('Calendar_Seeds'!$H$19:$CX$19,1,'Inputs'!$E$52+AK$6)</f>
        <v>0.020341565048312762</v>
      </c>
      <c r="AL78" s="36">
        <f>AL67*INDEX('Calendar_Seeds'!$H$19:$CX$19,1,'Inputs'!$E$52+AL$6)</f>
        <v>0.020203521000272753</v>
      </c>
      <c r="AM78" s="36">
        <f>AM67*INDEX('Calendar_Seeds'!$H$19:$CX$19,1,'Inputs'!$E$52+AM$6)</f>
        <v>0.020020628045332417</v>
      </c>
      <c r="AN78" s="36">
        <f>AN67*INDEX('Calendar_Seeds'!$H$19:$CX$19,1,'Inputs'!$E$52+AN$6)</f>
        <v>0.019807432687947407</v>
      </c>
      <c r="AO78" s="36">
        <f>AO67*INDEX('Calendar_Seeds'!$H$19:$CX$19,1,'Inputs'!$E$52+AO$6)</f>
        <v>0.01956956652960424</v>
      </c>
      <c r="AP78" s="36">
        <f>AP67*INDEX('Calendar_Seeds'!$H$19:$CX$19,1,'Inputs'!$E$52+AP$6)</f>
        <v>0.01931908803913325</v>
      </c>
      <c r="AQ78" s="36">
        <f>AQ67*INDEX('Calendar_Seeds'!$H$19:$CX$19,1,'Inputs'!$E$52+AQ$6)</f>
        <v>0.019061990639987467</v>
      </c>
    </row>
    <row r="79" ht="28" customHeight="1">
      <c r="A79" s="2" t="str">
        <v>DE.TRADER_KYC</v>
      </c>
      <c r="B79" s="6" t="str">
        <v>Germany: identity checks, new lead traders (allocated)</v>
      </c>
      <c r="C79" s="2" t="str">
        <v>EUR_per_user</v>
      </c>
      <c r="D79" s="2" t="str">
        <v>NA</v>
      </c>
      <c r="E79" s="2"/>
      <c r="F79" s="6" t="str"/>
      <c r="G79" s="2"/>
      <c r="H79" s="36">
        <f>H67*INDEX('Calendar_Seeds'!$H$20:$CX$20,1,'Inputs'!$E$52+H$6)</f>
        <v>0.0</v>
      </c>
      <c r="I79" s="36">
        <f>I67*INDEX('Calendar_Seeds'!$H$20:$CX$20,1,'Inputs'!$E$52+I$6)</f>
        <v>0.0</v>
      </c>
      <c r="J79" s="36">
        <f>J67*INDEX('Calendar_Seeds'!$H$20:$CX$20,1,'Inputs'!$E$52+J$6)</f>
        <v>0.0</v>
      </c>
      <c r="K79" s="36">
        <f>K67*INDEX('Calendar_Seeds'!$H$20:$CX$20,1,'Inputs'!$E$52+K$6)</f>
        <v>0.010017306051441107</v>
      </c>
      <c r="L79" s="36">
        <f>L67*INDEX('Calendar_Seeds'!$H$20:$CX$20,1,'Inputs'!$E$52+L$6)</f>
        <v>0.004222275333032601</v>
      </c>
      <c r="M79" s="36">
        <f>M67*INDEX('Calendar_Seeds'!$H$20:$CX$20,1,'Inputs'!$E$52+M$6)</f>
        <v>0.0033654375850776267</v>
      </c>
      <c r="N79" s="36">
        <f>N67*INDEX('Calendar_Seeds'!$H$20:$CX$20,1,'Inputs'!$E$52+N$6)</f>
        <v>0.002912094907745751</v>
      </c>
      <c r="O79" s="36">
        <f>O67*INDEX('Calendar_Seeds'!$H$20:$CX$20,1,'Inputs'!$E$52+O$6)</f>
        <v>0.00260451640601212</v>
      </c>
      <c r="P79" s="36">
        <f>P67*INDEX('Calendar_Seeds'!$H$20:$CX$20,1,'Inputs'!$E$52+P$6)</f>
        <v>0.002325258906186867</v>
      </c>
      <c r="Q79" s="36">
        <f>Q67*INDEX('Calendar_Seeds'!$H$20:$CX$20,1,'Inputs'!$E$52+Q$6)</f>
        <v>0.00209331157939442</v>
      </c>
      <c r="R79" s="36">
        <f>R67*INDEX('Calendar_Seeds'!$H$20:$CX$20,1,'Inputs'!$E$52+R$6)</f>
        <v>0.0019404956365609246</v>
      </c>
      <c r="S79" s="36">
        <f>S67*INDEX('Calendar_Seeds'!$H$20:$CX$20,1,'Inputs'!$E$52+S$6)</f>
        <v>0.0018177919064019065</v>
      </c>
      <c r="T79" s="36">
        <f>T67*INDEX('Calendar_Seeds'!$H$20:$CX$20,1,'Inputs'!$E$52+T$6)</f>
        <v>0.0017015501072009161</v>
      </c>
      <c r="U79" s="36">
        <f>U67*INDEX('Calendar_Seeds'!$H$20:$CX$20,1,'Inputs'!$E$52+U$6)</f>
        <v>0.0016248790836883996</v>
      </c>
      <c r="V79" s="36">
        <f>V67*INDEX('Calendar_Seeds'!$H$20:$CX$20,1,'Inputs'!$E$52+V$6)</f>
        <v>0.001569047588241783</v>
      </c>
      <c r="W79" s="36">
        <f>W67*INDEX('Calendar_Seeds'!$H$20:$CX$20,1,'Inputs'!$E$52+W$6)</f>
        <v>0.0014812896337500696</v>
      </c>
      <c r="X79" s="36">
        <f>X67*INDEX('Calendar_Seeds'!$H$20:$CX$20,1,'Inputs'!$E$52+X$6)</f>
        <v>0.0027760362601187472</v>
      </c>
      <c r="Y79" s="36">
        <f>Y67*INDEX('Calendar_Seeds'!$H$20:$CX$20,1,'Inputs'!$E$52+Y$6)</f>
        <v>0.0022718954156669205</v>
      </c>
      <c r="Z79" s="36">
        <f>Z67*INDEX('Calendar_Seeds'!$H$20:$CX$20,1,'Inputs'!$E$52+Z$6)</f>
        <v>0.0020812399011880174</v>
      </c>
      <c r="AA79" s="36">
        <f>AA67*INDEX('Calendar_Seeds'!$H$20:$CX$20,1,'Inputs'!$E$52+AA$6)</f>
        <v>0.0019425125763858247</v>
      </c>
      <c r="AB79" s="36">
        <f>AB67*INDEX('Calendar_Seeds'!$H$20:$CX$20,1,'Inputs'!$E$52+AB$6)</f>
        <v>0.001813283465972144</v>
      </c>
      <c r="AC79" s="36">
        <f>AC67*INDEX('Calendar_Seeds'!$H$20:$CX$20,1,'Inputs'!$E$52+AC$6)</f>
        <v>0.001712016473363524</v>
      </c>
      <c r="AD79" s="36">
        <f>AD67*INDEX('Calendar_Seeds'!$H$20:$CX$20,1,'Inputs'!$E$52+AD$6)</f>
        <v>0.0016264749877330747</v>
      </c>
      <c r="AE79" s="36">
        <f>AE67*INDEX('Calendar_Seeds'!$H$20:$CX$20,1,'Inputs'!$E$52+AE$6)</f>
        <v>0.0015480634347544455</v>
      </c>
      <c r="AF79" s="36">
        <f>AF67*INDEX('Calendar_Seeds'!$H$20:$CX$20,1,'Inputs'!$E$52+AF$6)</f>
        <v>0.0014764003173697393</v>
      </c>
      <c r="AG79" s="36">
        <f>AG67*INDEX('Calendar_Seeds'!$H$20:$CX$20,1,'Inputs'!$E$52+AG$6)</f>
        <v>0.0013972410175307308</v>
      </c>
      <c r="AH79" s="36">
        <f>AH67*INDEX('Calendar_Seeds'!$H$20:$CX$20,1,'Inputs'!$E$52+AH$6)</f>
        <v>0.0013285333679344403</v>
      </c>
      <c r="AI79" s="36">
        <f>AI67*INDEX('Calendar_Seeds'!$H$20:$CX$20,1,'Inputs'!$E$52+AI$6)</f>
        <v>0.0012599649988991584</v>
      </c>
      <c r="AJ79" s="36">
        <f>AJ67*INDEX('Calendar_Seeds'!$H$20:$CX$20,1,'Inputs'!$E$52+AJ$6)</f>
        <v>0.001482580369497777</v>
      </c>
      <c r="AK79" s="36">
        <f>AK67*INDEX('Calendar_Seeds'!$H$20:$CX$20,1,'Inputs'!$E$52+AK$6)</f>
        <v>0.001349199245422859</v>
      </c>
      <c r="AL79" s="36">
        <f>AL67*INDEX('Calendar_Seeds'!$H$20:$CX$20,1,'Inputs'!$E$52+AL$6)</f>
        <v>0.0012826478726902855</v>
      </c>
      <c r="AM79" s="36">
        <f>AM67*INDEX('Calendar_Seeds'!$H$20:$CX$20,1,'Inputs'!$E$52+AM$6)</f>
        <v>0.0012276218100493817</v>
      </c>
      <c r="AN79" s="36">
        <f>AN67*INDEX('Calendar_Seeds'!$H$20:$CX$20,1,'Inputs'!$E$52+AN$6)</f>
        <v>0.001175225564951576</v>
      </c>
      <c r="AO79" s="36">
        <f>AO67*INDEX('Calendar_Seeds'!$H$20:$CX$20,1,'Inputs'!$E$52+AO$6)</f>
        <v>0.0011301308532275173</v>
      </c>
      <c r="AP79" s="36">
        <f>AP67*INDEX('Calendar_Seeds'!$H$20:$CX$20,1,'Inputs'!$E$52+AP$6)</f>
        <v>0.0010892951007892982</v>
      </c>
      <c r="AQ79" s="36">
        <f>AQ67*INDEX('Calendar_Seeds'!$H$20:$CX$20,1,'Inputs'!$E$52+AQ$6)</f>
        <v>0.001050755517232953</v>
      </c>
    </row>
    <row r="80" ht="22" customHeight="1">
      <c r="A80" s="2" t="str">
        <v>DE.UNRECOVERED_VAT</v>
      </c>
      <c r="B80" s="6" t="str">
        <v>Germany: non-recoverable input VAT</v>
      </c>
      <c r="C80" s="2" t="str">
        <v>EUR_per_user</v>
      </c>
      <c r="D80" s="2" t="str">
        <v>NA</v>
      </c>
      <c r="E80" s="2"/>
      <c r="F80" s="6" t="str"/>
      <c r="G80" s="2"/>
      <c r="H80" s="36">
        <f>SUM(H76,H79,H77)*'Inputs'!$E$43*(1-'Inputs'!$E$45)</f>
        <v>0.0</v>
      </c>
      <c r="I80" s="36">
        <f>SUM(I76,I79,I77)*'Inputs'!$E$43*(1-'Inputs'!$E$45)</f>
        <v>0.0</v>
      </c>
      <c r="J80" s="36">
        <f>SUM(J76,J79,J77)*'Inputs'!$E$43*(1-'Inputs'!$E$45)</f>
        <v>0.0</v>
      </c>
      <c r="K80" s="36">
        <f>SUM(K76,K79,K77)*'Inputs'!$E$43*(1-'Inputs'!$E$45)</f>
        <v>0.0</v>
      </c>
      <c r="L80" s="36">
        <f>SUM(L76,L79,L77)*'Inputs'!$E$43*(1-'Inputs'!$E$45)</f>
        <v>0.0</v>
      </c>
      <c r="M80" s="36">
        <f>SUM(M76,M79,M77)*'Inputs'!$E$43*(1-'Inputs'!$E$45)</f>
        <v>0.0</v>
      </c>
      <c r="N80" s="36">
        <f>SUM(N76,N79,N77)*'Inputs'!$E$43*(1-'Inputs'!$E$45)</f>
        <v>0.0</v>
      </c>
      <c r="O80" s="36">
        <f>SUM(O76,O79,O77)*'Inputs'!$E$43*(1-'Inputs'!$E$45)</f>
        <v>0.0</v>
      </c>
      <c r="P80" s="36">
        <f>SUM(P76,P79,P77)*'Inputs'!$E$43*(1-'Inputs'!$E$45)</f>
        <v>0.0</v>
      </c>
      <c r="Q80" s="36">
        <f>SUM(Q76,Q79,Q77)*'Inputs'!$E$43*(1-'Inputs'!$E$45)</f>
        <v>0.0</v>
      </c>
      <c r="R80" s="36">
        <f>SUM(R76,R79,R77)*'Inputs'!$E$43*(1-'Inputs'!$E$45)</f>
        <v>0.0</v>
      </c>
      <c r="S80" s="36">
        <f>SUM(S76,S79,S77)*'Inputs'!$E$43*(1-'Inputs'!$E$45)</f>
        <v>0.0</v>
      </c>
      <c r="T80" s="36">
        <f>SUM(T76,T79,T77)*'Inputs'!$E$43*(1-'Inputs'!$E$45)</f>
        <v>0.0</v>
      </c>
      <c r="U80" s="36">
        <f>SUM(U76,U79,U77)*'Inputs'!$E$43*(1-'Inputs'!$E$45)</f>
        <v>0.0</v>
      </c>
      <c r="V80" s="36">
        <f>SUM(V76,V79,V77)*'Inputs'!$E$43*(1-'Inputs'!$E$45)</f>
        <v>0.0</v>
      </c>
      <c r="W80" s="36">
        <f>SUM(W76,W79,W77)*'Inputs'!$E$43*(1-'Inputs'!$E$45)</f>
        <v>0.0</v>
      </c>
      <c r="X80" s="36">
        <f>SUM(X76,X79,X77)*'Inputs'!$E$43*(1-'Inputs'!$E$45)</f>
        <v>0.0</v>
      </c>
      <c r="Y80" s="36">
        <f>SUM(Y76,Y79,Y77)*'Inputs'!$E$43*(1-'Inputs'!$E$45)</f>
        <v>0.0</v>
      </c>
      <c r="Z80" s="36">
        <f>SUM(Z76,Z79,Z77)*'Inputs'!$E$43*(1-'Inputs'!$E$45)</f>
        <v>0.0</v>
      </c>
      <c r="AA80" s="36">
        <f>SUM(AA76,AA79,AA77)*'Inputs'!$E$43*(1-'Inputs'!$E$45)</f>
        <v>0.0</v>
      </c>
      <c r="AB80" s="36">
        <f>SUM(AB76,AB79,AB77)*'Inputs'!$E$43*(1-'Inputs'!$E$45)</f>
        <v>0.0</v>
      </c>
      <c r="AC80" s="36">
        <f>SUM(AC76,AC79,AC77)*'Inputs'!$E$43*(1-'Inputs'!$E$45)</f>
        <v>0.0</v>
      </c>
      <c r="AD80" s="36">
        <f>SUM(AD76,AD79,AD77)*'Inputs'!$E$43*(1-'Inputs'!$E$45)</f>
        <v>0.0</v>
      </c>
      <c r="AE80" s="36">
        <f>SUM(AE76,AE79,AE77)*'Inputs'!$E$43*(1-'Inputs'!$E$45)</f>
        <v>0.0</v>
      </c>
      <c r="AF80" s="36">
        <f>SUM(AF76,AF79,AF77)*'Inputs'!$E$43*(1-'Inputs'!$E$45)</f>
        <v>0.0</v>
      </c>
      <c r="AG80" s="36">
        <f>SUM(AG76,AG79,AG77)*'Inputs'!$E$43*(1-'Inputs'!$E$45)</f>
        <v>0.0</v>
      </c>
      <c r="AH80" s="36">
        <f>SUM(AH76,AH79,AH77)*'Inputs'!$E$43*(1-'Inputs'!$E$45)</f>
        <v>0.0</v>
      </c>
      <c r="AI80" s="36">
        <f>SUM(AI76,AI79,AI77)*'Inputs'!$E$43*(1-'Inputs'!$E$45)</f>
        <v>0.0</v>
      </c>
      <c r="AJ80" s="36">
        <f>SUM(AJ76,AJ79,AJ77)*'Inputs'!$E$43*(1-'Inputs'!$E$45)</f>
        <v>0.0</v>
      </c>
      <c r="AK80" s="36">
        <f>SUM(AK76,AK79,AK77)*'Inputs'!$E$43*(1-'Inputs'!$E$45)</f>
        <v>0.0</v>
      </c>
      <c r="AL80" s="36">
        <f>SUM(AL76,AL79,AL77)*'Inputs'!$E$43*(1-'Inputs'!$E$45)</f>
        <v>0.0</v>
      </c>
      <c r="AM80" s="36">
        <f>SUM(AM76,AM79,AM77)*'Inputs'!$E$43*(1-'Inputs'!$E$45)</f>
        <v>0.0</v>
      </c>
      <c r="AN80" s="36">
        <f>SUM(AN76,AN79,AN77)*'Inputs'!$E$43*(1-'Inputs'!$E$45)</f>
        <v>0.0</v>
      </c>
      <c r="AO80" s="36">
        <f>SUM(AO76,AO79,AO77)*'Inputs'!$E$43*(1-'Inputs'!$E$45)</f>
        <v>0.0</v>
      </c>
      <c r="AP80" s="36">
        <f>SUM(AP76,AP79,AP77)*'Inputs'!$E$43*(1-'Inputs'!$E$45)</f>
        <v>0.0</v>
      </c>
      <c r="AQ80" s="36">
        <f>SUM(AQ76,AQ79,AQ77)*'Inputs'!$E$43*(1-'Inputs'!$E$45)</f>
        <v>0.0</v>
      </c>
    </row>
    <row r="81" ht="22" customHeight="1">
      <c r="A81" s="2" t="str">
        <v>DE.VARIABLE</v>
      </c>
      <c r="B81" s="6" t="str">
        <v>Germany: variable costs</v>
      </c>
      <c r="C81" s="2" t="str">
        <v>EUR_per_user</v>
      </c>
      <c r="D81" s="2" t="str">
        <v>SUM</v>
      </c>
      <c r="E81" s="35">
        <f>SUM(H81:AQ81)</f>
        <v>32.957259932924046</v>
      </c>
      <c r="F81" s="6" t="str"/>
      <c r="G81" s="2"/>
      <c r="H81" s="35">
        <f>SUM(H70,H71,H72,H73,H74,H75,H76,H77,H78,H79,H80)</f>
        <v>0.4828606924369748</v>
      </c>
      <c r="I81" s="35">
        <f>SUM(I70,I71,I72,I73,I74,I75,I76,I77,I78,I79,I80)</f>
        <v>0.21871118533243697</v>
      </c>
      <c r="J81" s="35">
        <f>SUM(J70,J71,J72,J73,J74,J75,J76,J77,J78,J79,J80)</f>
        <v>0.1945453242476531</v>
      </c>
      <c r="K81" s="35">
        <f>SUM(K70,K71,K72,K73,K74,K75,K76,K77,K78,K79,K80)</f>
        <v>0.3973443421259742</v>
      </c>
      <c r="L81" s="35">
        <f>SUM(L70,L71,L72,L73,L74,L75,L76,L77,L78,L79,L80)</f>
        <v>0.4914533011670779</v>
      </c>
      <c r="M81" s="35">
        <f>SUM(M70,M71,M72,M73,M74,M75,M76,M77,M78,M79,M80)</f>
        <v>0.584176903320716</v>
      </c>
      <c r="N81" s="35">
        <f>SUM(N70,N71,N72,N73,N74,N75,N76,N77,N78,N79,N80)</f>
        <v>0.6648949084544207</v>
      </c>
      <c r="O81" s="35">
        <f>SUM(O70,O71,O72,O73,O74,O75,O76,O77,O78,O79,O80)</f>
        <v>0.7274743152085037</v>
      </c>
      <c r="P81" s="35">
        <f>SUM(P70,P71,P72,P73,P74,P75,P76,P77,P78,P79,P80)</f>
        <v>0.773902171395606</v>
      </c>
      <c r="Q81" s="35">
        <f>SUM(Q70,Q71,Q72,Q73,Q74,Q75,Q76,Q77,Q78,Q79,Q80)</f>
        <v>0.8059632418393263</v>
      </c>
      <c r="R81" s="35">
        <f>SUM(R70,R71,R72,R73,R74,R75,R76,R77,R78,R79,R80)</f>
        <v>0.8463599074726</v>
      </c>
      <c r="S81" s="35">
        <f>SUM(S70,S71,S72,S73,S74,S75,S76,S77,S78,S79,S80)</f>
        <v>0.8784139422511061</v>
      </c>
      <c r="T81" s="35">
        <f>SUM(T70,T71,T72,T73,T74,T75,T76,T77,T78,T79,T80)</f>
        <v>0.9785510239295034</v>
      </c>
      <c r="U81" s="35">
        <f>SUM(U70,U71,U72,U73,U74,U75,U76,U77,U78,U79,U80)</f>
        <v>0.9445690107387719</v>
      </c>
      <c r="V81" s="35">
        <f>SUM(V70,V71,V72,V73,V74,V75,V76,V77,V78,V79,V80)</f>
        <v>0.9763255024942148</v>
      </c>
      <c r="W81" s="35">
        <f>SUM(W70,W71,W72,W73,W74,W75,W76,W77,W78,W79,W80)</f>
        <v>1.0040454260482286</v>
      </c>
      <c r="X81" s="35">
        <f>SUM(X70,X71,X72,X73,X74,X75,X76,X77,X78,X79,X80)</f>
        <v>1.029632187913047</v>
      </c>
      <c r="Y81" s="35">
        <f>SUM(Y70,Y71,Y72,Y73,Y74,Y75,Y76,Y77,Y78,Y79,Y80)</f>
        <v>1.0519829924565964</v>
      </c>
      <c r="Z81" s="35">
        <f>SUM(Z70,Z71,Z72,Z73,Z74,Z75,Z76,Z77,Z78,Z79,Z80)</f>
        <v>1.0710923530794036</v>
      </c>
      <c r="AA81" s="35">
        <f>SUM(AA70,AA71,AA72,AA73,AA74,AA75,AA76,AA77,AA78,AA79,AA80)</f>
        <v>1.0874005773746767</v>
      </c>
      <c r="AB81" s="35">
        <f>SUM(AB70,AB71,AB72,AB73,AB74,AB75,AB76,AB77,AB78,AB79,AB80)</f>
        <v>1.1011848833033513</v>
      </c>
      <c r="AC81" s="35">
        <f>SUM(AC70,AC71,AC72,AC73,AC74,AC75,AC76,AC77,AC78,AC79,AC80)</f>
        <v>1.1127098583824486</v>
      </c>
      <c r="AD81" s="35">
        <f>SUM(AD70,AD71,AD72,AD73,AD74,AD75,AD76,AD77,AD78,AD79,AD80)</f>
        <v>1.1222831472750505</v>
      </c>
      <c r="AE81" s="35">
        <f>SUM(AE70,AE71,AE72,AE73,AE74,AE75,AE76,AE77,AE78,AE79,AE80)</f>
        <v>1.130034591262383</v>
      </c>
      <c r="AF81" s="35">
        <f>SUM(AF70,AF71,AF72,AF73,AF74,AF75,AF76,AF77,AF78,AF79,AF80)</f>
        <v>1.1625871671507155</v>
      </c>
      <c r="AG81" s="35">
        <f>SUM(AG70,AG71,AG72,AG73,AG74,AG75,AG76,AG77,AG78,AG79,AG80)</f>
        <v>1.1323431201381406</v>
      </c>
      <c r="AH81" s="35">
        <f>SUM(AH70,AH71,AH72,AH73,AH74,AH75,AH76,AH77,AH78,AH79,AH80)</f>
        <v>1.1249797725459776</v>
      </c>
      <c r="AI81" s="35">
        <f>SUM(AI70,AI71,AI72,AI73,AI74,AI75,AI76,AI77,AI78,AI79,AI80)</f>
        <v>1.116214143414217</v>
      </c>
      <c r="AJ81" s="35">
        <f>SUM(AJ70,AJ71,AJ72,AJ73,AJ74,AJ75,AJ76,AJ77,AJ78,AJ79,AJ80)</f>
        <v>1.1064369768042828</v>
      </c>
      <c r="AK81" s="35">
        <f>SUM(AK70,AK71,AK72,AK73,AK74,AK75,AK76,AK77,AK78,AK79,AK80)</f>
        <v>1.1043313907896326</v>
      </c>
      <c r="AL81" s="35">
        <f>SUM(AL70,AL71,AL72,AL73,AL74,AL75,AL76,AL77,AL78,AL79,AL80)</f>
        <v>1.1012619694947898</v>
      </c>
      <c r="AM81" s="35">
        <f>SUM(AM70,AM71,AM72,AM73,AM74,AM75,AM76,AM77,AM78,AM79,AM80)</f>
        <v>1.0973371710392241</v>
      </c>
      <c r="AN81" s="35">
        <f>SUM(AN70,AN71,AN72,AN73,AN74,AN75,AN76,AN77,AN78,AN79,AN80)</f>
        <v>1.0926392032178478</v>
      </c>
      <c r="AO81" s="35">
        <f>SUM(AO70,AO71,AO72,AO73,AO74,AO75,AO76,AO77,AO78,AO79,AO80)</f>
        <v>1.0872478759564865</v>
      </c>
      <c r="AP81" s="35">
        <f>SUM(AP70,AP71,AP72,AP73,AP74,AP75,AP76,AP77,AP78,AP79,AP80)</f>
        <v>1.081259109171464</v>
      </c>
      <c r="AQ81" s="35">
        <f>SUM(AQ70,AQ71,AQ72,AQ73,AQ74,AQ75,AQ76,AQ77,AQ78,AQ79,AQ80)</f>
        <v>1.0747102436911935</v>
      </c>
    </row>
    <row r="82" ht="28" customHeight="1">
      <c r="A82" s="2" t="str">
        <v>DE.CONTRIBUTION</v>
      </c>
      <c r="B82" s="6" t="str">
        <v>Germany: contribution after variable costs</v>
      </c>
      <c r="C82" s="2" t="str">
        <v>EUR_per_user</v>
      </c>
      <c r="D82" s="2" t="str">
        <v>SUM</v>
      </c>
      <c r="E82" s="35">
        <f>SUM(H82:AQ82)</f>
        <v>38.40098538631734</v>
      </c>
      <c r="F82" s="6" t="str"/>
      <c r="G82" s="2"/>
      <c r="H82" s="35">
        <f>SUM(H66,H67)-H81</f>
        <v>0.44942502184873956</v>
      </c>
      <c r="I82" s="35">
        <f>SUM(I66,I67)-I81</f>
        <v>0.7101266701297481</v>
      </c>
      <c r="J82" s="35">
        <f>SUM(J66,J67)-J81</f>
        <v>0.7237631383540275</v>
      </c>
      <c r="K82" s="35">
        <f>SUM(K66,K67)-K81</f>
        <v>0.808381407568399</v>
      </c>
      <c r="L82" s="35">
        <f>SUM(L66,L67)-L81</f>
        <v>0.9217046635916313</v>
      </c>
      <c r="M82" s="35">
        <f>SUM(M66,M67)-M81</f>
        <v>0.9970369827862833</v>
      </c>
      <c r="N82" s="35">
        <f>SUM(N66,N67)-N81</f>
        <v>1.0595325933044026</v>
      </c>
      <c r="O82" s="35">
        <f>SUM(O66,O67)-O81</f>
        <v>1.1085484056505486</v>
      </c>
      <c r="P82" s="35">
        <f>SUM(P66,P67)-P81</f>
        <v>1.1454033930154117</v>
      </c>
      <c r="Q82" s="35">
        <f>SUM(Q66,Q67)-Q81</f>
        <v>1.171282869755627</v>
      </c>
      <c r="R82" s="35">
        <f>SUM(R66,R67)-R81</f>
        <v>1.1996624976830395</v>
      </c>
      <c r="S82" s="35">
        <f>SUM(S66,S67)-S81</f>
        <v>1.2222471822898586</v>
      </c>
      <c r="T82" s="35">
        <f>SUM(T66,T67)-T81</f>
        <v>1.0165526110626233</v>
      </c>
      <c r="U82" s="35">
        <f>SUM(U66,U67)-U81</f>
        <v>1.1026762521955515</v>
      </c>
      <c r="V82" s="35">
        <f>SUM(V66,V67)-V81</f>
        <v>1.1177927625649624</v>
      </c>
      <c r="W82" s="35">
        <f>SUM(W66,W67)-W81</f>
        <v>1.1315928415812124</v>
      </c>
      <c r="X82" s="35">
        <f>SUM(X66,X67)-X81</f>
        <v>1.14271320637857</v>
      </c>
      <c r="Y82" s="35">
        <f>SUM(Y66,Y67)-Y81</f>
        <v>1.1524791093312097</v>
      </c>
      <c r="Z82" s="35">
        <f>SUM(Z66,Z67)-Z81</f>
        <v>1.1612098485395568</v>
      </c>
      <c r="AA82" s="35">
        <f>SUM(AA66,AA67)-AA81</f>
        <v>1.168872962422285</v>
      </c>
      <c r="AB82" s="35">
        <f>SUM(AB66,AB67)-AB81</f>
        <v>1.1755621128407006</v>
      </c>
      <c r="AC82" s="35">
        <f>SUM(AC66,AC67)-AC81</f>
        <v>1.1813499539905277</v>
      </c>
      <c r="AD82" s="35">
        <f>SUM(AD66,AD67)-AD81</f>
        <v>1.18610275570298</v>
      </c>
      <c r="AE82" s="35">
        <f>SUM(AE66,AE67)-AE81</f>
        <v>1.1899700870968417</v>
      </c>
      <c r="AF82" s="35">
        <f>SUM(AF66,AF67)-AF81</f>
        <v>1.1149692114240646</v>
      </c>
      <c r="AG82" s="35">
        <f>SUM(AG66,AG67)-AG81</f>
        <v>1.1317939654513502</v>
      </c>
      <c r="AH82" s="35">
        <f>SUM(AH66,AH67)-AH81</f>
        <v>1.1234446786829198</v>
      </c>
      <c r="AI82" s="35">
        <f>SUM(AI66,AI67)-AI81</f>
        <v>1.1142269958380877</v>
      </c>
      <c r="AJ82" s="35">
        <f>SUM(AJ66,AJ67)-AJ81</f>
        <v>1.103985367966661</v>
      </c>
      <c r="AK82" s="35">
        <f>SUM(AK66,AK67)-AK81</f>
        <v>1.0989643909029743</v>
      </c>
      <c r="AL82" s="35">
        <f>SUM(AL66,AL67)-AL81</f>
        <v>1.0935805395741958</v>
      </c>
      <c r="AM82" s="35">
        <f>SUM(AM66,AM67)-AM81</f>
        <v>1.0878549673505198</v>
      </c>
      <c r="AN82" s="35">
        <f>SUM(AN66,AN67)-AN81</f>
        <v>1.0818230908540627</v>
      </c>
      <c r="AO82" s="35">
        <f>SUM(AO66,AO67)-AO81</f>
        <v>1.0755118352381166</v>
      </c>
      <c r="AP82" s="35">
        <f>SUM(AP66,AP67)-AP81</f>
        <v>1.068875672583646</v>
      </c>
      <c r="AQ82" s="35">
        <f>SUM(AQ66,AQ67)-AQ81</f>
        <v>1.0619653407659988</v>
      </c>
    </row>
    <row r="83" ht="28" customHeight="1">
      <c r="A83" s="2" t="str">
        <v>AT.GATE</v>
      </c>
      <c r="B83" s="6" t="str">
        <v>Austria: copy trading licensed (1 = yes)</v>
      </c>
      <c r="C83" s="2" t="str">
        <v>flag</v>
      </c>
      <c r="D83" s="2" t="str">
        <v>NA</v>
      </c>
      <c r="E83" s="2"/>
      <c r="F83" s="6" t="str"/>
      <c r="G83" s="2"/>
      <c r="H83" s="38">
        <f>IF('Inputs'!$E$52+H$6&gt;='Inputs'!$E$12 +1,1,0)</f>
        <v>0</v>
      </c>
      <c r="I83" s="38">
        <f>IF('Inputs'!$E$52+I$6&gt;='Inputs'!$E$12 +1,1,0)</f>
        <v>0</v>
      </c>
      <c r="J83" s="38">
        <f>IF('Inputs'!$E$52+J$6&gt;='Inputs'!$E$12 +1,1,0)</f>
        <v>0</v>
      </c>
      <c r="K83" s="38">
        <f>IF('Inputs'!$E$52+K$6&gt;='Inputs'!$E$12 +1,1,0)</f>
        <v>0</v>
      </c>
      <c r="L83" s="38">
        <f>IF('Inputs'!$E$52+L$6&gt;='Inputs'!$E$12 +1,1,0)</f>
        <v>1</v>
      </c>
      <c r="M83" s="38">
        <f>IF('Inputs'!$E$52+M$6&gt;='Inputs'!$E$12 +1,1,0)</f>
        <v>1</v>
      </c>
      <c r="N83" s="38">
        <f>IF('Inputs'!$E$52+N$6&gt;='Inputs'!$E$12 +1,1,0)</f>
        <v>1</v>
      </c>
      <c r="O83" s="38">
        <f>IF('Inputs'!$E$52+O$6&gt;='Inputs'!$E$12 +1,1,0)</f>
        <v>1</v>
      </c>
      <c r="P83" s="38">
        <f>IF('Inputs'!$E$52+P$6&gt;='Inputs'!$E$12 +1,1,0)</f>
        <v>1</v>
      </c>
      <c r="Q83" s="38">
        <f>IF('Inputs'!$E$52+Q$6&gt;='Inputs'!$E$12 +1,1,0)</f>
        <v>1</v>
      </c>
      <c r="R83" s="38">
        <f>IF('Inputs'!$E$52+R$6&gt;='Inputs'!$E$12 +1,1,0)</f>
        <v>1</v>
      </c>
      <c r="S83" s="38">
        <f>IF('Inputs'!$E$52+S$6&gt;='Inputs'!$E$12 +1,1,0)</f>
        <v>1</v>
      </c>
      <c r="T83" s="38">
        <f>IF('Inputs'!$E$52+T$6&gt;='Inputs'!$E$12 +1,1,0)</f>
        <v>1</v>
      </c>
      <c r="U83" s="38">
        <f>IF('Inputs'!$E$52+U$6&gt;='Inputs'!$E$12 +1,1,0)</f>
        <v>1</v>
      </c>
      <c r="V83" s="38">
        <f>IF('Inputs'!$E$52+V$6&gt;='Inputs'!$E$12 +1,1,0)</f>
        <v>1</v>
      </c>
      <c r="W83" s="38">
        <f>IF('Inputs'!$E$52+W$6&gt;='Inputs'!$E$12 +1,1,0)</f>
        <v>1</v>
      </c>
      <c r="X83" s="38">
        <f>IF('Inputs'!$E$52+X$6&gt;='Inputs'!$E$12 +1,1,0)</f>
        <v>1</v>
      </c>
      <c r="Y83" s="38">
        <f>IF('Inputs'!$E$52+Y$6&gt;='Inputs'!$E$12 +1,1,0)</f>
        <v>1</v>
      </c>
      <c r="Z83" s="38">
        <f>IF('Inputs'!$E$52+Z$6&gt;='Inputs'!$E$12 +1,1,0)</f>
        <v>1</v>
      </c>
      <c r="AA83" s="38">
        <f>IF('Inputs'!$E$52+AA$6&gt;='Inputs'!$E$12 +1,1,0)</f>
        <v>1</v>
      </c>
      <c r="AB83" s="38">
        <f>IF('Inputs'!$E$52+AB$6&gt;='Inputs'!$E$12 +1,1,0)</f>
        <v>1</v>
      </c>
      <c r="AC83" s="38">
        <f>IF('Inputs'!$E$52+AC$6&gt;='Inputs'!$E$12 +1,1,0)</f>
        <v>1</v>
      </c>
      <c r="AD83" s="38">
        <f>IF('Inputs'!$E$52+AD$6&gt;='Inputs'!$E$12 +1,1,0)</f>
        <v>1</v>
      </c>
      <c r="AE83" s="38">
        <f>IF('Inputs'!$E$52+AE$6&gt;='Inputs'!$E$12 +1,1,0)</f>
        <v>1</v>
      </c>
      <c r="AF83" s="38">
        <f>IF('Inputs'!$E$52+AF$6&gt;='Inputs'!$E$12 +1,1,0)</f>
        <v>1</v>
      </c>
      <c r="AG83" s="38">
        <f>IF('Inputs'!$E$52+AG$6&gt;='Inputs'!$E$12 +1,1,0)</f>
        <v>1</v>
      </c>
      <c r="AH83" s="38">
        <f>IF('Inputs'!$E$52+AH$6&gt;='Inputs'!$E$12 +1,1,0)</f>
        <v>1</v>
      </c>
      <c r="AI83" s="38">
        <f>IF('Inputs'!$E$52+AI$6&gt;='Inputs'!$E$12 +1,1,0)</f>
        <v>1</v>
      </c>
      <c r="AJ83" s="38">
        <f>IF('Inputs'!$E$52+AJ$6&gt;='Inputs'!$E$12 +1,1,0)</f>
        <v>1</v>
      </c>
      <c r="AK83" s="38">
        <f>IF('Inputs'!$E$52+AK$6&gt;='Inputs'!$E$12 +1,1,0)</f>
        <v>1</v>
      </c>
      <c r="AL83" s="38">
        <f>IF('Inputs'!$E$52+AL$6&gt;='Inputs'!$E$12 +1,1,0)</f>
        <v>1</v>
      </c>
      <c r="AM83" s="38">
        <f>IF('Inputs'!$E$52+AM$6&gt;='Inputs'!$E$12 +1,1,0)</f>
        <v>1</v>
      </c>
      <c r="AN83" s="38">
        <f>IF('Inputs'!$E$52+AN$6&gt;='Inputs'!$E$12 +1,1,0)</f>
        <v>1</v>
      </c>
      <c r="AO83" s="38">
        <f>IF('Inputs'!$E$52+AO$6&gt;='Inputs'!$E$12 +1,1,0)</f>
        <v>1</v>
      </c>
      <c r="AP83" s="38">
        <f>IF('Inputs'!$E$52+AP$6&gt;='Inputs'!$E$12 +1,1,0)</f>
        <v>1</v>
      </c>
      <c r="AQ83" s="38">
        <f>IF('Inputs'!$E$52+AQ$6&gt;='Inputs'!$E$12 +1,1,0)</f>
        <v>1</v>
      </c>
    </row>
    <row r="84" ht="22" customHeight="1">
      <c r="A84" s="2" t="str">
        <v>AT.COPIERS</v>
      </c>
      <c r="B84" s="6" t="str">
        <v>Austria: copiers</v>
      </c>
      <c r="C84" s="2" t="str">
        <v>count</v>
      </c>
      <c r="D84" s="2" t="str">
        <v>NA</v>
      </c>
      <c r="E84" s="2"/>
      <c r="F84" s="6" t="str"/>
      <c r="G84" s="2"/>
      <c r="H84" s="38">
        <f>(0*H12*(1-'Inputs'!$E$30)+MAX(0,H11-0*H12)*'Inputs'!$E$29)*H83</f>
        <v>0.0</v>
      </c>
      <c r="I84" s="38">
        <f>(H84*I12*(1-'Inputs'!$E$30)+MAX(0,I11-H84*I12)*'Inputs'!$E$29)*I83</f>
        <v>0.0</v>
      </c>
      <c r="J84" s="38">
        <f>(I84*J12*(1-'Inputs'!$E$30)+MAX(0,J11-I84*J12)*'Inputs'!$E$29)*J83</f>
        <v>0.0</v>
      </c>
      <c r="K84" s="38">
        <f>(J84*K12*(1-'Inputs'!$E$30)+MAX(0,K11-J84*K12)*'Inputs'!$E$29)*K83</f>
        <v>0.0</v>
      </c>
      <c r="L84" s="38">
        <f>(K84*L12*(1-'Inputs'!$E$30)+MAX(0,L11-K84*L12)*'Inputs'!$E$29)*L83</f>
        <v>0.0125</v>
      </c>
      <c r="M84" s="38">
        <f>(L84*M12*(1-'Inputs'!$E$30)+MAX(0,M11-L84*M12)*'Inputs'!$E$29)*M83</f>
        <v>0.02250125</v>
      </c>
      <c r="N84" s="38">
        <f>(M84*N12*(1-'Inputs'!$E$30)+MAX(0,N11-M84*N12)*'Inputs'!$E$29)*N83</f>
        <v>0.030962531249999998</v>
      </c>
      <c r="O84" s="38">
        <f>(N84*O12*(1-'Inputs'!$E$30)+MAX(0,O11-N84*O12)*'Inputs'!$E$29)*O83</f>
        <v>0.037821573156249996</v>
      </c>
      <c r="P84" s="38">
        <f>(O84*P12*(1-'Inputs'!$E$30)+MAX(0,P11-O84*P12)*'Inputs'!$E$29)*P83</f>
        <v>0.04324712365015625</v>
      </c>
      <c r="Q84" s="38">
        <f>(P84*Q12*(1-'Inputs'!$E$30)+MAX(0,Q11-P84*Q12)*'Inputs'!$E$29)*Q83</f>
        <v>0.04739081969404453</v>
      </c>
      <c r="R84" s="38">
        <f>(Q84*R12*(1-'Inputs'!$E$30)+MAX(0,R11-Q84*R12)*'Inputs'!$E$29)*R83</f>
        <v>0.05175073848107509</v>
      </c>
      <c r="S84" s="38">
        <f>(R84*S12*(1-'Inputs'!$E$30)+MAX(0,S11-R84*S12)*'Inputs'!$E$29)*S83</f>
        <v>0.05535582240202097</v>
      </c>
      <c r="T84" s="38">
        <f>(S84*T12*(1-'Inputs'!$E$30)+MAX(0,T11-S84*T12)*'Inputs'!$E$29)*T83</f>
        <v>0.05828164297088029</v>
      </c>
      <c r="U84" s="38">
        <f>(T84*U12*(1-'Inputs'!$E$30)+MAX(0,U11-T84*U12)*'Inputs'!$E$29)*U83</f>
        <v>0.06189487204531132</v>
      </c>
      <c r="V84" s="38">
        <f>(U84*V12*(1-'Inputs'!$E$30)+MAX(0,V11-U84*V12)*'Inputs'!$E$29)*V83</f>
        <v>0.06511276730662446</v>
      </c>
      <c r="W84" s="38">
        <f>(V84*W12*(1-'Inputs'!$E$30)+MAX(0,W11-V84*W12)*'Inputs'!$E$29)*W83</f>
        <v>0.067971117422987</v>
      </c>
      <c r="X84" s="38">
        <f>(W84*X12*(1-'Inputs'!$E$30)+MAX(0,X11-W84*X12)*'Inputs'!$E$29)*X83</f>
        <v>0.07050248327577756</v>
      </c>
      <c r="Y84" s="38">
        <f>(X84*Y12*(1-'Inputs'!$E$30)+MAX(0,Y11-X84*Y12)*'Inputs'!$E$29)*Y83</f>
        <v>0.07273648811021263</v>
      </c>
      <c r="Z84" s="38">
        <f>(Y84*Z12*(1-'Inputs'!$E$30)+MAX(0,Z11-Y84*Z12)*'Inputs'!$E$29)*Z83</f>
        <v>0.07470008168112624</v>
      </c>
      <c r="AA84" s="38">
        <f>(Z84*AA12*(1-'Inputs'!$E$30)+MAX(0,AA11-Z84*AA12)*'Inputs'!$E$29)*AA83</f>
        <v>0.07641778071838826</v>
      </c>
      <c r="AB84" s="38">
        <f>(AA84*AB12*(1-'Inputs'!$E$30)+MAX(0,AB11-AA84*AB12)*'Inputs'!$E$29)*AB83</f>
        <v>0.07791188782916958</v>
      </c>
      <c r="AC84" s="38">
        <f>(AB84*AC12*(1-'Inputs'!$E$30)+MAX(0,AC11-AB84*AC12)*'Inputs'!$E$29)*AC83</f>
        <v>0.07920269076542774</v>
      </c>
      <c r="AD84" s="38">
        <f>(AC84*AD12*(1-'Inputs'!$E$30)+MAX(0,AD11-AC84*AD12)*'Inputs'!$E$29)*AD83</f>
        <v>0.08030864381295626</v>
      </c>
      <c r="AE84" s="38">
        <f>(AD84*AE12*(1-'Inputs'!$E$30)+MAX(0,AE11-AD84*AE12)*'Inputs'!$E$29)*AE83</f>
        <v>0.08124653290162472</v>
      </c>
      <c r="AF84" s="38">
        <f>(AE84*AF12*(1-'Inputs'!$E$30)+MAX(0,AF11-AE84*AF12)*'Inputs'!$E$29)*AF83</f>
        <v>0.08203162589367093</v>
      </c>
      <c r="AG84" s="38">
        <f>(AF84*AG12*(1-'Inputs'!$E$30)+MAX(0,AG11-AF84*AG12)*'Inputs'!$E$29)*AG83</f>
        <v>0.0819204553978304</v>
      </c>
      <c r="AH84" s="38">
        <f>(AG84*AH12*(1-'Inputs'!$E$30)+MAX(0,AH11-AG84*AH12)*'Inputs'!$E$29)*AH83</f>
        <v>0.08166175538920098</v>
      </c>
      <c r="AI84" s="38">
        <f>(AH84*AI12*(1-'Inputs'!$E$30)+MAX(0,AI11-AH84*AI12)*'Inputs'!$E$29)*AI83</f>
        <v>0.08126972159178925</v>
      </c>
      <c r="AJ84" s="38">
        <f>(AI84*AJ12*(1-'Inputs'!$E$30)+MAX(0,AJ11-AI84*AJ12)*'Inputs'!$E$29)*AJ83</f>
        <v>0.08075720235725053</v>
      </c>
      <c r="AK84" s="38">
        <f>(AJ84*AK12*(1-'Inputs'!$E$30)+MAX(0,AK11-AJ84*AK12)*'Inputs'!$E$29)*AK83</f>
        <v>0.0807981047008107</v>
      </c>
      <c r="AL84" s="38">
        <f>(AK84*AL12*(1-'Inputs'!$E$30)+MAX(0,AL11-AK84*AL12)*'Inputs'!$E$29)*AL83</f>
        <v>0.0807530828589345</v>
      </c>
      <c r="AM84" s="38">
        <f>(AL84*AM12*(1-'Inputs'!$E$30)+MAX(0,AM11-AL84*AM12)*'Inputs'!$E$29)*AM83</f>
        <v>0.08063007342371388</v>
      </c>
      <c r="AN84" s="38">
        <f>(AM84*AN12*(1-'Inputs'!$E$30)+MAX(0,AN11-AM84*AN12)*'Inputs'!$E$29)*AN83</f>
        <v>0.08043628456882498</v>
      </c>
      <c r="AO84" s="38">
        <f>(AN84*AO12*(1-'Inputs'!$E$30)+MAX(0,AO11-AN84*AO12)*'Inputs'!$E$29)*AO83</f>
        <v>0.08017826253878085</v>
      </c>
      <c r="AP84" s="38">
        <f>(AO84*AP12*(1-'Inputs'!$E$30)+MAX(0,AP11-AO84*AP12)*'Inputs'!$E$29)*AP83</f>
        <v>0.07986195209783448</v>
      </c>
      <c r="AQ84" s="38">
        <f>(AP84*AQ12*(1-'Inputs'!$E$30)+MAX(0,AQ11-AP84*AQ12)*'Inputs'!$E$29)*AQ83</f>
        <v>0.07949275148500629</v>
      </c>
    </row>
    <row r="85" ht="28" customHeight="1">
      <c r="A85" s="2" t="str">
        <v>AT.U.FREE</v>
      </c>
      <c r="B85" s="6" t="str">
        <v>Austria: not yet identity-checked: non-payers</v>
      </c>
      <c r="C85" s="2" t="str">
        <v>count</v>
      </c>
      <c r="D85" s="2" t="str">
        <v>NA</v>
      </c>
      <c r="E85" s="2"/>
      <c r="F85" s="6" t="str"/>
      <c r="G85" s="2"/>
      <c r="H85" s="38">
        <f>(H11-H86+SUM(0*H12*'Inputs'!$E$23,0*H12*(1-'Inputs'!$E$24),0*H12*'Inputs'!$E$23,0*H12*(1-'Inputs'!$E$24)))*(1-'Inputs'!$E$29*H83)</f>
        <v>0.92</v>
      </c>
      <c r="I85" s="38">
        <f>(H85*I12-I86+SUM(H87*I12*'Inputs'!$E$23,H100*I12*(1-'Inputs'!$E$24),H88*I12*'Inputs'!$E$23,H112*I12*(1-'Inputs'!$E$24)))*(1-'Inputs'!$E$29*I83)</f>
        <v>0.642376</v>
      </c>
      <c r="J85" s="38">
        <f>(I85*J12-J86+SUM(I87*J12*'Inputs'!$E$23,I100*J12*(1-'Inputs'!$E$24),I88*J12*'Inputs'!$E$23,I112*J12*(1-'Inputs'!$E$24)))*(1-'Inputs'!$E$29*J83)</f>
        <v>0.549233184</v>
      </c>
      <c r="K85" s="38">
        <f>(J85*K12-K86+SUM(J87*K12*'Inputs'!$E$23,J100*K12*(1-'Inputs'!$E$24),J88*K12*'Inputs'!$E$23,J112*K12*(1-'Inputs'!$E$24)))*(1-'Inputs'!$E$29*K83)</f>
        <v>0.50221798792</v>
      </c>
      <c r="L85" s="38">
        <f>(K85*L12-L86+SUM(K87*L12*'Inputs'!$E$23,K100*L12*(1-'Inputs'!$E$24),K88*L12*'Inputs'!$E$23,K112*L12*(1-'Inputs'!$E$24)))*(1-'Inputs'!$E$29*L83)</f>
        <v>0.44405538321424803</v>
      </c>
      <c r="M85" s="38">
        <f>(L85*M12-M86+SUM(L87*M12*'Inputs'!$E$23,L100*M12*(1-'Inputs'!$E$24),L88*M12*'Inputs'!$E$23,L112*M12*(1-'Inputs'!$E$24)))*(1-'Inputs'!$E$29*M83)</f>
        <v>0.40541942453354957</v>
      </c>
      <c r="N85" s="38">
        <f>(M85*N12-N86+SUM(M87*N12*'Inputs'!$E$23,M100*N12*(1-'Inputs'!$E$24),M88*N12*'Inputs'!$E$23,M112*N12*(1-'Inputs'!$E$24)))*(1-'Inputs'!$E$29*N83)</f>
        <v>0.3770220973149437</v>
      </c>
      <c r="O85" s="38">
        <f>(N85*O12-O86+SUM(N87*O12*'Inputs'!$E$23,N100*O12*(1-'Inputs'!$E$24),N88*O12*'Inputs'!$E$23,N112*O12*(1-'Inputs'!$E$24)))*(1-'Inputs'!$E$29*O83)</f>
        <v>0.34992715852944783</v>
      </c>
      <c r="P85" s="38">
        <f>(O85*P12-P86+SUM(O87*P12*'Inputs'!$E$23,O100*P12*(1-'Inputs'!$E$24),O88*P12*'Inputs'!$E$23,O112*P12*(1-'Inputs'!$E$24)))*(1-'Inputs'!$E$29*P83)</f>
        <v>0.32408176736804584</v>
      </c>
      <c r="Q85" s="38">
        <f>(P85*Q12-Q86+SUM(P87*Q12*'Inputs'!$E$23,P100*Q12*(1-'Inputs'!$E$24),P88*Q12*'Inputs'!$E$23,P112*Q12*(1-'Inputs'!$E$24)))*(1-'Inputs'!$E$29*Q83)</f>
        <v>0.299435258114332</v>
      </c>
      <c r="R85" s="38">
        <f>(Q85*R12-R86+SUM(Q87*R12*'Inputs'!$E$23,Q100*R12*(1-'Inputs'!$E$24),Q88*R12*'Inputs'!$E$23,Q112*R12*(1-'Inputs'!$E$24)))*(1-'Inputs'!$E$29*R83)</f>
        <v>0.28339684160084355</v>
      </c>
      <c r="S85" s="38">
        <f>(R85*S12-S86+SUM(R87*S12*'Inputs'!$E$23,R100*S12*(1-'Inputs'!$E$24),R88*S12*'Inputs'!$E$23,R112*S12*(1-'Inputs'!$E$24)))*(1-'Inputs'!$E$29*S83)</f>
        <v>0.26803481354317465</v>
      </c>
      <c r="T85" s="38">
        <f>(S85*T12-T86+SUM(S87*T12*'Inputs'!$E$23,S100*T12*(1-'Inputs'!$E$24),S88*T12*'Inputs'!$E$23,S112*T12*(1-'Inputs'!$E$24)))*(1-'Inputs'!$E$29*T83)</f>
        <v>0.256676727406495</v>
      </c>
      <c r="U85" s="38">
        <f>(T85*U12-U86+SUM(T87*U12*'Inputs'!$E$23,T100*U12*(1-'Inputs'!$E$24),T88*U12*'Inputs'!$E$23,T112*U12*(1-'Inputs'!$E$24)))*(1-'Inputs'!$E$29*U83)</f>
        <v>0.24788263597123322</v>
      </c>
      <c r="V85" s="38">
        <f>(U85*V12-V86+SUM(U87*V12*'Inputs'!$E$23,U100*V12*(1-'Inputs'!$E$24),U88*V12*'Inputs'!$E$23,U112*V12*(1-'Inputs'!$E$24)))*(1-'Inputs'!$E$29*V83)</f>
        <v>0.23938020903090956</v>
      </c>
      <c r="W85" s="38">
        <f>(V85*W12-W86+SUM(V87*W12*'Inputs'!$E$23,V100*W12*(1-'Inputs'!$E$24),V88*W12*'Inputs'!$E$23,V112*W12*(1-'Inputs'!$E$24)))*(1-'Inputs'!$E$29*W83)</f>
        <v>0.23115977688354758</v>
      </c>
      <c r="X85" s="38">
        <f>(W85*X12-X86+SUM(W87*X12*'Inputs'!$E$23,W100*X12*(1-'Inputs'!$E$24),W88*X12*'Inputs'!$E$23,W112*X12*(1-'Inputs'!$E$24)))*(1-'Inputs'!$E$29*X83)</f>
        <v>0.22321201555204415</v>
      </c>
      <c r="Y85" s="38">
        <f>(X85*Y12-Y86+SUM(X87*Y12*'Inputs'!$E$23,X100*Y12*(1-'Inputs'!$E$24),X88*Y12*'Inputs'!$E$23,X112*Y12*(1-'Inputs'!$E$24)))*(1-'Inputs'!$E$29*Y83)</f>
        <v>0.21552793087729713</v>
      </c>
      <c r="Z85" s="38">
        <f>(Y85*Z12-Z86+SUM(Y87*Z12*'Inputs'!$E$23,Y100*Z12*(1-'Inputs'!$E$24),Y88*Z12*'Inputs'!$E$23,Y112*Z12*(1-'Inputs'!$E$24)))*(1-'Inputs'!$E$29*Z83)</f>
        <v>0.2080984938662754</v>
      </c>
      <c r="AA85" s="38">
        <f>(Z85*AA12-AA86+SUM(Z87*AA12*'Inputs'!$E$23,Z100*AA12*(1-'Inputs'!$E$24),Z88*AA12*'Inputs'!$E$23,Z112*AA12*(1-'Inputs'!$E$24)))*(1-'Inputs'!$E$29*AA83)</f>
        <v>0.2009153655418862</v>
      </c>
      <c r="AB85" s="38">
        <f>(AA85*AB12-AB86+SUM(AA87*AB12*'Inputs'!$E$23,AA100*AB12*(1-'Inputs'!$E$24),AA88*AB12*'Inputs'!$E$23,AA112*AB12*(1-'Inputs'!$E$24)))*(1-'Inputs'!$E$29*AB83)</f>
        <v>0.19397049239410427</v>
      </c>
      <c r="AC85" s="38">
        <f>(AB85*AC12-AC86+SUM(AB87*AC12*'Inputs'!$E$23,AB100*AC12*(1-'Inputs'!$E$24),AB88*AC12*'Inputs'!$E$23,AB112*AC12*(1-'Inputs'!$E$24)))*(1-'Inputs'!$E$29*AC83)</f>
        <v>0.1872560945554833</v>
      </c>
      <c r="AD85" s="38">
        <f>(AC85*AD12-AD86+SUM(AC87*AD12*'Inputs'!$E$23,AC100*AD12*(1-'Inputs'!$E$24),AC88*AD12*'Inputs'!$E$23,AC112*AD12*(1-'Inputs'!$E$24)))*(1-'Inputs'!$E$29*AD83)</f>
        <v>0.18076465470911626</v>
      </c>
      <c r="AE85" s="38">
        <f>(AD85*AE12-AE86+SUM(AD87*AE12*'Inputs'!$E$23,AD100*AE12*(1-'Inputs'!$E$24),AD88*AE12*'Inputs'!$E$23,AD112*AE12*(1-'Inputs'!$E$24)))*(1-'Inputs'!$E$29*AE83)</f>
        <v>0.17448890766142636</v>
      </c>
      <c r="AF85" s="38">
        <f>(AE85*AF12-AF86+SUM(AE87*AF12*'Inputs'!$E$23,AE100*AF12*(1-'Inputs'!$E$24),AE88*AF12*'Inputs'!$E$23,AE112*AF12*(1-'Inputs'!$E$24)))*(1-'Inputs'!$E$29*AF83)</f>
        <v>0.1692159114664856</v>
      </c>
      <c r="AG85" s="38">
        <f>(AF85*AG12-AG86+SUM(AF87*AG12*'Inputs'!$E$23,AF100*AG12*(1-'Inputs'!$E$24),AF88*AG12*'Inputs'!$E$23,AF112*AG12*(1-'Inputs'!$E$24)))*(1-'Inputs'!$E$29*AG83)</f>
        <v>0.16189538644130858</v>
      </c>
      <c r="AH85" s="38">
        <f>(AG85*AH12-AH86+SUM(AG87*AH12*'Inputs'!$E$23,AG100*AH12*(1-'Inputs'!$E$24),AG88*AH12*'Inputs'!$E$23,AG112*AH12*(1-'Inputs'!$E$24)))*(1-'Inputs'!$E$29*AH83)</f>
        <v>0.15484736234821267</v>
      </c>
      <c r="AI85" s="38">
        <f>(AH85*AI12-AI86+SUM(AH87*AI12*'Inputs'!$E$23,AH100*AI12*(1-'Inputs'!$E$24),AH88*AI12*'Inputs'!$E$23,AH112*AI12*(1-'Inputs'!$E$24)))*(1-'Inputs'!$E$29*AI83)</f>
        <v>0.14806239703597887</v>
      </c>
      <c r="AJ85" s="38">
        <f>(AI85*AJ12-AJ86+SUM(AI87*AJ12*'Inputs'!$E$23,AI100*AJ12*(1-'Inputs'!$E$24),AI88*AJ12*'Inputs'!$E$23,AI112*AJ12*(1-'Inputs'!$E$24)))*(1-'Inputs'!$E$29*AJ83)</f>
        <v>0.14153136790757959</v>
      </c>
      <c r="AK85" s="38">
        <f>(AJ85*AK12-AK86+SUM(AJ87*AK12*'Inputs'!$E$23,AJ100*AK12*(1-'Inputs'!$E$24),AJ88*AK12*'Inputs'!$E$23,AJ112*AK12*(1-'Inputs'!$E$24)))*(1-'Inputs'!$E$29*AK83)</f>
        <v>0.13636319155758728</v>
      </c>
      <c r="AL85" s="38">
        <f>(AK85*AL12-AL86+SUM(AK87*AL12*'Inputs'!$E$23,AK100*AL12*(1-'Inputs'!$E$24),AK88*AL12*'Inputs'!$E$23,AK112*AL12*(1-'Inputs'!$E$24)))*(1-'Inputs'!$E$29*AL83)</f>
        <v>0.13137109783740558</v>
      </c>
      <c r="AM85" s="38">
        <f>(AL85*AM12-AM86+SUM(AL87*AM12*'Inputs'!$E$23,AL100*AM12*(1-'Inputs'!$E$24),AL88*AM12*'Inputs'!$E$23,AL112*AM12*(1-'Inputs'!$E$24)))*(1-'Inputs'!$E$29*AM83)</f>
        <v>0.12654931990815244</v>
      </c>
      <c r="AN85" s="38">
        <f>(AM85*AN12-AN86+SUM(AM87*AN12*'Inputs'!$E$23,AM100*AN12*(1-'Inputs'!$E$24),AM88*AN12*'Inputs'!$E$23,AM112*AN12*(1-'Inputs'!$E$24)))*(1-'Inputs'!$E$29*AN83)</f>
        <v>0.12189227770496433</v>
      </c>
      <c r="AO85" s="38">
        <f>(AN85*AO12-AO86+SUM(AN87*AO12*'Inputs'!$E$23,AN100*AO12*(1-'Inputs'!$E$24),AN88*AO12*'Inputs'!$E$23,AN112*AO12*(1-'Inputs'!$E$24)))*(1-'Inputs'!$E$29*AO83)</f>
        <v>0.11739457157053503</v>
      </c>
      <c r="AP85" s="38">
        <f>(AO85*AP12-AP86+SUM(AO87*AP12*'Inputs'!$E$23,AO100*AP12*(1-'Inputs'!$E$24),AO88*AP12*'Inputs'!$E$23,AO112*AP12*(1-'Inputs'!$E$24)))*(1-'Inputs'!$E$29*AP83)</f>
        <v>0.11305097615678415</v>
      </c>
      <c r="AQ85" s="38">
        <f>(AP85*AQ12-AQ86+SUM(AP87*AQ12*'Inputs'!$E$23,AP100*AQ12*(1-'Inputs'!$E$24),AP88*AQ12*'Inputs'!$E$23,AP112*AQ12*(1-'Inputs'!$E$24)))*(1-'Inputs'!$E$29*AQ83)</f>
        <v>0.10885643457737577</v>
      </c>
    </row>
    <row r="86" ht="28" customHeight="1">
      <c r="A86" s="2" t="str">
        <v>AT.U.NEW</v>
      </c>
      <c r="B86" s="6" t="str">
        <v>Austria: not yet identity-checked: new payers</v>
      </c>
      <c r="C86" s="2" t="str">
        <v>count</v>
      </c>
      <c r="D86" s="2" t="str">
        <v>NA</v>
      </c>
      <c r="E86" s="2"/>
      <c r="F86" s="6" t="str"/>
      <c r="G86" s="2"/>
      <c r="H86" s="38">
        <f>H11*'Inputs'!$E$20*H13</f>
        <v>0.08</v>
      </c>
      <c r="I86" s="38">
        <f>H85*I12*'Inputs'!$E$21*I13</f>
        <v>0.005152</v>
      </c>
      <c r="J86" s="38">
        <f>I85*J12*'Inputs'!$E$21*J13</f>
        <v>0.004404864</v>
      </c>
      <c r="K86" s="38">
        <f>J85*K12*'Inputs'!$E$21*K13</f>
        <v>0.004027710016</v>
      </c>
      <c r="L86" s="38">
        <f>K85*L12*'Inputs'!$E$21*L13</f>
        <v>0.0036524944576000005</v>
      </c>
      <c r="M86" s="38">
        <f>L85*M12*'Inputs'!$E$21*M13</f>
        <v>0.0033392964817711454</v>
      </c>
      <c r="N86" s="38">
        <f>M85*N12*'Inputs'!$E$21*N13</f>
        <v>0.003105340273022933</v>
      </c>
      <c r="O86" s="38">
        <f>N85*O12*'Inputs'!$E$21*O13</f>
        <v>0.0028821244772520137</v>
      </c>
      <c r="P86" s="38">
        <f>O85*P12*'Inputs'!$E$21*P13</f>
        <v>0.002669211813899044</v>
      </c>
      <c r="Q86" s="38">
        <f>P85*Q12*'Inputs'!$E$21*Q13</f>
        <v>0.0024661832053373247</v>
      </c>
      <c r="R86" s="38">
        <f>Q85*R12*'Inputs'!$E$21*R13</f>
        <v>0.0023340594478655622</v>
      </c>
      <c r="S86" s="38">
        <f>R85*S12*'Inputs'!$E$21*S13</f>
        <v>0.00220751223983815</v>
      </c>
      <c r="T86" s="38">
        <f>S85*T12*'Inputs'!$E$21*T13</f>
        <v>0.002086325035146873</v>
      </c>
      <c r="U86" s="38">
        <f>T85*U12*'Inputs'!$E$21*U13</f>
        <v>0.0020391540010627103</v>
      </c>
      <c r="V86" s="38">
        <f>U85*V12*'Inputs'!$E$21*V13</f>
        <v>0.001969193527715531</v>
      </c>
      <c r="W86" s="38">
        <f>V85*W12*'Inputs'!$E$21*W13</f>
        <v>0.0019015554632877886</v>
      </c>
      <c r="X86" s="38">
        <f>W85*X12*'Inputs'!$E$21*X13</f>
        <v>0.0018361627667345625</v>
      </c>
      <c r="Y86" s="38">
        <f>X85*Y12*'Inputs'!$E$21*Y13</f>
        <v>0.0017729411520990936</v>
      </c>
      <c r="Z86" s="38">
        <f>Y85*Z12*'Inputs'!$E$21*Z13</f>
        <v>0.0017118189617880291</v>
      </c>
      <c r="AA86" s="38">
        <f>Z85*AA12*'Inputs'!$E$21*AA13</f>
        <v>0.0016527242701263615</v>
      </c>
      <c r="AB86" s="38">
        <f>AA85*AB12*'Inputs'!$E$21*AB13</f>
        <v>0.0015955906402158554</v>
      </c>
      <c r="AC86" s="38">
        <f>AB85*AC12*'Inputs'!$E$21*AC13</f>
        <v>0.001540353910188475</v>
      </c>
      <c r="AD86" s="38">
        <f>AC85*AD12*'Inputs'!$E$21*AD13</f>
        <v>0.0014869520989887269</v>
      </c>
      <c r="AE86" s="38">
        <f>AD85*AE12*'Inputs'!$E$21*AE13</f>
        <v>0.0014353253179888038</v>
      </c>
      <c r="AF86" s="38">
        <f>AE85*AF12*'Inputs'!$E$21*AF13</f>
        <v>0.0013854156878982421</v>
      </c>
      <c r="AG86" s="38">
        <f>AF85*AG12*'Inputs'!$E$21*AG13</f>
        <v>0.0013311651702030201</v>
      </c>
      <c r="AH86" s="38">
        <f>AG85*AH12*'Inputs'!$E$21*AH13</f>
        <v>0.0012732111747248674</v>
      </c>
      <c r="AI86" s="38">
        <f>AH85*AI12*'Inputs'!$E$21*AI13</f>
        <v>0.0012174206419100857</v>
      </c>
      <c r="AJ86" s="38">
        <f>AI85*AJ12*'Inputs'!$E$21*AJ13</f>
        <v>0.0011637184889845356</v>
      </c>
      <c r="AK86" s="38">
        <f>AJ85*AK12*'Inputs'!$E$21*AK13</f>
        <v>0.001121222524982124</v>
      </c>
      <c r="AL86" s="38">
        <f>AK85*AL12*'Inputs'!$E$21*AL13</f>
        <v>0.0010801753141086259</v>
      </c>
      <c r="AM86" s="38">
        <f>AL85*AM12*'Inputs'!$E$21*AM13</f>
        <v>0.001040528695453888</v>
      </c>
      <c r="AN86" s="38">
        <f>AM85*AN12*'Inputs'!$E$21*AN13</f>
        <v>0.001002236754322759</v>
      </c>
      <c r="AO86" s="38">
        <f>AN85*AO12*'Inputs'!$E$21*AO13</f>
        <v>0.0009652550639879607</v>
      </c>
      <c r="AP86" s="38">
        <f>AO85*AP12*'Inputs'!$E$21*AP13</f>
        <v>0.000929540634961233</v>
      </c>
      <c r="AQ86" s="38">
        <f>AP85*AQ12*'Inputs'!$E$21*AQ13</f>
        <v>0.0008950518663999186</v>
      </c>
    </row>
    <row r="87" ht="28" customHeight="1">
      <c r="A87" s="2" t="str">
        <v>AT.U.PLUS.M</v>
      </c>
      <c r="B87" s="6" t="str">
        <v>Austria: not yet identity-checked: Plus monthly</v>
      </c>
      <c r="C87" s="2" t="str">
        <v>count</v>
      </c>
      <c r="D87" s="2" t="str">
        <v>NA</v>
      </c>
      <c r="E87" s="2"/>
      <c r="F87" s="6" t="str"/>
      <c r="G87" s="2"/>
      <c r="H87" s="38">
        <f>(0*H12*(1-'Inputs'!$E$23)+H86*(1-'Inputs'!$E$19)*(1-'Inputs'!$E$22))*(1-'Inputs'!$E$29*H83)</f>
        <v>0.041999999999999996</v>
      </c>
      <c r="I87" s="38">
        <f>(H87*I12*(1-'Inputs'!$E$23)+I86*(1-'Inputs'!$E$19)*(1-'Inputs'!$E$22))*(1-'Inputs'!$E$29*I83)</f>
        <v>0.029458799999999997</v>
      </c>
      <c r="J87" s="38">
        <f>(I87*J12*(1-'Inputs'!$E$23)+J86*(1-'Inputs'!$E$19)*(1-'Inputs'!$E$22))*(1-'Inputs'!$E$29*J83)</f>
        <v>0.0252904176</v>
      </c>
      <c r="K87" s="38">
        <f>(J87*K12*(1-'Inputs'!$E$23)+K86*(1-'Inputs'!$E$19)*(1-'Inputs'!$E$22))*(1-'Inputs'!$E$29*K83)</f>
        <v>0.023210971106400004</v>
      </c>
      <c r="L87" s="38">
        <f>(K87*L12*(1-'Inputs'!$E$23)+L86*(1-'Inputs'!$E$19)*(1-'Inputs'!$E$22))*(1-'Inputs'!$E$29*L83)</f>
        <v>0.020591378886078003</v>
      </c>
      <c r="M87" s="38">
        <f>(L87*M12*(1-'Inputs'!$E$23)+M86*(1-'Inputs'!$E$19)*(1-'Inputs'!$E$22))*(1-'Inputs'!$E$29*M83)</f>
        <v>0.01888282124827895</v>
      </c>
      <c r="N87" s="38">
        <f>(M87*N12*(1-'Inputs'!$E$23)+N86*(1-'Inputs'!$E$19)*(1-'Inputs'!$E$22))*(1-'Inputs'!$E$29*N83)</f>
        <v>0.017630402262128027</v>
      </c>
      <c r="O87" s="38">
        <f>(N87*O12*(1-'Inputs'!$E$23)+O86*(1-'Inputs'!$E$19)*(1-'Inputs'!$E$22))*(1-'Inputs'!$E$29*O83)</f>
        <v>0.01642263634466322</v>
      </c>
      <c r="P87" s="38">
        <f>(O87*P12*(1-'Inputs'!$E$23)+P86*(1-'Inputs'!$E$19)*(1-'Inputs'!$E$22))*(1-'Inputs'!$E$29*P83)</f>
        <v>0.015259566703493063</v>
      </c>
      <c r="Q87" s="38">
        <f>(P87*Q12*(1-'Inputs'!$E$23)+Q86*(1-'Inputs'!$E$19)*(1-'Inputs'!$E$22))*(1-'Inputs'!$E$29*Q83)</f>
        <v>0.01414098659528801</v>
      </c>
      <c r="R87" s="38">
        <f>(Q87*R12*(1-'Inputs'!$E$23)+R86*(1-'Inputs'!$E$19)*(1-'Inputs'!$E$22))*(1-'Inputs'!$E$29*R83)</f>
        <v>0.013419629591502669</v>
      </c>
      <c r="S87" s="38">
        <f>(R87*S12*(1-'Inputs'!$E$23)+S86*(1-'Inputs'!$E$19)*(1-'Inputs'!$E$22))*(1-'Inputs'!$E$29*S83)</f>
        <v>0.012723205989273666</v>
      </c>
      <c r="T87" s="38">
        <f>(S87*T12*(1-'Inputs'!$E$23)+T86*(1-'Inputs'!$E$19)*(1-'Inputs'!$E$22))*(1-'Inputs'!$E$29*T83)</f>
        <v>0.012051503100430403</v>
      </c>
      <c r="U87" s="38">
        <f>(T87*U12*(1-'Inputs'!$E$23)+U86*(1-'Inputs'!$E$19)*(1-'Inputs'!$E$22))*(1-'Inputs'!$E$29*U83)</f>
        <v>0.011662233245943511</v>
      </c>
      <c r="V87" s="38">
        <f>(U87*V12*(1-'Inputs'!$E$23)+V86*(1-'Inputs'!$E$19)*(1-'Inputs'!$E$22))*(1-'Inputs'!$E$29*V83)</f>
        <v>0.011282938528186801</v>
      </c>
      <c r="W87" s="38">
        <f>(V87*W12*(1-'Inputs'!$E$23)+W86*(1-'Inputs'!$E$19)*(1-'Inputs'!$E$22))*(1-'Inputs'!$E$29*W83)</f>
        <v>0.010913647410431403</v>
      </c>
      <c r="X87" s="38">
        <f>(W87*X12*(1-'Inputs'!$E$23)+X86*(1-'Inputs'!$E$19)*(1-'Inputs'!$E$22))*(1-'Inputs'!$E$29*X83)</f>
        <v>0.010554344774284217</v>
      </c>
      <c r="Y87" s="38">
        <f>(X87*Y12*(1-'Inputs'!$E$23)+Y86*(1-'Inputs'!$E$19)*(1-'Inputs'!$E$22))*(1-'Inputs'!$E$29*Y83)</f>
        <v>0.010204978493207369</v>
      </c>
      <c r="Z87" s="38">
        <f>(Y87*Z12*(1-'Inputs'!$E$23)+Z86*(1-'Inputs'!$E$19)*(1-'Inputs'!$E$22))*(1-'Inputs'!$E$29*Z83)</f>
        <v>0.009865465167018896</v>
      </c>
      <c r="AA87" s="38">
        <f>(Z87*AA12*(1-'Inputs'!$E$23)+AA86*(1-'Inputs'!$E$19)*(1-'Inputs'!$E$22))*(1-'Inputs'!$E$29*AA83)</f>
        <v>0.00953569369818354</v>
      </c>
      <c r="AB87" s="38">
        <f>(AA87*AB12*(1-'Inputs'!$E$23)+AB86*(1-'Inputs'!$E$19)*(1-'Inputs'!$E$22))*(1-'Inputs'!$E$29*AB83)</f>
        <v>0.009215531395347462</v>
      </c>
      <c r="AC87" s="38">
        <f>(AB87*AC12*(1-'Inputs'!$E$23)+AC86*(1-'Inputs'!$E$19)*(1-'Inputs'!$E$22))*(1-'Inputs'!$E$29*AC83)</f>
        <v>0.008904827710134159</v>
      </c>
      <c r="AD87" s="38">
        <f>(AC87*AD12*(1-'Inputs'!$E$23)+AD86*(1-'Inputs'!$E$19)*(1-'Inputs'!$E$22))*(1-'Inputs'!$E$29*AD83)</f>
        <v>0.008603417484924783</v>
      </c>
      <c r="AE87" s="38">
        <f>(AD87*AE12*(1-'Inputs'!$E$23)+AE86*(1-'Inputs'!$E$19)*(1-'Inputs'!$E$22))*(1-'Inputs'!$E$29*AE83)</f>
        <v>0.008311123772111455</v>
      </c>
      <c r="AF87" s="38">
        <f>(AE87*AF12*(1-'Inputs'!$E$23)+AF86*(1-'Inputs'!$E$19)*(1-'Inputs'!$E$22))*(1-'Inputs'!$E$29*AF83)</f>
        <v>0.008027760277937477</v>
      </c>
      <c r="AG87" s="38">
        <f>(AF87*AG12*(1-'Inputs'!$E$23)+AG86*(1-'Inputs'!$E$19)*(1-'Inputs'!$E$22))*(1-'Inputs'!$E$29*AG83)</f>
        <v>0.007685309972987697</v>
      </c>
      <c r="AH87" s="38">
        <f>(AG87*AH12*(1-'Inputs'!$E$23)+AH86*(1-'Inputs'!$E$19)*(1-'Inputs'!$E$22))*(1-'Inputs'!$E$29*AH83)</f>
        <v>0.007354943510145908</v>
      </c>
      <c r="AI87" s="38">
        <f>(AH87*AI12*(1-'Inputs'!$E$23)+AI86*(1-'Inputs'!$E$19)*(1-'Inputs'!$E$22))*(1-'Inputs'!$E$29*AI83)</f>
        <v>0.007036329206155079</v>
      </c>
      <c r="AJ87" s="38">
        <f>(AI87*AJ12*(1-'Inputs'!$E$23)+AJ86*(1-'Inputs'!$E$19)*(1-'Inputs'!$E$22))*(1-'Inputs'!$E$29*AJ83)</f>
        <v>0.006729135470619508</v>
      </c>
      <c r="AK87" s="38">
        <f>(AJ87*AK12*(1-'Inputs'!$E$23)+AK86*(1-'Inputs'!$E$19)*(1-'Inputs'!$E$22))*(1-'Inputs'!$E$29*AK83)</f>
        <v>0.0064861977316754945</v>
      </c>
      <c r="AL87" s="38">
        <f>(AK87*AL12*(1-'Inputs'!$E$23)+AL86*(1-'Inputs'!$E$19)*(1-'Inputs'!$E$22))*(1-'Inputs'!$E$29*AL83)</f>
        <v>0.006251188309740773</v>
      </c>
      <c r="AM87" s="38">
        <f>(AL87*AM12*(1-'Inputs'!$E$23)+AM86*(1-'Inputs'!$E$19)*(1-'Inputs'!$E$22))*(1-'Inputs'!$E$29*AM83)</f>
        <v>0.00602389109458623</v>
      </c>
      <c r="AN87" s="38">
        <f>(AM87*AN12*(1-'Inputs'!$E$23)+AN86*(1-'Inputs'!$E$19)*(1-'Inputs'!$E$22))*(1-'Inputs'!$E$29*AN83)</f>
        <v>0.0058040915861333545</v>
      </c>
      <c r="AO87" s="38">
        <f>(AN87*AO12*(1-'Inputs'!$E$23)+AO86*(1-'Inputs'!$E$19)*(1-'Inputs'!$E$22))*(1-'Inputs'!$E$29*AO83)</f>
        <v>0.0055915774903398776</v>
      </c>
      <c r="AP87" s="38">
        <f>(AO87*AP12*(1-'Inputs'!$E$23)+AP86*(1-'Inputs'!$E$19)*(1-'Inputs'!$E$22))*(1-'Inputs'!$E$29*AP83)</f>
        <v>0.005386139217326844</v>
      </c>
      <c r="AQ87" s="38">
        <f>(AP87*AQ12*(1-'Inputs'!$E$23)+AQ86*(1-'Inputs'!$E$19)*(1-'Inputs'!$E$22))*(1-'Inputs'!$E$29*AQ83)</f>
        <v>0.005187570294473874</v>
      </c>
    </row>
    <row r="88" ht="28" customHeight="1">
      <c r="A88" s="2" t="str">
        <v>AT.U.PRO.M</v>
      </c>
      <c r="B88" s="6" t="str">
        <v>Austria: not yet identity-checked: Pro monthly</v>
      </c>
      <c r="C88" s="2" t="str">
        <v>count</v>
      </c>
      <c r="D88" s="2" t="str">
        <v>NA</v>
      </c>
      <c r="E88" s="2"/>
      <c r="F88" s="6" t="str"/>
      <c r="G88" s="2"/>
      <c r="H88" s="38">
        <f>(0*H12*(1-'Inputs'!$E$23)+H86*'Inputs'!$E$19*(1-'Inputs'!$E$22))*(1-'Inputs'!$E$29*H83)* (1-H83)</f>
        <v>0.013999999999999999</v>
      </c>
      <c r="I88" s="38">
        <f>(H88*I12*(1-'Inputs'!$E$23)+I86*'Inputs'!$E$19*(1-'Inputs'!$E$22))*(1-'Inputs'!$E$29*I83)* (1-I83)</f>
        <v>0.0098196</v>
      </c>
      <c r="J88" s="38">
        <f>(I88*J12*(1-'Inputs'!$E$23)+J86*'Inputs'!$E$19*(1-'Inputs'!$E$22))*(1-'Inputs'!$E$29*J83)* (1-J83)</f>
        <v>0.0084301392</v>
      </c>
      <c r="K88" s="38">
        <f>(J88*K12*(1-'Inputs'!$E$23)+K86*'Inputs'!$E$19*(1-'Inputs'!$E$22))*(1-'Inputs'!$E$29*K83)* (1-K83)</f>
        <v>0.007736990368800001</v>
      </c>
      <c r="L88" s="38">
        <f>(K88*L12*(1-'Inputs'!$E$23)+L86*'Inputs'!$E$19*(1-'Inputs'!$E$22))*(1-'Inputs'!$E$29*L83)* (1-L83)</f>
        <v>0.0</v>
      </c>
      <c r="M88" s="38">
        <f>(L88*M12*(1-'Inputs'!$E$23)+M86*'Inputs'!$E$19*(1-'Inputs'!$E$22))*(1-'Inputs'!$E$29*M83)* (1-M83)</f>
        <v>0.0</v>
      </c>
      <c r="N88" s="38">
        <f>(M88*N12*(1-'Inputs'!$E$23)+N86*'Inputs'!$E$19*(1-'Inputs'!$E$22))*(1-'Inputs'!$E$29*N83)* (1-N83)</f>
        <v>0.0</v>
      </c>
      <c r="O88" s="38">
        <f>(N88*O12*(1-'Inputs'!$E$23)+O86*'Inputs'!$E$19*(1-'Inputs'!$E$22))*(1-'Inputs'!$E$29*O83)* (1-O83)</f>
        <v>0.0</v>
      </c>
      <c r="P88" s="38">
        <f>(O88*P12*(1-'Inputs'!$E$23)+P86*'Inputs'!$E$19*(1-'Inputs'!$E$22))*(1-'Inputs'!$E$29*P83)* (1-P83)</f>
        <v>0.0</v>
      </c>
      <c r="Q88" s="38">
        <f>(P88*Q12*(1-'Inputs'!$E$23)+Q86*'Inputs'!$E$19*(1-'Inputs'!$E$22))*(1-'Inputs'!$E$29*Q83)* (1-Q83)</f>
        <v>0.0</v>
      </c>
      <c r="R88" s="38">
        <f>(Q88*R12*(1-'Inputs'!$E$23)+R86*'Inputs'!$E$19*(1-'Inputs'!$E$22))*(1-'Inputs'!$E$29*R83)* (1-R83)</f>
        <v>0.0</v>
      </c>
      <c r="S88" s="38">
        <f>(R88*S12*(1-'Inputs'!$E$23)+S86*'Inputs'!$E$19*(1-'Inputs'!$E$22))*(1-'Inputs'!$E$29*S83)* (1-S83)</f>
        <v>0.0</v>
      </c>
      <c r="T88" s="38">
        <f>(S88*T12*(1-'Inputs'!$E$23)+T86*'Inputs'!$E$19*(1-'Inputs'!$E$22))*(1-'Inputs'!$E$29*T83)* (1-T83)</f>
        <v>0.0</v>
      </c>
      <c r="U88" s="38">
        <f>(T88*U12*(1-'Inputs'!$E$23)+U86*'Inputs'!$E$19*(1-'Inputs'!$E$22))*(1-'Inputs'!$E$29*U83)* (1-U83)</f>
        <v>0.0</v>
      </c>
      <c r="V88" s="38">
        <f>(U88*V12*(1-'Inputs'!$E$23)+V86*'Inputs'!$E$19*(1-'Inputs'!$E$22))*(1-'Inputs'!$E$29*V83)* (1-V83)</f>
        <v>0.0</v>
      </c>
      <c r="W88" s="38">
        <f>(V88*W12*(1-'Inputs'!$E$23)+W86*'Inputs'!$E$19*(1-'Inputs'!$E$22))*(1-'Inputs'!$E$29*W83)* (1-W83)</f>
        <v>0.0</v>
      </c>
      <c r="X88" s="38">
        <f>(W88*X12*(1-'Inputs'!$E$23)+X86*'Inputs'!$E$19*(1-'Inputs'!$E$22))*(1-'Inputs'!$E$29*X83)* (1-X83)</f>
        <v>0.0</v>
      </c>
      <c r="Y88" s="38">
        <f>(X88*Y12*(1-'Inputs'!$E$23)+Y86*'Inputs'!$E$19*(1-'Inputs'!$E$22))*(1-'Inputs'!$E$29*Y83)* (1-Y83)</f>
        <v>0.0</v>
      </c>
      <c r="Z88" s="38">
        <f>(Y88*Z12*(1-'Inputs'!$E$23)+Z86*'Inputs'!$E$19*(1-'Inputs'!$E$22))*(1-'Inputs'!$E$29*Z83)* (1-Z83)</f>
        <v>0.0</v>
      </c>
      <c r="AA88" s="38">
        <f>(Z88*AA12*(1-'Inputs'!$E$23)+AA86*'Inputs'!$E$19*(1-'Inputs'!$E$22))*(1-'Inputs'!$E$29*AA83)* (1-AA83)</f>
        <v>0.0</v>
      </c>
      <c r="AB88" s="38">
        <f>(AA88*AB12*(1-'Inputs'!$E$23)+AB86*'Inputs'!$E$19*(1-'Inputs'!$E$22))*(1-'Inputs'!$E$29*AB83)* (1-AB83)</f>
        <v>0.0</v>
      </c>
      <c r="AC88" s="38">
        <f>(AB88*AC12*(1-'Inputs'!$E$23)+AC86*'Inputs'!$E$19*(1-'Inputs'!$E$22))*(1-'Inputs'!$E$29*AC83)* (1-AC83)</f>
        <v>0.0</v>
      </c>
      <c r="AD88" s="38">
        <f>(AC88*AD12*(1-'Inputs'!$E$23)+AD86*'Inputs'!$E$19*(1-'Inputs'!$E$22))*(1-'Inputs'!$E$29*AD83)* (1-AD83)</f>
        <v>0.0</v>
      </c>
      <c r="AE88" s="38">
        <f>(AD88*AE12*(1-'Inputs'!$E$23)+AE86*'Inputs'!$E$19*(1-'Inputs'!$E$22))*(1-'Inputs'!$E$29*AE83)* (1-AE83)</f>
        <v>0.0</v>
      </c>
      <c r="AF88" s="38">
        <f>(AE88*AF12*(1-'Inputs'!$E$23)+AF86*'Inputs'!$E$19*(1-'Inputs'!$E$22))*(1-'Inputs'!$E$29*AF83)* (1-AF83)</f>
        <v>0.0</v>
      </c>
      <c r="AG88" s="38">
        <f>(AF88*AG12*(1-'Inputs'!$E$23)+AG86*'Inputs'!$E$19*(1-'Inputs'!$E$22))*(1-'Inputs'!$E$29*AG83)* (1-AG83)</f>
        <v>0.0</v>
      </c>
      <c r="AH88" s="38">
        <f>(AG88*AH12*(1-'Inputs'!$E$23)+AH86*'Inputs'!$E$19*(1-'Inputs'!$E$22))*(1-'Inputs'!$E$29*AH83)* (1-AH83)</f>
        <v>0.0</v>
      </c>
      <c r="AI88" s="38">
        <f>(AH88*AI12*(1-'Inputs'!$E$23)+AI86*'Inputs'!$E$19*(1-'Inputs'!$E$22))*(1-'Inputs'!$E$29*AI83)* (1-AI83)</f>
        <v>0.0</v>
      </c>
      <c r="AJ88" s="38">
        <f>(AI88*AJ12*(1-'Inputs'!$E$23)+AJ86*'Inputs'!$E$19*(1-'Inputs'!$E$22))*(1-'Inputs'!$E$29*AJ83)* (1-AJ83)</f>
        <v>0.0</v>
      </c>
      <c r="AK88" s="38">
        <f>(AJ88*AK12*(1-'Inputs'!$E$23)+AK86*'Inputs'!$E$19*(1-'Inputs'!$E$22))*(1-'Inputs'!$E$29*AK83)* (1-AK83)</f>
        <v>0.0</v>
      </c>
      <c r="AL88" s="38">
        <f>(AK88*AL12*(1-'Inputs'!$E$23)+AL86*'Inputs'!$E$19*(1-'Inputs'!$E$22))*(1-'Inputs'!$E$29*AL83)* (1-AL83)</f>
        <v>0.0</v>
      </c>
      <c r="AM88" s="38">
        <f>(AL88*AM12*(1-'Inputs'!$E$23)+AM86*'Inputs'!$E$19*(1-'Inputs'!$E$22))*(1-'Inputs'!$E$29*AM83)* (1-AM83)</f>
        <v>0.0</v>
      </c>
      <c r="AN88" s="38">
        <f>(AM88*AN12*(1-'Inputs'!$E$23)+AN86*'Inputs'!$E$19*(1-'Inputs'!$E$22))*(1-'Inputs'!$E$29*AN83)* (1-AN83)</f>
        <v>0.0</v>
      </c>
      <c r="AO88" s="38">
        <f>(AN88*AO12*(1-'Inputs'!$E$23)+AO86*'Inputs'!$E$19*(1-'Inputs'!$E$22))*(1-'Inputs'!$E$29*AO83)* (1-AO83)</f>
        <v>0.0</v>
      </c>
      <c r="AP88" s="38">
        <f>(AO88*AP12*(1-'Inputs'!$E$23)+AP86*'Inputs'!$E$19*(1-'Inputs'!$E$22))*(1-'Inputs'!$E$29*AP83)* (1-AP83)</f>
        <v>0.0</v>
      </c>
      <c r="AQ88" s="38">
        <f>(AP88*AQ12*(1-'Inputs'!$E$23)+AQ86*'Inputs'!$E$19*(1-'Inputs'!$E$22))*(1-'Inputs'!$E$29*AQ83)* (1-AQ83)</f>
        <v>0.0</v>
      </c>
    </row>
    <row r="89" ht="28" customHeight="1">
      <c r="A89" s="2" t="str">
        <v>AT.U.PLUS.Y0</v>
      </c>
      <c r="B89" s="6" t="str">
        <v>Austria: not yet identity-checked: Plus annual, plan month 1</v>
      </c>
      <c r="C89" s="2" t="str">
        <v>count</v>
      </c>
      <c r="D89" s="2" t="str">
        <v>NA</v>
      </c>
      <c r="E89" s="2"/>
      <c r="F89" s="6" t="str"/>
      <c r="G89" s="2"/>
      <c r="H89" s="38">
        <f>(H86*(1-'Inputs'!$E$19)*'Inputs'!$E$22+0*H12*'Inputs'!$E$24)*(1-'Inputs'!$E$29*H83)</f>
        <v>0.018</v>
      </c>
      <c r="I89" s="38">
        <f>(I86*(1-'Inputs'!$E$19)*'Inputs'!$E$22+H100*I12*'Inputs'!$E$24)*(1-'Inputs'!$E$29*I83)</f>
        <v>0.0011592</v>
      </c>
      <c r="J89" s="38">
        <f>(J86*(1-'Inputs'!$E$19)*'Inputs'!$E$22+I100*J12*'Inputs'!$E$24)*(1-'Inputs'!$E$29*J83)</f>
        <v>0.0009910943999999998</v>
      </c>
      <c r="K89" s="38">
        <f>(K86*(1-'Inputs'!$E$19)*'Inputs'!$E$22+J100*K12*'Inputs'!$E$24)*(1-'Inputs'!$E$29*K83)</f>
        <v>0.0009062347536</v>
      </c>
      <c r="L89" s="38">
        <f>(L86*(1-'Inputs'!$E$19)*'Inputs'!$E$22+K100*L12*'Inputs'!$E$24)*(1-'Inputs'!$E$29*L83)</f>
        <v>0.0008012659716360001</v>
      </c>
      <c r="M89" s="38">
        <f>(M86*(1-'Inputs'!$E$19)*'Inputs'!$E$22+L100*M12*'Inputs'!$E$24)*(1-'Inputs'!$E$29*M83)</f>
        <v>0.000732558165688545</v>
      </c>
      <c r="N89" s="38">
        <f>(N86*(1-'Inputs'!$E$19)*'Inputs'!$E$22+M100*N12*'Inputs'!$E$24)*(1-'Inputs'!$E$29*N83)</f>
        <v>0.000681234022394406</v>
      </c>
      <c r="O89" s="38">
        <f>(O86*(1-'Inputs'!$E$19)*'Inputs'!$E$22+N100*O12*'Inputs'!$E$24)*(1-'Inputs'!$E$29*O83)</f>
        <v>0.0006322660571971605</v>
      </c>
      <c r="P89" s="38">
        <f>(P86*(1-'Inputs'!$E$19)*'Inputs'!$E$22+O100*P12*'Inputs'!$E$24)*(1-'Inputs'!$E$29*P83)</f>
        <v>0.0005855583416741028</v>
      </c>
      <c r="Q89" s="38">
        <f>(Q86*(1-'Inputs'!$E$19)*'Inputs'!$E$22+P100*Q12*'Inputs'!$E$24)*(1-'Inputs'!$E$29*Q83)</f>
        <v>0.0005410189406708756</v>
      </c>
      <c r="R89" s="38">
        <f>(R86*(1-'Inputs'!$E$19)*'Inputs'!$E$22+Q100*R12*'Inputs'!$E$24)*(1-'Inputs'!$E$29*R83)</f>
        <v>0.0005120342913755077</v>
      </c>
      <c r="S89" s="38">
        <f>(S86*(1-'Inputs'!$E$19)*'Inputs'!$E$22+R100*S12*'Inputs'!$E$24)*(1-'Inputs'!$E$29*S83)</f>
        <v>0.0004842729976144941</v>
      </c>
      <c r="T89" s="38">
        <f>(T86*(1-'Inputs'!$E$19)*'Inputs'!$E$22+S100*T12*'Inputs'!$E$24)*(1-'Inputs'!$E$29*T83)</f>
        <v>0.002263549688023704</v>
      </c>
      <c r="U89" s="38">
        <f>(U86*(1-'Inputs'!$E$19)*'Inputs'!$E$22+T100*U12*'Inputs'!$E$24)*(1-'Inputs'!$E$29*U83)</f>
        <v>0.000608200340731932</v>
      </c>
      <c r="V89" s="38">
        <f>(V86*(1-'Inputs'!$E$19)*'Inputs'!$E$22+U100*V12*'Inputs'!$E$24)*(1-'Inputs'!$E$29*V83)</f>
        <v>0.0005873417172347974</v>
      </c>
      <c r="W89" s="38">
        <f>(W86*(1-'Inputs'!$E$19)*'Inputs'!$E$22+V100*W12*'Inputs'!$E$24)*(1-'Inputs'!$E$29*W83)</f>
        <v>0.0005671776734745054</v>
      </c>
      <c r="X89" s="38">
        <f>(X86*(1-'Inputs'!$E$19)*'Inputs'!$E$22+W100*X12*'Inputs'!$E$24)*(1-'Inputs'!$E$29*X83)</f>
        <v>0.0005476847825528599</v>
      </c>
      <c r="Y89" s="38">
        <f>(Y86*(1-'Inputs'!$E$19)*'Inputs'!$E$22+X100*Y12*'Inputs'!$E$24)*(1-'Inputs'!$E$29*Y83)</f>
        <v>0.0005288405059886676</v>
      </c>
      <c r="Z89" s="38">
        <f>(Z86*(1-'Inputs'!$E$19)*'Inputs'!$E$22+Y100*Z12*'Inputs'!$E$24)*(1-'Inputs'!$E$29*Z83)</f>
        <v>0.0005104347558177707</v>
      </c>
      <c r="AA89" s="38">
        <f>(AA86*(1-'Inputs'!$E$19)*'Inputs'!$E$22+Z100*AA12*'Inputs'!$E$24)*(1-'Inputs'!$E$29*AA83)</f>
        <v>0.000492647852124132</v>
      </c>
      <c r="AB89" s="38">
        <f>(AB86*(1-'Inputs'!$E$19)*'Inputs'!$E$22+AA100*AB12*'Inputs'!$E$24)*(1-'Inputs'!$E$29*AB83)</f>
        <v>0.0004754590123493477</v>
      </c>
      <c r="AC89" s="38">
        <f>(AC86*(1-'Inputs'!$E$19)*'Inputs'!$E$22+AB100*AC12*'Inputs'!$E$24)*(1-'Inputs'!$E$29*AC83)</f>
        <v>0.00045884820753984467</v>
      </c>
      <c r="AD89" s="38">
        <f>(AD86*(1-'Inputs'!$E$19)*'Inputs'!$E$22+AC100*AD12*'Inputs'!$E$24)*(1-'Inputs'!$E$29*AD83)</f>
        <v>0.00044279612708376514</v>
      </c>
      <c r="AE89" s="38">
        <f>(AE86*(1-'Inputs'!$E$19)*'Inputs'!$E$22+AD100*AE12*'Inputs'!$E$24)*(1-'Inputs'!$E$29*AE83)</f>
        <v>0.00042728414597751593</v>
      </c>
      <c r="AF89" s="38">
        <f>(AF86*(1-'Inputs'!$E$19)*'Inputs'!$E$22+AE100*AF12*'Inputs'!$E$24)*(1-'Inputs'!$E$29*AF83)</f>
        <v>0.0008398763426170947</v>
      </c>
      <c r="AG89" s="38">
        <f>(AG86*(1-'Inputs'!$E$19)*'Inputs'!$E$22+AF100*AG12*'Inputs'!$E$24)*(1-'Inputs'!$E$29*AG83)</f>
        <v>0.00043462082009531553</v>
      </c>
      <c r="AH89" s="38">
        <f>(AH86*(1-'Inputs'!$E$19)*'Inputs'!$E$22+AG100*AH12*'Inputs'!$E$24)*(1-'Inputs'!$E$29*AH83)</f>
        <v>0.00041563604832558804</v>
      </c>
      <c r="AI89" s="38">
        <f>(AI86*(1-'Inputs'!$E$19)*'Inputs'!$E$22+AH100*AI12*'Inputs'!$E$24)*(1-'Inputs'!$E$29*AI83)</f>
        <v>0.0003973646231877212</v>
      </c>
      <c r="AJ89" s="38">
        <f>(AJ86*(1-'Inputs'!$E$19)*'Inputs'!$E$22+AI100*AJ12*'Inputs'!$E$24)*(1-'Inputs'!$E$29*AJ83)</f>
        <v>0.0003797814062969819</v>
      </c>
      <c r="AK89" s="38">
        <f>(AK86*(1-'Inputs'!$E$19)*'Inputs'!$E$22+AJ100*AK12*'Inputs'!$E$24)*(1-'Inputs'!$E$29*AK83)</f>
        <v>0.00036586101138428575</v>
      </c>
      <c r="AL89" s="38">
        <f>(AL86*(1-'Inputs'!$E$19)*'Inputs'!$E$22+AK100*AL12*'Inputs'!$E$24)*(1-'Inputs'!$E$29*AL83)</f>
        <v>0.00035237560612862736</v>
      </c>
      <c r="AM89" s="38">
        <f>(AM86*(1-'Inputs'!$E$19)*'Inputs'!$E$22+AL100*AM12*'Inputs'!$E$24)*(1-'Inputs'!$E$29*AM83)</f>
        <v>0.00033935487552577936</v>
      </c>
      <c r="AN89" s="38">
        <f>(AN86*(1-'Inputs'!$E$19)*'Inputs'!$E$22+AM100*AN12*'Inputs'!$E$24)*(1-'Inputs'!$E$29*AN83)</f>
        <v>0.0003267833148467878</v>
      </c>
      <c r="AO89" s="38">
        <f>(AO86*(1-'Inputs'!$E$19)*'Inputs'!$E$22+AN100*AO12*'Inputs'!$E$24)*(1-'Inputs'!$E$29*AO83)</f>
        <v>0.0003146459446883595</v>
      </c>
      <c r="AP89" s="38">
        <f>(AP86*(1-'Inputs'!$E$19)*'Inputs'!$E$22+AO100*AP12*'Inputs'!$E$24)*(1-'Inputs'!$E$29*AP83)</f>
        <v>0.000302928290665116</v>
      </c>
      <c r="AQ89" s="38">
        <f>(AQ86*(1-'Inputs'!$E$19)*'Inputs'!$E$22+AP100*AQ12*'Inputs'!$E$24)*(1-'Inputs'!$E$29*AQ83)</f>
        <v>0.0002916163642132993</v>
      </c>
    </row>
    <row r="90" ht="28" customHeight="1">
      <c r="A90" s="2" t="str">
        <v>AT.U.PLUS.Y1</v>
      </c>
      <c r="B90" s="6" t="str">
        <v>Austria: not yet identity-checked: Plus annual, plan month 2</v>
      </c>
      <c r="C90" s="2" t="str">
        <v>count</v>
      </c>
      <c r="D90" s="2" t="str">
        <v>NA</v>
      </c>
      <c r="E90" s="2"/>
      <c r="F90" s="6" t="str"/>
      <c r="G90" s="2"/>
      <c r="H90" s="38">
        <f>0*H12*(1-'Inputs'!$E$29*H83)</f>
        <v>0.0</v>
      </c>
      <c r="I90" s="38">
        <f>H89*I12*(1-'Inputs'!$E$29*I83)</f>
        <v>0.012599999999999998</v>
      </c>
      <c r="J90" s="38">
        <f>I89*J12*(1-'Inputs'!$E$29*J83)</f>
        <v>0.0009936</v>
      </c>
      <c r="K90" s="38">
        <f>J89*K12*(1-'Inputs'!$E$29*K83)</f>
        <v>0.0009085031999999999</v>
      </c>
      <c r="L90" s="38">
        <f>K89*L12*(1-'Inputs'!$E$29*L83)</f>
        <v>0.0008032535316</v>
      </c>
      <c r="M90" s="38">
        <f>L89*M12*(1-'Inputs'!$E$29*M83)</f>
        <v>0.000734360263004394</v>
      </c>
      <c r="N90" s="38">
        <f>M89*N12*(1-'Inputs'!$E$29*N83)</f>
        <v>0.0006838508408422323</v>
      </c>
      <c r="O90" s="38">
        <f>N89*O12*(1-'Inputs'!$E$29*O83)</f>
        <v>0.0006346830308641214</v>
      </c>
      <c r="P90" s="38">
        <f>O89*P12*(1-'Inputs'!$E$29*P83)</f>
        <v>0.0005877868752664299</v>
      </c>
      <c r="Q90" s="38">
        <f>P89*Q12*(1-'Inputs'!$E$29*Q83)</f>
        <v>0.000543069657125799</v>
      </c>
      <c r="R90" s="38">
        <f>Q89*R12*(1-'Inputs'!$E$29*R83)</f>
        <v>0.0005139679936373319</v>
      </c>
      <c r="S90" s="38">
        <f>R89*S12*(1-'Inputs'!$E$29*S83)</f>
        <v>0.0004860957121413537</v>
      </c>
      <c r="T90" s="38">
        <f>S89*T12*(1-'Inputs'!$E$29*T83)</f>
        <v>0.00045940492476402003</v>
      </c>
      <c r="U90" s="38">
        <f>T89*U12*(1-'Inputs'!$E$29*U83)</f>
        <v>0.002191634828143784</v>
      </c>
      <c r="V90" s="38">
        <f>U89*V12*(1-'Inputs'!$E$29*V83)</f>
        <v>0.0005888485117086432</v>
      </c>
      <c r="W90" s="38">
        <f>V89*W12*(1-'Inputs'!$E$29*W83)</f>
        <v>0.0005686253702595335</v>
      </c>
      <c r="X90" s="38">
        <f>W89*X12*(1-'Inputs'!$E$29*X83)</f>
        <v>0.0005490762583636169</v>
      </c>
      <c r="Y90" s="38">
        <f>X89*Y12*(1-'Inputs'!$E$29*Y83)</f>
        <v>0.0005301784296819738</v>
      </c>
      <c r="Z90" s="38">
        <f>Y89*Z12*(1-'Inputs'!$E$29*Z83)</f>
        <v>0.0005119100005811166</v>
      </c>
      <c r="AA90" s="38">
        <f>Z89*AA12*(1-'Inputs'!$E$29*AA83)</f>
        <v>0.0004940675544083966</v>
      </c>
      <c r="AB90" s="38">
        <f>AA89*AB12*(1-'Inputs'!$E$29*AB83)</f>
        <v>0.00047682558534058324</v>
      </c>
      <c r="AC90" s="38">
        <f>AB89*AC12*(1-'Inputs'!$E$29*AC83)</f>
        <v>0.00046016391544472716</v>
      </c>
      <c r="AD90" s="38">
        <f>AC89*AD12*(1-'Inputs'!$E$29*AD83)</f>
        <v>0.00044406309863022743</v>
      </c>
      <c r="AE90" s="38">
        <f>AD89*AE12*(1-'Inputs'!$E$29*AE83)</f>
        <v>0.00042850438641483016</v>
      </c>
      <c r="AF90" s="38">
        <f>AE89*AF12*(1-'Inputs'!$E$29*AF83)</f>
        <v>0.00041346969614516015</v>
      </c>
      <c r="AG90" s="38">
        <f>AF89*AG12*(1-'Inputs'!$E$29*AG83)</f>
        <v>0.0008052314434841394</v>
      </c>
      <c r="AH90" s="38">
        <f>AG89*AH12*(1-'Inputs'!$E$29*AH83)</f>
        <v>0.00041657300637949307</v>
      </c>
      <c r="AI90" s="38">
        <f>AH89*AI12*(1-'Inputs'!$E$29*AI83)</f>
        <v>0.0003982581618223199</v>
      </c>
      <c r="AJ90" s="38">
        <f>AI89*AJ12*(1-'Inputs'!$E$29*AJ83)</f>
        <v>0.0003806334811587645</v>
      </c>
      <c r="AK90" s="38">
        <f>AJ89*AK12*(1-'Inputs'!$E$29*AK83)</f>
        <v>0.00036668018083625</v>
      </c>
      <c r="AL90" s="38">
        <f>AK89*AL12*(1-'Inputs'!$E$29*AL83)</f>
        <v>0.0003532058190232883</v>
      </c>
      <c r="AM90" s="38">
        <f>AL89*AM12*(1-'Inputs'!$E$29*AM83)</f>
        <v>0.00034015330654519233</v>
      </c>
      <c r="AN90" s="38">
        <f>AM89*AN12*(1-'Inputs'!$E$29*AN83)</f>
        <v>0.0003275512276814044</v>
      </c>
      <c r="AO90" s="38">
        <f>AN89*AO12*(1-'Inputs'!$E$29*AO83)</f>
        <v>0.0003153845387461354</v>
      </c>
      <c r="AP90" s="38">
        <f>AO89*AP12*(1-'Inputs'!$E$29*AP83)</f>
        <v>0.00030363870600898853</v>
      </c>
      <c r="AQ90" s="38">
        <f>AP89*AQ12*(1-'Inputs'!$E$29*AQ83)</f>
        <v>0.00029229968598402093</v>
      </c>
    </row>
    <row r="91" ht="28" customHeight="1">
      <c r="A91" s="2" t="str">
        <v>AT.U.PLUS.Y2</v>
      </c>
      <c r="B91" s="6" t="str">
        <v>Austria: not yet identity-checked: Plus annual, plan month 3</v>
      </c>
      <c r="C91" s="2" t="str">
        <v>count</v>
      </c>
      <c r="D91" s="2" t="str">
        <v>NA</v>
      </c>
      <c r="E91" s="2"/>
      <c r="F91" s="6" t="str"/>
      <c r="G91" s="2"/>
      <c r="H91" s="38">
        <f>0*H12*(1-'Inputs'!$E$29*H83)</f>
        <v>0.0</v>
      </c>
      <c r="I91" s="38">
        <f>H90*I12*(1-'Inputs'!$E$29*I83)</f>
        <v>0.0</v>
      </c>
      <c r="J91" s="38">
        <f>I90*J12*(1-'Inputs'!$E$29*J83)</f>
        <v>0.010799999999999999</v>
      </c>
      <c r="K91" s="38">
        <f>J90*K12*(1-'Inputs'!$E$29*K83)</f>
        <v>0.0009108000000000001</v>
      </c>
      <c r="L91" s="38">
        <f>K90*L12*(1-'Inputs'!$E$29*L83)</f>
        <v>0.0008052641999999999</v>
      </c>
      <c r="M91" s="38">
        <f>L90*M12*(1-'Inputs'!$E$29*M83)</f>
        <v>0.0007361818617114</v>
      </c>
      <c r="N91" s="38">
        <f>M90*N12*(1-'Inputs'!$E$29*N83)</f>
        <v>0.0006855331178578253</v>
      </c>
      <c r="O91" s="38">
        <f>N90*O12*(1-'Inputs'!$E$29*O83)</f>
        <v>0.0006371210333846797</v>
      </c>
      <c r="P91" s="38">
        <f>O90*P12*(1-'Inputs'!$E$29*P83)</f>
        <v>0.0005900338176463546</v>
      </c>
      <c r="Q91" s="38">
        <f>P90*Q12*(1-'Inputs'!$E$29*Q83)</f>
        <v>0.0005451364861464879</v>
      </c>
      <c r="R91" s="38">
        <f>Q90*R12*(1-'Inputs'!$E$29*R83)</f>
        <v>0.0005159161742695089</v>
      </c>
      <c r="S91" s="38">
        <f>R90*S12*(1-'Inputs'!$E$29*S83)</f>
        <v>0.0004879314571175459</v>
      </c>
      <c r="T91" s="38">
        <f>S90*T12*(1-'Inputs'!$E$29*T83)</f>
        <v>0.0004611340404367977</v>
      </c>
      <c r="U91" s="38">
        <f>T90*U12*(1-'Inputs'!$E$29*U83)</f>
        <v>0.00044480924746682985</v>
      </c>
      <c r="V91" s="38">
        <f>U90*V12*(1-'Inputs'!$E$29*V83)</f>
        <v>0.002121900992702845</v>
      </c>
      <c r="W91" s="38">
        <f>V90*W12*(1-'Inputs'!$E$29*W83)</f>
        <v>0.0005700841489235614</v>
      </c>
      <c r="X91" s="38">
        <f>W90*X12*(1-'Inputs'!$E$29*X83)</f>
        <v>0.0005504777520597612</v>
      </c>
      <c r="Y91" s="38">
        <f>X90*Y12*(1-'Inputs'!$E$29*Y83)</f>
        <v>0.0005315254279623512</v>
      </c>
      <c r="Z91" s="38">
        <f>Y90*Z12*(1-'Inputs'!$E$29*Z83)</f>
        <v>0.0005132050914655365</v>
      </c>
      <c r="AA91" s="38">
        <f>Z90*AA12*(1-'Inputs'!$E$29*AA83)</f>
        <v>0.0004954954951277004</v>
      </c>
      <c r="AB91" s="38">
        <f>AA90*AB12*(1-'Inputs'!$E$29*AB83)</f>
        <v>0.00047819969134710506</v>
      </c>
      <c r="AC91" s="38">
        <f>AB90*AC12*(1-'Inputs'!$E$29*AC83)</f>
        <v>0.00046148652698863436</v>
      </c>
      <c r="AD91" s="38">
        <f>AC90*AD12*(1-'Inputs'!$E$29*AD83)</f>
        <v>0.00044533641150261926</v>
      </c>
      <c r="AE91" s="38">
        <f>AD90*AE12*(1-'Inputs'!$E$29*AE83)</f>
        <v>0.0004297304650363786</v>
      </c>
      <c r="AF91" s="38">
        <f>AE90*AF12*(1-'Inputs'!$E$29*AF83)</f>
        <v>0.0004146504851999146</v>
      </c>
      <c r="AG91" s="38">
        <f>AF90*AG12*(1-'Inputs'!$E$29*AG83)</f>
        <v>0.00039641407117917225</v>
      </c>
      <c r="AH91" s="38">
        <f>AG90*AH12*(1-'Inputs'!$E$29*AH83)</f>
        <v>0.0007717938665936962</v>
      </c>
      <c r="AI91" s="38">
        <f>AH90*AI12*(1-'Inputs'!$E$29*AI83)</f>
        <v>0.0003991559453369022</v>
      </c>
      <c r="AJ91" s="38">
        <f>AI90*AJ12*(1-'Inputs'!$E$29*AJ83)</f>
        <v>0.0003814893971140117</v>
      </c>
      <c r="AK91" s="38">
        <f>AJ90*AK12*(1-'Inputs'!$E$29*AK83)</f>
        <v>0.0003675028618817779</v>
      </c>
      <c r="AL91" s="38">
        <f>AK90*AL12*(1-'Inputs'!$E$29*AL83)</f>
        <v>0.00035399665326961904</v>
      </c>
      <c r="AM91" s="38">
        <f>AL90*AM12*(1-'Inputs'!$E$29*AM83)</f>
        <v>0.0003409547231482255</v>
      </c>
      <c r="AN91" s="38">
        <f>AM90*AN12*(1-'Inputs'!$E$29*AN83)</f>
        <v>0.00032832188718709865</v>
      </c>
      <c r="AO91" s="38">
        <f>AN90*AO12*(1-'Inputs'!$E$29*AO83)</f>
        <v>0.0003161256654320446</v>
      </c>
      <c r="AP91" s="38">
        <f>AO90*AP12*(1-'Inputs'!$E$29*AP83)</f>
        <v>0.00030435146187873644</v>
      </c>
      <c r="AQ91" s="38">
        <f>AP90*AQ12*(1-'Inputs'!$E$29*AQ83)</f>
        <v>0.00029298517554815593</v>
      </c>
    </row>
    <row r="92" ht="28" customHeight="1">
      <c r="A92" s="2" t="str">
        <v>AT.U.PLUS.Y3</v>
      </c>
      <c r="B92" s="6" t="str">
        <v>Austria: not yet identity-checked: Plus annual, plan month 4</v>
      </c>
      <c r="C92" s="2" t="str">
        <v>count</v>
      </c>
      <c r="D92" s="2" t="str">
        <v>NA</v>
      </c>
      <c r="E92" s="2"/>
      <c r="F92" s="6" t="str"/>
      <c r="G92" s="2"/>
      <c r="H92" s="38">
        <f>0*H12*(1-'Inputs'!$E$29*H83)</f>
        <v>0.0</v>
      </c>
      <c r="I92" s="38">
        <f>H91*I12*(1-'Inputs'!$E$29*I83)</f>
        <v>0.0</v>
      </c>
      <c r="J92" s="38">
        <f>I91*J12*(1-'Inputs'!$E$29*J83)</f>
        <v>0.0</v>
      </c>
      <c r="K92" s="38">
        <f>J91*K12*(1-'Inputs'!$E$29*K83)</f>
        <v>0.009899999999999999</v>
      </c>
      <c r="L92" s="38">
        <f>K91*L12*(1-'Inputs'!$E$29*L83)</f>
        <v>0.0008073</v>
      </c>
      <c r="M92" s="38">
        <f>L91*M12*(1-'Inputs'!$E$29*M83)</f>
        <v>0.0007380246392999999</v>
      </c>
      <c r="N92" s="38">
        <f>M91*N12*(1-'Inputs'!$E$29*N83)</f>
        <v>0.0006872335996295249</v>
      </c>
      <c r="O92" s="38">
        <f>N91*O12*(1-'Inputs'!$E$29*O83)</f>
        <v>0.0006386883548042072</v>
      </c>
      <c r="P92" s="38">
        <f>O91*P12*(1-'Inputs'!$E$29*P83)</f>
        <v>0.0005923003095244783</v>
      </c>
      <c r="Q92" s="38">
        <f>P91*Q12*(1-'Inputs'!$E$29*Q83)</f>
        <v>0.0005472203881951862</v>
      </c>
      <c r="R92" s="38">
        <f>Q91*R12*(1-'Inputs'!$E$29*R83)</f>
        <v>0.0005178796618391635</v>
      </c>
      <c r="S92" s="38">
        <f>R91*S12*(1-'Inputs'!$E$29*S83)</f>
        <v>0.0004897809470203299</v>
      </c>
      <c r="T92" s="38">
        <f>S91*T12*(1-'Inputs'!$E$29*T83)</f>
        <v>0.00046287551742772595</v>
      </c>
      <c r="U92" s="38">
        <f>T91*U12*(1-'Inputs'!$E$29*U83)</f>
        <v>0.0004464834276937536</v>
      </c>
      <c r="V92" s="38">
        <f>U91*V12*(1-'Inputs'!$E$29*V83)</f>
        <v>0.00043065622595652163</v>
      </c>
      <c r="W92" s="38">
        <f>V91*W12*(1-'Inputs'!$E$29*W83)</f>
        <v>0.002054284077266364</v>
      </c>
      <c r="X92" s="38">
        <f>W91*X12*(1-'Inputs'!$E$29*X83)</f>
        <v>0.0005518899739579159</v>
      </c>
      <c r="Y92" s="38">
        <f>X91*Y12*(1-'Inputs'!$E$29*Y83)</f>
        <v>0.0005328821239135652</v>
      </c>
      <c r="Z92" s="38">
        <f>Y91*Z12*(1-'Inputs'!$E$29*Z83)</f>
        <v>0.0005145089664196716</v>
      </c>
      <c r="AA92" s="38">
        <f>Z91*AA12*(1-'Inputs'!$E$29*AA83)</f>
        <v>0.00049674905864137</v>
      </c>
      <c r="AB92" s="38">
        <f>AA91*AB12*(1-'Inputs'!$E$29*AB83)</f>
        <v>0.0004795817711965918</v>
      </c>
      <c r="AC92" s="38">
        <f>AB91*AC12*(1-'Inputs'!$E$29*AC83)</f>
        <v>0.0004628164292173728</v>
      </c>
      <c r="AD92" s="38">
        <f>AC91*AD12*(1-'Inputs'!$E$29*AD83)</f>
        <v>0.000446616405563445</v>
      </c>
      <c r="AE92" s="38">
        <f>AD91*AE12*(1-'Inputs'!$E$29*AE83)</f>
        <v>0.0004309626803104638</v>
      </c>
      <c r="AF92" s="38">
        <f>AE91*AF12*(1-'Inputs'!$E$29*AF83)</f>
        <v>0.0004158369236855784</v>
      </c>
      <c r="AG92" s="38">
        <f>AF91*AG12*(1-'Inputs'!$E$29*AG83)</f>
        <v>0.0003975461526854181</v>
      </c>
      <c r="AH92" s="38">
        <f>AG91*AH12*(1-'Inputs'!$E$29*AH83)</f>
        <v>0.00037995280890139305</v>
      </c>
      <c r="AI92" s="38">
        <f>AH91*AI12*(1-'Inputs'!$E$29*AI83)</f>
        <v>0.0007395248988955977</v>
      </c>
      <c r="AJ92" s="38">
        <f>AI91*AJ12*(1-'Inputs'!$E$29*AJ83)</f>
        <v>0.00038234937921745364</v>
      </c>
      <c r="AK92" s="38">
        <f>AJ91*AK12*(1-'Inputs'!$E$29*AK83)</f>
        <v>0.000368329251515517</v>
      </c>
      <c r="AL92" s="38">
        <f>AK91*AL12*(1-'Inputs'!$E$29*AL83)</f>
        <v>0.00035479087764291636</v>
      </c>
      <c r="AM92" s="38">
        <f>AL91*AM12*(1-'Inputs'!$E$29*AM83)</f>
        <v>0.00034171812696829696</v>
      </c>
      <c r="AN92" s="38">
        <f>AM91*AN12*(1-'Inputs'!$E$29*AN83)</f>
        <v>0.0003290954284300263</v>
      </c>
      <c r="AO92" s="38">
        <f>AN91*AO12*(1-'Inputs'!$E$29*AO83)</f>
        <v>0.00031686944298031894</v>
      </c>
      <c r="AP92" s="38">
        <f>AO91*AP12*(1-'Inputs'!$E$29*AP83)</f>
        <v>0.00030506666177785186</v>
      </c>
      <c r="AQ92" s="38">
        <f>AP91*AQ12*(1-'Inputs'!$E$29*AQ83)</f>
        <v>0.0002936729235179911</v>
      </c>
    </row>
    <row r="93" ht="28" customHeight="1">
      <c r="A93" s="2" t="str">
        <v>AT.U.PLUS.Y4</v>
      </c>
      <c r="B93" s="6" t="str">
        <v>Austria: not yet identity-checked: Plus annual, plan month 5</v>
      </c>
      <c r="C93" s="2" t="str">
        <v>count</v>
      </c>
      <c r="D93" s="2" t="str">
        <v>NA</v>
      </c>
      <c r="E93" s="2"/>
      <c r="F93" s="6" t="str"/>
      <c r="G93" s="2"/>
      <c r="H93" s="38">
        <f>0*H12*(1-'Inputs'!$E$29*H83)</f>
        <v>0.0</v>
      </c>
      <c r="I93" s="38">
        <f>H92*I12*(1-'Inputs'!$E$29*I83)</f>
        <v>0.0</v>
      </c>
      <c r="J93" s="38">
        <f>I92*J12*(1-'Inputs'!$E$29*J83)</f>
        <v>0.0</v>
      </c>
      <c r="K93" s="38">
        <f>J92*K12*(1-'Inputs'!$E$29*K83)</f>
        <v>0.0</v>
      </c>
      <c r="L93" s="38">
        <f>K92*L12*(1-'Inputs'!$E$29*L83)</f>
        <v>0.008775</v>
      </c>
      <c r="M93" s="38">
        <f>L92*M12*(1-'Inputs'!$E$29*M83)</f>
        <v>0.00073989045</v>
      </c>
      <c r="N93" s="38">
        <f>M92*N12*(1-'Inputs'!$E$29*N83)</f>
        <v>0.0006889538521124999</v>
      </c>
      <c r="O93" s="38">
        <f>N92*O12*(1-'Inputs'!$E$29*O83)</f>
        <v>0.000640272636988174</v>
      </c>
      <c r="P93" s="38">
        <f>O92*P12*(1-'Inputs'!$E$29*P83)</f>
        <v>0.0005937573717046088</v>
      </c>
      <c r="Q93" s="38">
        <f>P92*Q12*(1-'Inputs'!$E$29*Q83)</f>
        <v>0.0005493224212114217</v>
      </c>
      <c r="R93" s="38">
        <f>Q92*R12*(1-'Inputs'!$E$29*R83)</f>
        <v>0.0005198593687854269</v>
      </c>
      <c r="S93" s="38">
        <f>R92*S12*(1-'Inputs'!$E$29*S83)</f>
        <v>0.0004916449684433638</v>
      </c>
      <c r="T93" s="38">
        <f>S92*T12*(1-'Inputs'!$E$29*T83)</f>
        <v>0.00046463003352469127</v>
      </c>
      <c r="U93" s="38">
        <f>T92*U12*(1-'Inputs'!$E$29*U83)</f>
        <v>0.0004481695765094492</v>
      </c>
      <c r="V93" s="38">
        <f>U92*V12*(1-'Inputs'!$E$29*V83)</f>
        <v>0.0004322771368125887</v>
      </c>
      <c r="W93" s="38">
        <f>V92*W12*(1-'Inputs'!$E$29*W83)</f>
        <v>0.00041693284974206205</v>
      </c>
      <c r="X93" s="38">
        <f>W92*X12*(1-'Inputs'!$E$29*X83)</f>
        <v>0.0019887218194812673</v>
      </c>
      <c r="Y93" s="38">
        <f>X92*Y12*(1-'Inputs'!$E$29*Y83)</f>
        <v>0.0005342492051474754</v>
      </c>
      <c r="Z93" s="38">
        <f>Y92*Z12*(1-'Inputs'!$E$29*Z83)</f>
        <v>0.0005158222285796417</v>
      </c>
      <c r="AA93" s="38">
        <f>Z92*AA12*(1-'Inputs'!$E$29*AA83)</f>
        <v>0.0004980111245616496</v>
      </c>
      <c r="AB93" s="38">
        <f>AA92*AB12*(1-'Inputs'!$E$29*AB83)</f>
        <v>0.00048079507427624564</v>
      </c>
      <c r="AC93" s="38">
        <f>AB92*AC12*(1-'Inputs'!$E$29*AC83)</f>
        <v>0.0004641540487775838</v>
      </c>
      <c r="AD93" s="38">
        <f>AC92*AD12*(1-'Inputs'!$E$29*AD83)</f>
        <v>0.00044790345538703525</v>
      </c>
      <c r="AE93" s="38">
        <f>AD92*AE12*(1-'Inputs'!$E$29*AE83)</f>
        <v>0.0004322013611301472</v>
      </c>
      <c r="AF93" s="38">
        <f>AE92*AF12*(1-'Inputs'!$E$29*AF83)</f>
        <v>0.000417029300420727</v>
      </c>
      <c r="AG93" s="38">
        <f>AF92*AG12*(1-'Inputs'!$E$29*AG83)</f>
        <v>0.00039868365058354823</v>
      </c>
      <c r="AH93" s="38">
        <f>AG92*AH12*(1-'Inputs'!$E$29*AH83)</f>
        <v>0.0003810378802433965</v>
      </c>
      <c r="AI93" s="38">
        <f>AH92*AI12*(1-'Inputs'!$E$29*AI83)</f>
        <v>0.00036406685094301583</v>
      </c>
      <c r="AJ93" s="38">
        <f>AI92*AJ12*(1-'Inputs'!$E$29*AJ83)</f>
        <v>0.000708387008415783</v>
      </c>
      <c r="AK93" s="38">
        <f>AJ92*AK12*(1-'Inputs'!$E$29*AK83)</f>
        <v>0.0003691595670285399</v>
      </c>
      <c r="AL93" s="38">
        <f>AK92*AL12*(1-'Inputs'!$E$29*AL83)</f>
        <v>0.0003555886823237508</v>
      </c>
      <c r="AM93" s="38">
        <f>AL92*AM12*(1-'Inputs'!$E$29*AM83)</f>
        <v>0.0003424848033273218</v>
      </c>
      <c r="AN93" s="38">
        <f>AM92*AN12*(1-'Inputs'!$E$29*AN83)</f>
        <v>0.0003298322790737475</v>
      </c>
      <c r="AO93" s="38">
        <f>AN92*AO12*(1-'Inputs'!$E$29*AO83)</f>
        <v>0.0003176160017457695</v>
      </c>
      <c r="AP93" s="38">
        <f>AO92*AP12*(1-'Inputs'!$E$29*AP83)</f>
        <v>0.00030578441980438627</v>
      </c>
      <c r="AQ93" s="38">
        <f>AP92*AQ12*(1-'Inputs'!$E$29*AQ83)</f>
        <v>0.0002943630297654738</v>
      </c>
    </row>
    <row r="94" ht="28" customHeight="1">
      <c r="A94" s="2" t="str">
        <v>AT.U.PLUS.Y5</v>
      </c>
      <c r="B94" s="6" t="str">
        <v>Austria: not yet identity-checked: Plus annual, plan month 6</v>
      </c>
      <c r="C94" s="2" t="str">
        <v>count</v>
      </c>
      <c r="D94" s="2" t="str">
        <v>NA</v>
      </c>
      <c r="E94" s="2"/>
      <c r="F94" s="6" t="str"/>
      <c r="G94" s="2"/>
      <c r="H94" s="38">
        <f>0*H12*(1-'Inputs'!$E$29*H83)</f>
        <v>0.0</v>
      </c>
      <c r="I94" s="38">
        <f>H93*I12*(1-'Inputs'!$E$29*I83)</f>
        <v>0.0</v>
      </c>
      <c r="J94" s="38">
        <f>I93*J12*(1-'Inputs'!$E$29*J83)</f>
        <v>0.0</v>
      </c>
      <c r="K94" s="38">
        <f>J93*K12*(1-'Inputs'!$E$29*K83)</f>
        <v>0.0</v>
      </c>
      <c r="L94" s="38">
        <f>K93*L12*(1-'Inputs'!$E$29*L83)</f>
        <v>0.0</v>
      </c>
      <c r="M94" s="38">
        <f>L93*M12*(1-'Inputs'!$E$29*M83)</f>
        <v>0.008042287499999998</v>
      </c>
      <c r="N94" s="38">
        <f>M93*N12*(1-'Inputs'!$E$29*N83)</f>
        <v>0.00069069560625</v>
      </c>
      <c r="O94" s="38">
        <f>N93*O12*(1-'Inputs'!$E$29*O83)</f>
        <v>0.0006418753388848123</v>
      </c>
      <c r="P94" s="38">
        <f>O93*P12*(1-'Inputs'!$E$29*P83)</f>
        <v>0.0005952302014791221</v>
      </c>
      <c r="Q94" s="38">
        <f>P93*Q12*(1-'Inputs'!$E$29*Q83)</f>
        <v>0.0005506737575382379</v>
      </c>
      <c r="R94" s="38">
        <f>Q93*R12*(1-'Inputs'!$E$29*R83)</f>
        <v>0.0005218563001508506</v>
      </c>
      <c r="S94" s="38">
        <f>R93*S12*(1-'Inputs'!$E$29*S83)</f>
        <v>0.0004935243876035336</v>
      </c>
      <c r="T94" s="38">
        <f>S93*T12*(1-'Inputs'!$E$29*T83)</f>
        <v>0.0004663983349287045</v>
      </c>
      <c r="U94" s="38">
        <f>T93*U12*(1-'Inputs'!$E$29*U83)</f>
        <v>0.00044986835016791726</v>
      </c>
      <c r="V94" s="38">
        <f>U93*V12*(1-'Inputs'!$E$29*V83)</f>
        <v>0.000433909635438694</v>
      </c>
      <c r="W94" s="38">
        <f>V93*W12*(1-'Inputs'!$E$29*W83)</f>
        <v>0.0004185021083331735</v>
      </c>
      <c r="X94" s="38">
        <f>W93*X12*(1-'Inputs'!$E$29*X83)</f>
        <v>0.00040362648219710264</v>
      </c>
      <c r="Y94" s="38">
        <f>X93*Y12*(1-'Inputs'!$E$29*Y83)</f>
        <v>0.001925153747037134</v>
      </c>
      <c r="Z94" s="38">
        <f>Y93*Z12*(1-'Inputs'!$E$29*Z83)</f>
        <v>0.0005171455435438332</v>
      </c>
      <c r="AA94" s="38">
        <f>Z93*AA12*(1-'Inputs'!$E$29*AA83)</f>
        <v>0.0004992822766849685</v>
      </c>
      <c r="AB94" s="38">
        <f>AA93*AB12*(1-'Inputs'!$E$29*AB83)</f>
        <v>0.00048201660669251636</v>
      </c>
      <c r="AC94" s="38">
        <f>AB93*AC12*(1-'Inputs'!$E$29*AC83)</f>
        <v>0.0004653283209677267</v>
      </c>
      <c r="AD94" s="38">
        <f>AC93*AD12*(1-'Inputs'!$E$29*AD83)</f>
        <v>0.0004491979738725283</v>
      </c>
      <c r="AE94" s="38">
        <f>AD93*AE12*(1-'Inputs'!$E$29*AE83)</f>
        <v>0.0004334468699799537</v>
      </c>
      <c r="AF94" s="38">
        <f>AE93*AF12*(1-'Inputs'!$E$29*AF83)</f>
        <v>0.0004182279336650372</v>
      </c>
      <c r="AG94" s="38">
        <f>AF93*AG12*(1-'Inputs'!$E$29*AG83)</f>
        <v>0.000399826841778372</v>
      </c>
      <c r="AH94" s="38">
        <f>AG93*AH12*(1-'Inputs'!$E$29*AH83)</f>
        <v>0.0003821281430593161</v>
      </c>
      <c r="AI94" s="38">
        <f>AH93*AI12*(1-'Inputs'!$E$29*AI83)</f>
        <v>0.00036510655507804757</v>
      </c>
      <c r="AJ94" s="38">
        <f>AI93*AJ12*(1-'Inputs'!$E$29*AJ83)</f>
        <v>0.0003487377203769941</v>
      </c>
      <c r="AK94" s="38">
        <f>AJ93*AK12*(1-'Inputs'!$E$29*AK83)</f>
        <v>0.000683949956583258</v>
      </c>
      <c r="AL94" s="38">
        <f>AK93*AL12*(1-'Inputs'!$E$29*AL83)</f>
        <v>0.00035639027708706086</v>
      </c>
      <c r="AM94" s="38">
        <f>AL93*AM12*(1-'Inputs'!$E$29*AM83)</f>
        <v>0.00034325493580937566</v>
      </c>
      <c r="AN94" s="38">
        <f>AM93*AN12*(1-'Inputs'!$E$29*AN83)</f>
        <v>0.0003305722884289802</v>
      </c>
      <c r="AO94" s="38">
        <f>AN93*AO12*(1-'Inputs'!$E$29*AO83)</f>
        <v>0.0003183271497445703</v>
      </c>
      <c r="AP94" s="38">
        <f>AO93*AP12*(1-'Inputs'!$E$29*AP83)</f>
        <v>0.00030650486175295673</v>
      </c>
      <c r="AQ94" s="38">
        <f>AP93*AQ12*(1-'Inputs'!$E$29*AQ83)</f>
        <v>0.0002950556043853875</v>
      </c>
    </row>
    <row r="95" ht="28" customHeight="1">
      <c r="A95" s="2" t="str">
        <v>AT.U.PLUS.Y6</v>
      </c>
      <c r="B95" s="6" t="str">
        <v>Austria: not yet identity-checked: Plus annual, plan month 7</v>
      </c>
      <c r="C95" s="2" t="str">
        <v>count</v>
      </c>
      <c r="D95" s="2" t="str">
        <v>NA</v>
      </c>
      <c r="E95" s="2"/>
      <c r="F95" s="6" t="str"/>
      <c r="G95" s="2"/>
      <c r="H95" s="38">
        <f>0*H12*(1-'Inputs'!$E$29*H83)</f>
        <v>0.0</v>
      </c>
      <c r="I95" s="38">
        <f>H94*I12*(1-'Inputs'!$E$29*I83)</f>
        <v>0.0</v>
      </c>
      <c r="J95" s="38">
        <f>I94*J12*(1-'Inputs'!$E$29*J83)</f>
        <v>0.0</v>
      </c>
      <c r="K95" s="38">
        <f>J94*K12*(1-'Inputs'!$E$29*K83)</f>
        <v>0.0</v>
      </c>
      <c r="L95" s="38">
        <f>K94*L12*(1-'Inputs'!$E$29*L83)</f>
        <v>0.0</v>
      </c>
      <c r="M95" s="38">
        <f>L94*M12*(1-'Inputs'!$E$29*M83)</f>
        <v>0.0</v>
      </c>
      <c r="N95" s="38">
        <f>M94*N12*(1-'Inputs'!$E$29*N83)</f>
        <v>0.007507560937499999</v>
      </c>
      <c r="O95" s="38">
        <f>N94*O12*(1-'Inputs'!$E$29*O83)</f>
        <v>0.00064349807315625</v>
      </c>
      <c r="P95" s="38">
        <f>O94*P12*(1-'Inputs'!$E$29*P83)</f>
        <v>0.0005967201551609388</v>
      </c>
      <c r="Q95" s="38">
        <f>P94*Q12*(1-'Inputs'!$E$29*Q83)</f>
        <v>0.0005520397173474053</v>
      </c>
      <c r="R95" s="38">
        <f>Q94*R12*(1-'Inputs'!$E$29*R83)</f>
        <v>0.0005231400696613259</v>
      </c>
      <c r="S95" s="38">
        <f>R94*S12*(1-'Inputs'!$E$29*S83)</f>
        <v>0.0004954201586300508</v>
      </c>
      <c r="T95" s="38">
        <f>S94*T12*(1-'Inputs'!$E$29*T83)</f>
        <v>0.000468181243375244</v>
      </c>
      <c r="U95" s="38">
        <f>T94*U12*(1-'Inputs'!$E$29*U83)</f>
        <v>0.0004515804711627404</v>
      </c>
      <c r="V95" s="38">
        <f>U94*V12*(1-'Inputs'!$E$29*V83)</f>
        <v>0.00043555435720802894</v>
      </c>
      <c r="W95" s="38">
        <f>V94*W12*(1-'Inputs'!$E$29*W83)</f>
        <v>0.00042008258543615816</v>
      </c>
      <c r="X95" s="38">
        <f>W94*X12*(1-'Inputs'!$E$29*X83)</f>
        <v>0.00040514565806722114</v>
      </c>
      <c r="Y95" s="38">
        <f>X94*Y12*(1-'Inputs'!$E$29*Y83)</f>
        <v>0.0003907248499983024</v>
      </c>
      <c r="Z95" s="38">
        <f>Y94*Z12*(1-'Inputs'!$E$29*Z83)</f>
        <v>0.0018635211270780314</v>
      </c>
      <c r="AA95" s="38">
        <f>Z94*AA12*(1-'Inputs'!$E$29*AA83)</f>
        <v>0.0005005631592671561</v>
      </c>
      <c r="AB95" s="38">
        <f>AA94*AB12*(1-'Inputs'!$E$29*AB83)</f>
        <v>0.00048324693349216665</v>
      </c>
      <c r="AC95" s="38">
        <f>AB94*AC12*(1-'Inputs'!$E$29*AC83)</f>
        <v>0.0004665105577639887</v>
      </c>
      <c r="AD95" s="38">
        <f>AC94*AD12*(1-'Inputs'!$E$29*AD83)</f>
        <v>0.0004503344084032111</v>
      </c>
      <c r="AE95" s="38">
        <f>AD94*AE12*(1-'Inputs'!$E$29*AE83)</f>
        <v>0.00043469960643223953</v>
      </c>
      <c r="AF95" s="38">
        <f>AE94*AF12*(1-'Inputs'!$E$29*AF83)</f>
        <v>0.0004194331741836093</v>
      </c>
      <c r="AG95" s="38">
        <f>AF94*AG12*(1-'Inputs'!$E$29*AG83)</f>
        <v>0.0004009760314013544</v>
      </c>
      <c r="AH95" s="38">
        <f>AG94*AH12*(1-'Inputs'!$E$29*AH83)</f>
        <v>0.00038322386275537173</v>
      </c>
      <c r="AI95" s="38">
        <f>AH94*AI12*(1-'Inputs'!$E$29*AI83)</f>
        <v>0.0003661512336296809</v>
      </c>
      <c r="AJ95" s="38">
        <f>AI94*AJ12*(1-'Inputs'!$E$29*AJ83)</f>
        <v>0.000349733647495814</v>
      </c>
      <c r="AK95" s="38">
        <f>AJ94*AK12*(1-'Inputs'!$E$29*AK83)</f>
        <v>0.00033670740128931374</v>
      </c>
      <c r="AL95" s="38">
        <f>AK94*AL12*(1-'Inputs'!$E$29*AL83)</f>
        <v>0.0006602920154620994</v>
      </c>
      <c r="AM95" s="38">
        <f>AL94*AM12*(1-'Inputs'!$E$29*AM83)</f>
        <v>0.00034402872691326295</v>
      </c>
      <c r="AN95" s="38">
        <f>AM94*AN12*(1-'Inputs'!$E$29*AN83)</f>
        <v>0.000331315633694267</v>
      </c>
      <c r="AO95" s="38">
        <f>AN94*AO12*(1-'Inputs'!$E$29*AO83)</f>
        <v>0.00031904134627347604</v>
      </c>
      <c r="AP95" s="38">
        <f>AO94*AP12*(1-'Inputs'!$E$29*AP83)</f>
        <v>0.0003071911317074309</v>
      </c>
      <c r="AQ95" s="38">
        <f>AP94*AQ12*(1-'Inputs'!$E$29*AQ83)</f>
        <v>0.0002957507687586935</v>
      </c>
    </row>
    <row r="96" ht="28" customHeight="1">
      <c r="A96" s="2" t="str">
        <v>AT.U.PLUS.Y7</v>
      </c>
      <c r="B96" s="6" t="str">
        <v>Austria: not yet identity-checked: Plus annual, plan month 8</v>
      </c>
      <c r="C96" s="2" t="str">
        <v>count</v>
      </c>
      <c r="D96" s="2" t="str">
        <v>NA</v>
      </c>
      <c r="E96" s="2"/>
      <c r="F96" s="6" t="str"/>
      <c r="G96" s="2"/>
      <c r="H96" s="38">
        <f>0*H12*(1-'Inputs'!$E$29*H83)</f>
        <v>0.0</v>
      </c>
      <c r="I96" s="38">
        <f>H95*I12*(1-'Inputs'!$E$29*I83)</f>
        <v>0.0</v>
      </c>
      <c r="J96" s="38">
        <f>I95*J12*(1-'Inputs'!$E$29*J83)</f>
        <v>0.0</v>
      </c>
      <c r="K96" s="38">
        <f>J95*K12*(1-'Inputs'!$E$29*K83)</f>
        <v>0.0</v>
      </c>
      <c r="L96" s="38">
        <f>K95*L12*(1-'Inputs'!$E$29*L83)</f>
        <v>0.0</v>
      </c>
      <c r="M96" s="38">
        <f>L95*M12*(1-'Inputs'!$E$29*M83)</f>
        <v>0.0</v>
      </c>
      <c r="N96" s="38">
        <f>M95*N12*(1-'Inputs'!$E$29*N83)</f>
        <v>0.0</v>
      </c>
      <c r="O96" s="38">
        <f>N95*O12*(1-'Inputs'!$E$29*O83)</f>
        <v>0.006994544273437498</v>
      </c>
      <c r="P96" s="38">
        <f>O95*P12*(1-'Inputs'!$E$29*P83)</f>
        <v>0.0005982287319632812</v>
      </c>
      <c r="Q96" s="38">
        <f>P95*Q12*(1-'Inputs'!$E$29*Q83)</f>
        <v>0.0005534215585364561</v>
      </c>
      <c r="R96" s="38">
        <f>Q95*R12*(1-'Inputs'!$E$29*R83)</f>
        <v>0.000524437731480035</v>
      </c>
      <c r="S96" s="38">
        <f>R95*S12*(1-'Inputs'!$E$29*S83)</f>
        <v>0.0004966388950797982</v>
      </c>
      <c r="T96" s="38">
        <f>S95*T12*(1-'Inputs'!$E$29*T83)</f>
        <v>0.00046997966399769687</v>
      </c>
      <c r="U96" s="38">
        <f>T95*U12*(1-'Inputs'!$E$29*U83)</f>
        <v>0.00045330673512217635</v>
      </c>
      <c r="V96" s="38">
        <f>U95*V12*(1-'Inputs'!$E$29*V83)</f>
        <v>0.0004372120016257441</v>
      </c>
      <c r="W96" s="38">
        <f>V95*W12*(1-'Inputs'!$E$29*W83)</f>
        <v>0.00042167489617728015</v>
      </c>
      <c r="X96" s="38">
        <f>W95*X12*(1-'Inputs'!$E$29*X83)</f>
        <v>0.0004066756944115999</v>
      </c>
      <c r="Y96" s="38">
        <f>X95*Y12*(1-'Inputs'!$E$29*Y83)</f>
        <v>0.00039219546649685815</v>
      </c>
      <c r="Z96" s="38">
        <f>Y95*Z12*(1-'Inputs'!$E$29*Z83)</f>
        <v>0.0003782160328580689</v>
      </c>
      <c r="AA96" s="38">
        <f>Z95*AA12*(1-'Inputs'!$E$29*AA83)</f>
        <v>0.0018037669170249862</v>
      </c>
      <c r="AB96" s="38">
        <f>AA95*AB12*(1-'Inputs'!$E$29*AB83)</f>
        <v>0.0004844866782395978</v>
      </c>
      <c r="AC96" s="38">
        <f>AB95*AC12*(1-'Inputs'!$E$29*AC83)</f>
        <v>0.00046770130603607674</v>
      </c>
      <c r="AD96" s="38">
        <f>AC95*AD12*(1-'Inputs'!$E$29*AD83)</f>
        <v>0.0004514785509027046</v>
      </c>
      <c r="AE96" s="38">
        <f>AD95*AE12*(1-'Inputs'!$E$29*AE83)</f>
        <v>0.0004357993612663164</v>
      </c>
      <c r="AF96" s="38">
        <f>AE95*AF12*(1-'Inputs'!$E$29*AF83)</f>
        <v>0.00042064540863029495</v>
      </c>
      <c r="AG96" s="38">
        <f>AF95*AG12*(1-'Inputs'!$E$29*AG83)</f>
        <v>0.0004021315557485354</v>
      </c>
      <c r="AH96" s="38">
        <f>AG95*AH12*(1-'Inputs'!$E$29*AH83)</f>
        <v>0.00038432533179231506</v>
      </c>
      <c r="AI96" s="38">
        <f>AH95*AI12*(1-'Inputs'!$E$29*AI83)</f>
        <v>0.0003672011409074101</v>
      </c>
      <c r="AJ96" s="38">
        <f>AI95*AJ12*(1-'Inputs'!$E$29*AJ83)</f>
        <v>0.00035073433958211536</v>
      </c>
      <c r="AK96" s="38">
        <f>AJ95*AK12*(1-'Inputs'!$E$29*AK83)</f>
        <v>0.0003376689721560639</v>
      </c>
      <c r="AL96" s="38">
        <f>AK95*AL12*(1-'Inputs'!$E$29*AL83)</f>
        <v>0.00032506063708078175</v>
      </c>
      <c r="AM96" s="38">
        <f>AL95*AM12*(1-'Inputs'!$E$29*AM83)</f>
        <v>0.0006373895026741341</v>
      </c>
      <c r="AN96" s="38">
        <f>AM95*AN12*(1-'Inputs'!$E$29*AN83)</f>
        <v>0.0003320625103249756</v>
      </c>
      <c r="AO96" s="38">
        <f>AN95*AO12*(1-'Inputs'!$E$29*AO83)</f>
        <v>0.00031975876235003283</v>
      </c>
      <c r="AP96" s="38">
        <f>AO95*AP12*(1-'Inputs'!$E$29*AP83)</f>
        <v>0.00030788034354547897</v>
      </c>
      <c r="AQ96" s="38">
        <f>AP95*AQ12*(1-'Inputs'!$E$29*AQ83)</f>
        <v>0.0002964129601035581</v>
      </c>
    </row>
    <row r="97" ht="28" customHeight="1">
      <c r="A97" s="2" t="str">
        <v>AT.U.PLUS.Y8</v>
      </c>
      <c r="B97" s="6" t="str">
        <v>Austria: not yet identity-checked: Plus annual, plan month 9</v>
      </c>
      <c r="C97" s="2" t="str">
        <v>count</v>
      </c>
      <c r="D97" s="2" t="str">
        <v>NA</v>
      </c>
      <c r="E97" s="2"/>
      <c r="F97" s="6" t="str"/>
      <c r="G97" s="2"/>
      <c r="H97" s="38">
        <f>0*H12*(1-'Inputs'!$E$29*H83)</f>
        <v>0.0</v>
      </c>
      <c r="I97" s="38">
        <f>H96*I12*(1-'Inputs'!$E$29*I83)</f>
        <v>0.0</v>
      </c>
      <c r="J97" s="38">
        <f>I96*J12*(1-'Inputs'!$E$29*J83)</f>
        <v>0.0</v>
      </c>
      <c r="K97" s="38">
        <f>J96*K12*(1-'Inputs'!$E$29*K83)</f>
        <v>0.0</v>
      </c>
      <c r="L97" s="38">
        <f>K96*L12*(1-'Inputs'!$E$29*L83)</f>
        <v>0.0</v>
      </c>
      <c r="M97" s="38">
        <f>L96*M12*(1-'Inputs'!$E$29*M83)</f>
        <v>0.0</v>
      </c>
      <c r="N97" s="38">
        <f>M96*N12*(1-'Inputs'!$E$29*N83)</f>
        <v>0.0</v>
      </c>
      <c r="O97" s="38">
        <f>N96*O12*(1-'Inputs'!$E$29*O83)</f>
        <v>0.0</v>
      </c>
      <c r="P97" s="38">
        <f>O96*P12*(1-'Inputs'!$E$29*P83)</f>
        <v>0.006502486216992185</v>
      </c>
      <c r="Q97" s="38">
        <f>P96*Q12*(1-'Inputs'!$E$29*Q83)</f>
        <v>0.0005548206715342383</v>
      </c>
      <c r="R97" s="38">
        <f>Q96*R12*(1-'Inputs'!$E$29*R83)</f>
        <v>0.0005257504806096333</v>
      </c>
      <c r="S97" s="38">
        <f>R96*S12*(1-'Inputs'!$E$29*S83)</f>
        <v>0.0004978708200826911</v>
      </c>
      <c r="T97" s="38">
        <f>S96*T12*(1-'Inputs'!$E$29*T83)</f>
        <v>0.00047113581668380855</v>
      </c>
      <c r="U97" s="38">
        <f>T96*U12*(1-'Inputs'!$E$29*U83)</f>
        <v>0.0004550480184227701</v>
      </c>
      <c r="V97" s="38">
        <f>U96*V12*(1-'Inputs'!$E$29*V83)</f>
        <v>0.0004388833390046526</v>
      </c>
      <c r="W97" s="38">
        <f>V96*W12*(1-'Inputs'!$E$29*W83)</f>
        <v>0.00042327971777112095</v>
      </c>
      <c r="X97" s="38">
        <f>W96*X12*(1-'Inputs'!$E$29*X83)</f>
        <v>0.0004082171867248137</v>
      </c>
      <c r="Y97" s="38">
        <f>X96*Y12*(1-'Inputs'!$E$29*Y83)</f>
        <v>0.000393676596322372</v>
      </c>
      <c r="Z97" s="38">
        <f>Y96*Z12*(1-'Inputs'!$E$29*Z83)</f>
        <v>0.00037963956846872134</v>
      </c>
      <c r="AA97" s="38">
        <f>Z96*AA12*(1-'Inputs'!$E$29*AA83)</f>
        <v>0.0003660884535435983</v>
      </c>
      <c r="AB97" s="38">
        <f>AA96*AB12*(1-'Inputs'!$E$29*AB83)</f>
        <v>0.001745835716770169</v>
      </c>
      <c r="AC97" s="38">
        <f>AB96*AC12*(1-'Inputs'!$E$29*AC83)</f>
        <v>0.0004689011692888755</v>
      </c>
      <c r="AD97" s="38">
        <f>AC96*AD12*(1-'Inputs'!$E$29*AD83)</f>
        <v>0.0004526309306193587</v>
      </c>
      <c r="AE97" s="38">
        <f>AD96*AE12*(1-'Inputs'!$E$29*AE83)</f>
        <v>0.00043690657528588217</v>
      </c>
      <c r="AF97" s="38">
        <f>AE96*AF12*(1-'Inputs'!$E$29*AF83)</f>
        <v>0.00042170960748101437</v>
      </c>
      <c r="AG97" s="38">
        <f>AF96*AG12*(1-'Inputs'!$E$29*AG83)</f>
        <v>0.00040329378552429523</v>
      </c>
      <c r="AH97" s="38">
        <f>AG96*AH12*(1-'Inputs'!$E$29*AH83)</f>
        <v>0.0003854328725013504</v>
      </c>
      <c r="AI97" s="38">
        <f>AH96*AI12*(1-'Inputs'!$E$29*AI83)</f>
        <v>0.00036825655714410187</v>
      </c>
      <c r="AJ97" s="38">
        <f>AI96*AJ12*(1-'Inputs'!$E$29*AJ83)</f>
        <v>0.0003517400402376244</v>
      </c>
      <c r="AK97" s="38">
        <f>AJ96*AK12*(1-'Inputs'!$E$29*AK83)</f>
        <v>0.0003386351436143882</v>
      </c>
      <c r="AL97" s="38">
        <f>AK96*AL12*(1-'Inputs'!$E$29*AL83)</f>
        <v>0.0003259889470536164</v>
      </c>
      <c r="AM97" s="38">
        <f>AL96*AM12*(1-'Inputs'!$E$29*AM83)</f>
        <v>0.0003137857689568705</v>
      </c>
      <c r="AN97" s="38">
        <f>AM96*AN12*(1-'Inputs'!$E$29*AN83)</f>
        <v>0.0006152194330159034</v>
      </c>
      <c r="AO97" s="38">
        <f>AN96*AO12*(1-'Inputs'!$E$29*AO83)</f>
        <v>0.00032047958661178175</v>
      </c>
      <c r="AP97" s="38">
        <f>AO96*AP12*(1-'Inputs'!$E$29*AP83)</f>
        <v>0.00030857266230195147</v>
      </c>
      <c r="AQ97" s="38">
        <f>AP96*AQ12*(1-'Inputs'!$E$29*AQ83)</f>
        <v>0.0002970779901124609</v>
      </c>
    </row>
    <row r="98" ht="28" customHeight="1">
      <c r="A98" s="2" t="str">
        <v>AT.U.PLUS.Y9</v>
      </c>
      <c r="B98" s="6" t="str">
        <v>Austria: not yet identity-checked: Plus annual, plan month 10</v>
      </c>
      <c r="C98" s="2" t="str">
        <v>count</v>
      </c>
      <c r="D98" s="2" t="str">
        <v>NA</v>
      </c>
      <c r="E98" s="2"/>
      <c r="F98" s="6" t="str"/>
      <c r="G98" s="2"/>
      <c r="H98" s="38">
        <f>0*H12*(1-'Inputs'!$E$29*H83)</f>
        <v>0.0</v>
      </c>
      <c r="I98" s="38">
        <f>H97*I12*(1-'Inputs'!$E$29*I83)</f>
        <v>0.0</v>
      </c>
      <c r="J98" s="38">
        <f>I97*J12*(1-'Inputs'!$E$29*J83)</f>
        <v>0.0</v>
      </c>
      <c r="K98" s="38">
        <f>J97*K12*(1-'Inputs'!$E$29*K83)</f>
        <v>0.0</v>
      </c>
      <c r="L98" s="38">
        <f>K97*L12*(1-'Inputs'!$E$29*L83)</f>
        <v>0.0</v>
      </c>
      <c r="M98" s="38">
        <f>L97*M12*(1-'Inputs'!$E$29*M83)</f>
        <v>0.0</v>
      </c>
      <c r="N98" s="38">
        <f>M97*N12*(1-'Inputs'!$E$29*N83)</f>
        <v>0.0</v>
      </c>
      <c r="O98" s="38">
        <f>N97*O12*(1-'Inputs'!$E$29*O83)</f>
        <v>0.0</v>
      </c>
      <c r="P98" s="38">
        <f>O97*P12*(1-'Inputs'!$E$29*P83)</f>
        <v>0.0</v>
      </c>
      <c r="Q98" s="38">
        <f>P97*Q12*(1-'Inputs'!$E$29*Q83)</f>
        <v>0.00603065947319824</v>
      </c>
      <c r="R98" s="38">
        <f>Q97*R12*(1-'Inputs'!$E$29*R83)</f>
        <v>0.0005270796379575264</v>
      </c>
      <c r="S98" s="38">
        <f>R97*S12*(1-'Inputs'!$E$29*S83)</f>
        <v>0.0004991170681050664</v>
      </c>
      <c r="T98" s="38">
        <f>S97*T12*(1-'Inputs'!$E$29*T83)</f>
        <v>0.00047230448067303935</v>
      </c>
      <c r="U98" s="38">
        <f>T97*U12*(1-'Inputs'!$E$29*U83)</f>
        <v>0.0004561674391745834</v>
      </c>
      <c r="V98" s="38">
        <f>U97*V12*(1-'Inputs'!$E$29*V83)</f>
        <v>0.000440569217836591</v>
      </c>
      <c r="W98" s="38">
        <f>V97*W12*(1-'Inputs'!$E$29*W83)</f>
        <v>0.0004248977959835536</v>
      </c>
      <c r="X98" s="38">
        <f>W97*X12*(1-'Inputs'!$E$29*X83)</f>
        <v>0.0004097707906082128</v>
      </c>
      <c r="Y98" s="38">
        <f>X97*Y12*(1-'Inputs'!$E$29*Y83)</f>
        <v>0.0003951688159348599</v>
      </c>
      <c r="Z98" s="38">
        <f>Y97*Z12*(1-'Inputs'!$E$29*Z83)</f>
        <v>0.0003810732808285982</v>
      </c>
      <c r="AA98" s="38">
        <f>Z97*AA12*(1-'Inputs'!$E$29*AA83)</f>
        <v>0.0003674663431754309</v>
      </c>
      <c r="AB98" s="38">
        <f>AA97*AB12*(1-'Inputs'!$E$29*AB83)</f>
        <v>0.0003543308681743148</v>
      </c>
      <c r="AC98" s="38">
        <f>AB97*AC12*(1-'Inputs'!$E$29*AC83)</f>
        <v>0.0016896737222049521</v>
      </c>
      <c r="AD98" s="38">
        <f>AC97*AD12*(1-'Inputs'!$E$29*AD83)</f>
        <v>0.00045379213161178945</v>
      </c>
      <c r="AE98" s="38">
        <f>AD97*AE12*(1-'Inputs'!$E$29*AE83)</f>
        <v>0.00043802176065720397</v>
      </c>
      <c r="AF98" s="38">
        <f>AE97*AF12*(1-'Inputs'!$E$29*AF83)</f>
        <v>0.0004227810243555867</v>
      </c>
      <c r="AG98" s="38">
        <f>AF97*AG12*(1-'Inputs'!$E$29*AG83)</f>
        <v>0.0004043140861724225</v>
      </c>
      <c r="AH98" s="38">
        <f>AG97*AH12*(1-'Inputs'!$E$29*AH83)</f>
        <v>0.00038654684019320156</v>
      </c>
      <c r="AI98" s="38">
        <f>AH97*AI12*(1-'Inputs'!$E$29*AI83)</f>
        <v>0.00036931779119418187</v>
      </c>
      <c r="AJ98" s="38">
        <f>AI97*AJ12*(1-'Inputs'!$E$29*AJ83)</f>
        <v>0.00035275101789592915</v>
      </c>
      <c r="AK98" s="38">
        <f>AJ97*AK12*(1-'Inputs'!$E$29*AK83)</f>
        <v>0.000339606150862544</v>
      </c>
      <c r="AL98" s="38">
        <f>AK97*AL12*(1-'Inputs'!$E$29*AL83)</f>
        <v>0.00032692169848280847</v>
      </c>
      <c r="AM98" s="38">
        <f>AL97*AM12*(1-'Inputs'!$E$29*AM83)</f>
        <v>0.00031468188009869377</v>
      </c>
      <c r="AN98" s="38">
        <f>AM97*AN12*(1-'Inputs'!$E$29*AN83)</f>
        <v>0.0003028714813409793</v>
      </c>
      <c r="AO98" s="38">
        <f>AN97*AO12*(1-'Inputs'!$E$29*AO83)</f>
        <v>0.0005937594984014127</v>
      </c>
      <c r="AP98" s="38">
        <f>AO97*AP12*(1-'Inputs'!$E$29*AP83)</f>
        <v>0.0003092682700152945</v>
      </c>
      <c r="AQ98" s="38">
        <f>AP97*AQ12*(1-'Inputs'!$E$29*AQ83)</f>
        <v>0.0002977460180298054</v>
      </c>
    </row>
    <row r="99" ht="28" customHeight="1">
      <c r="A99" s="2" t="str">
        <v>AT.U.PLUS.Y10</v>
      </c>
      <c r="B99" s="6" t="str">
        <v>Austria: not yet identity-checked: Plus annual, plan month 11</v>
      </c>
      <c r="C99" s="2" t="str">
        <v>count</v>
      </c>
      <c r="D99" s="2" t="str">
        <v>NA</v>
      </c>
      <c r="E99" s="2"/>
      <c r="F99" s="6" t="str"/>
      <c r="G99" s="2"/>
      <c r="H99" s="38">
        <f>0*H12*(1-'Inputs'!$E$29*H83)</f>
        <v>0.0</v>
      </c>
      <c r="I99" s="38">
        <f>H98*I12*(1-'Inputs'!$E$29*I83)</f>
        <v>0.0</v>
      </c>
      <c r="J99" s="38">
        <f>I98*J12*(1-'Inputs'!$E$29*J83)</f>
        <v>0.0</v>
      </c>
      <c r="K99" s="38">
        <f>J98*K12*(1-'Inputs'!$E$29*K83)</f>
        <v>0.0</v>
      </c>
      <c r="L99" s="38">
        <f>K98*L12*(1-'Inputs'!$E$29*L83)</f>
        <v>0.0</v>
      </c>
      <c r="M99" s="38">
        <f>L98*M12*(1-'Inputs'!$E$29*M83)</f>
        <v>0.0</v>
      </c>
      <c r="N99" s="38">
        <f>M98*N12*(1-'Inputs'!$E$29*N83)</f>
        <v>0.0</v>
      </c>
      <c r="O99" s="38">
        <f>N98*O12*(1-'Inputs'!$E$29*O83)</f>
        <v>0.0</v>
      </c>
      <c r="P99" s="38">
        <f>O98*P12*(1-'Inputs'!$E$29*P83)</f>
        <v>0.0</v>
      </c>
      <c r="Q99" s="38">
        <f>P98*Q12*(1-'Inputs'!$E$29*Q83)</f>
        <v>0.0</v>
      </c>
      <c r="R99" s="38">
        <f>Q98*R12*(1-'Inputs'!$E$29*R83)</f>
        <v>0.005729126499538328</v>
      </c>
      <c r="S99" s="38">
        <f>R98*S12*(1-'Inputs'!$E$29*S83)</f>
        <v>0.0005003788931399411</v>
      </c>
      <c r="T99" s="38">
        <f>S98*T12*(1-'Inputs'!$E$29*T83)</f>
        <v>0.00047348673217534673</v>
      </c>
      <c r="U99" s="38">
        <f>T98*U12*(1-'Inputs'!$E$29*U83)</f>
        <v>0.00045729897373498964</v>
      </c>
      <c r="V99" s="38">
        <f>U98*V12*(1-'Inputs'!$E$29*V83)</f>
        <v>0.00044165302065539213</v>
      </c>
      <c r="W99" s="38">
        <f>V98*W12*(1-'Inputs'!$E$29*W83)</f>
        <v>0.0004265299522682067</v>
      </c>
      <c r="X99" s="38">
        <f>W98*X12*(1-'Inputs'!$E$29*X83)</f>
        <v>0.00041133722802663166</v>
      </c>
      <c r="Y99" s="38">
        <f>X98*Y12*(1-'Inputs'!$E$29*Y83)</f>
        <v>0.00039667275997984315</v>
      </c>
      <c r="Z99" s="38">
        <f>Y98*Z12*(1-'Inputs'!$E$29*Z83)</f>
        <v>0.0003825177279427007</v>
      </c>
      <c r="AA99" s="38">
        <f>Z98*AA12*(1-'Inputs'!$E$29*AA83)</f>
        <v>0.0003688540832368117</v>
      </c>
      <c r="AB99" s="38">
        <f>AA98*AB12*(1-'Inputs'!$E$29*AB83)</f>
        <v>0.0003556645044165119</v>
      </c>
      <c r="AC99" s="38">
        <f>AB98*AC12*(1-'Inputs'!$E$29*AC83)</f>
        <v>0.0003429323567900308</v>
      </c>
      <c r="AD99" s="38">
        <f>AC98*AD12*(1-'Inputs'!$E$29*AD83)</f>
        <v>0.0016352286800450147</v>
      </c>
      <c r="AE99" s="38">
        <f>AD98*AE12*(1-'Inputs'!$E$29*AE83)</f>
        <v>0.0004391454825877522</v>
      </c>
      <c r="AF99" s="38">
        <f>AE98*AF12*(1-'Inputs'!$E$29*AF83)</f>
        <v>0.0004238601548615199</v>
      </c>
      <c r="AG99" s="38">
        <f>AF98*AG12*(1-'Inputs'!$E$29*AG83)</f>
        <v>0.00040534130710091873</v>
      </c>
      <c r="AH99" s="38">
        <f>AG98*AH12*(1-'Inputs'!$E$29*AH83)</f>
        <v>0.00038752477242458457</v>
      </c>
      <c r="AI99" s="38">
        <f>AH98*AI12*(1-'Inputs'!$E$29*AI83)</f>
        <v>0.0003703851835127099</v>
      </c>
      <c r="AJ99" s="38">
        <f>AI98*AJ12*(1-'Inputs'!$E$29*AJ83)</f>
        <v>0.00035376756840705835</v>
      </c>
      <c r="AK99" s="38">
        <f>AJ98*AK12*(1-'Inputs'!$E$29*AK83)</f>
        <v>0.00034058225307403224</v>
      </c>
      <c r="AL99" s="38">
        <f>AK98*AL12*(1-'Inputs'!$E$29*AL83)</f>
        <v>0.0003278591184310691</v>
      </c>
      <c r="AM99" s="38">
        <f>AL98*AM12*(1-'Inputs'!$E$29*AM83)</f>
        <v>0.00031558227864304875</v>
      </c>
      <c r="AN99" s="38">
        <f>AM98*AN12*(1-'Inputs'!$E$29*AN83)</f>
        <v>0.00030373642339960876</v>
      </c>
      <c r="AO99" s="38">
        <f>AN98*AO12*(1-'Inputs'!$E$29*AO83)</f>
        <v>0.0002923067920002847</v>
      </c>
      <c r="AP99" s="38">
        <f>AO98*AP12*(1-'Inputs'!$E$29*AP83)</f>
        <v>0.0005729880483720117</v>
      </c>
      <c r="AQ99" s="38">
        <f>AP98*AQ12*(1-'Inputs'!$E$29*AQ83)</f>
        <v>0.00029841721950699926</v>
      </c>
    </row>
    <row r="100" ht="28" customHeight="1">
      <c r="A100" s="2" t="str">
        <v>AT.U.PLUS.Y11</v>
      </c>
      <c r="B100" s="6" t="str">
        <v>Austria: not yet identity-checked: Plus annual, plan month 12</v>
      </c>
      <c r="C100" s="2" t="str">
        <v>count</v>
      </c>
      <c r="D100" s="2" t="str">
        <v>NA</v>
      </c>
      <c r="E100" s="2"/>
      <c r="F100" s="6" t="str"/>
      <c r="G100" s="2"/>
      <c r="H100" s="38">
        <f>0*H12*(1-'Inputs'!$E$29*H83)</f>
        <v>0.0</v>
      </c>
      <c r="I100" s="38">
        <f>H99*I12*(1-'Inputs'!$E$29*I83)</f>
        <v>0.0</v>
      </c>
      <c r="J100" s="38">
        <f>I99*J12*(1-'Inputs'!$E$29*J83)</f>
        <v>0.0</v>
      </c>
      <c r="K100" s="38">
        <f>J99*K12*(1-'Inputs'!$E$29*K83)</f>
        <v>0.0</v>
      </c>
      <c r="L100" s="38">
        <f>K99*L12*(1-'Inputs'!$E$29*L83)</f>
        <v>0.0</v>
      </c>
      <c r="M100" s="38">
        <f>L99*M12*(1-'Inputs'!$E$29*M83)</f>
        <v>0.0</v>
      </c>
      <c r="N100" s="38">
        <f>M99*N12*(1-'Inputs'!$E$29*N83)</f>
        <v>0.0</v>
      </c>
      <c r="O100" s="38">
        <f>N99*O12*(1-'Inputs'!$E$29*O83)</f>
        <v>0.0</v>
      </c>
      <c r="P100" s="38">
        <f>O99*P12*(1-'Inputs'!$E$29*P83)</f>
        <v>0.0</v>
      </c>
      <c r="Q100" s="38">
        <f>P99*Q12*(1-'Inputs'!$E$29*Q83)</f>
        <v>0.0</v>
      </c>
      <c r="R100" s="38">
        <f>Q99*R12*(1-'Inputs'!$E$29*R83)</f>
        <v>0.0</v>
      </c>
      <c r="S100" s="38">
        <f>R99*S12*(1-'Inputs'!$E$29*S83)</f>
        <v>0.0054389010123906635</v>
      </c>
      <c r="T100" s="38">
        <f>S99*T12*(1-'Inputs'!$E$29*T83)</f>
        <v>0.0004746837607895117</v>
      </c>
      <c r="U100" s="38">
        <f>T99*U12*(1-'Inputs'!$E$29*U83)</f>
        <v>0.0004584436641218591</v>
      </c>
      <c r="V100" s="38">
        <f>U99*V12*(1-'Inputs'!$E$29*V83)</f>
        <v>0.0004427485518434218</v>
      </c>
      <c r="W100" s="38">
        <f>V99*W12*(1-'Inputs'!$E$29*W83)</f>
        <v>0.00042757921841267627</v>
      </c>
      <c r="X100" s="38">
        <f>W99*X12*(1-'Inputs'!$E$29*X83)</f>
        <v>0.00041291729421709367</v>
      </c>
      <c r="Y100" s="38">
        <f>X99*Y12*(1-'Inputs'!$E$29*Y83)</f>
        <v>0.0003981891273450661</v>
      </c>
      <c r="Z100" s="38">
        <f>Y99*Z12*(1-'Inputs'!$E$29*Z83)</f>
        <v>0.0003839735241387618</v>
      </c>
      <c r="AA100" s="38">
        <f>Z99*AA12*(1-'Inputs'!$E$29*AA83)</f>
        <v>0.0003702522138401903</v>
      </c>
      <c r="AB100" s="38">
        <f>AA99*AB12*(1-'Inputs'!$E$29*AB83)</f>
        <v>0.0003570076747240966</v>
      </c>
      <c r="AC100" s="38">
        <f>AB99*AC12*(1-'Inputs'!$E$29*AC83)</f>
        <v>0.0003442230911310543</v>
      </c>
      <c r="AD100" s="38">
        <f>AC99*AD12*(1-'Inputs'!$E$29*AD83)</f>
        <v>0.000331882314182352</v>
      </c>
      <c r="AE100" s="38">
        <f>AD99*AE12*(1-'Inputs'!$E$29*AE83)</f>
        <v>0.0015824498439166962</v>
      </c>
      <c r="AF100" s="38">
        <f>AE99*AF12*(1-'Inputs'!$E$29*AF83)</f>
        <v>0.00042494754593265944</v>
      </c>
      <c r="AG100" s="38">
        <f>AF99*AG12*(1-'Inputs'!$E$29*AG83)</f>
        <v>0.00040637592347348214</v>
      </c>
      <c r="AH100" s="38">
        <f>AG99*AH12*(1-'Inputs'!$E$29*AH83)</f>
        <v>0.0003885093375687619</v>
      </c>
      <c r="AI100" s="38">
        <f>AH99*AI12*(1-'Inputs'!$E$29*AI83)</f>
        <v>0.00037132222806028083</v>
      </c>
      <c r="AJ100" s="38">
        <f>AI99*AJ12*(1-'Inputs'!$E$29*AJ83)</f>
        <v>0.0003547900178911221</v>
      </c>
      <c r="AK100" s="38">
        <f>AJ99*AK12*(1-'Inputs'!$E$29*AK83)</f>
        <v>0.00034156373589301614</v>
      </c>
      <c r="AL100" s="38">
        <f>AK99*AL12*(1-'Inputs'!$E$29*AL83)</f>
        <v>0.00032880145710704523</v>
      </c>
      <c r="AM100" s="38">
        <f>AL99*AM12*(1-'Inputs'!$E$29*AM83)</f>
        <v>0.00031648718377687887</v>
      </c>
      <c r="AN100" s="38">
        <f>AM99*AN12*(1-'Inputs'!$E$29*AN83)</f>
        <v>0.0003046055037337253</v>
      </c>
      <c r="AO100" s="38">
        <f>AN99*AO12*(1-'Inputs'!$E$29*AO83)</f>
        <v>0.0002931415633604163</v>
      </c>
      <c r="AP100" s="38">
        <f>AO99*AP12*(1-'Inputs'!$E$29*AP83)</f>
        <v>0.00028208104245078665</v>
      </c>
      <c r="AQ100" s="38">
        <f>AP99*AQ12*(1-'Inputs'!$E$29*AQ83)</f>
        <v>0.00055288407115758</v>
      </c>
    </row>
    <row r="101" ht="28" customHeight="1">
      <c r="A101" s="2" t="str">
        <v>AT.U.PRO.Y0</v>
      </c>
      <c r="B101" s="6" t="str">
        <v>Austria: not yet identity-checked: Pro annual, plan month 1</v>
      </c>
      <c r="C101" s="2" t="str">
        <v>count</v>
      </c>
      <c r="D101" s="2" t="str">
        <v>NA</v>
      </c>
      <c r="E101" s="2"/>
      <c r="F101" s="6" t="str"/>
      <c r="G101" s="2"/>
      <c r="H101" s="38">
        <f>(H86*'Inputs'!$E$19*'Inputs'!$E$22+0*H12*'Inputs'!$E$24)*(1-'Inputs'!$E$29*H83)* (1-H83)</f>
        <v>0.006</v>
      </c>
      <c r="I101" s="38">
        <f>(I86*'Inputs'!$E$19*'Inputs'!$E$22+H112*I12*'Inputs'!$E$24)*(1-'Inputs'!$E$29*I83)* (1-I83)</f>
        <v>0.0003864</v>
      </c>
      <c r="J101" s="38">
        <f>(J86*'Inputs'!$E$19*'Inputs'!$E$22+I112*J12*'Inputs'!$E$24)*(1-'Inputs'!$E$29*J83)* (1-J83)</f>
        <v>0.0003303648</v>
      </c>
      <c r="K101" s="38">
        <f>(K86*'Inputs'!$E$19*'Inputs'!$E$22+J112*K12*'Inputs'!$E$24)*(1-'Inputs'!$E$29*K83)* (1-K83)</f>
        <v>0.0003020782512</v>
      </c>
      <c r="L101" s="38">
        <f>(L86*'Inputs'!$E$19*'Inputs'!$E$22+K112*L12*'Inputs'!$E$24)*(1-'Inputs'!$E$29*L83)* (1-L83)</f>
        <v>0.0</v>
      </c>
      <c r="M101" s="38">
        <f>(M86*'Inputs'!$E$19*'Inputs'!$E$22+L112*M12*'Inputs'!$E$24)*(1-'Inputs'!$E$29*M83)* (1-M83)</f>
        <v>0.0</v>
      </c>
      <c r="N101" s="38">
        <f>(N86*'Inputs'!$E$19*'Inputs'!$E$22+M112*N12*'Inputs'!$E$24)*(1-'Inputs'!$E$29*N83)* (1-N83)</f>
        <v>0.0</v>
      </c>
      <c r="O101" s="38">
        <f>(O86*'Inputs'!$E$19*'Inputs'!$E$22+N112*O12*'Inputs'!$E$24)*(1-'Inputs'!$E$29*O83)* (1-O83)</f>
        <v>0.0</v>
      </c>
      <c r="P101" s="38">
        <f>(P86*'Inputs'!$E$19*'Inputs'!$E$22+O112*P12*'Inputs'!$E$24)*(1-'Inputs'!$E$29*P83)* (1-P83)</f>
        <v>0.0</v>
      </c>
      <c r="Q101" s="38">
        <f>(Q86*'Inputs'!$E$19*'Inputs'!$E$22+P112*Q12*'Inputs'!$E$24)*(1-'Inputs'!$E$29*Q83)* (1-Q83)</f>
        <v>0.0</v>
      </c>
      <c r="R101" s="38">
        <f>(R86*'Inputs'!$E$19*'Inputs'!$E$22+Q112*R12*'Inputs'!$E$24)*(1-'Inputs'!$E$29*R83)* (1-R83)</f>
        <v>0.0</v>
      </c>
      <c r="S101" s="38">
        <f>(S86*'Inputs'!$E$19*'Inputs'!$E$22+R112*S12*'Inputs'!$E$24)*(1-'Inputs'!$E$29*S83)* (1-S83)</f>
        <v>0.0</v>
      </c>
      <c r="T101" s="38">
        <f>(T86*'Inputs'!$E$19*'Inputs'!$E$22+S112*T12*'Inputs'!$E$24)*(1-'Inputs'!$E$29*T83)* (1-T83)</f>
        <v>0.0</v>
      </c>
      <c r="U101" s="38">
        <f>(U86*'Inputs'!$E$19*'Inputs'!$E$22+T112*U12*'Inputs'!$E$24)*(1-'Inputs'!$E$29*U83)* (1-U83)</f>
        <v>0.0</v>
      </c>
      <c r="V101" s="38">
        <f>(V86*'Inputs'!$E$19*'Inputs'!$E$22+U112*V12*'Inputs'!$E$24)*(1-'Inputs'!$E$29*V83)* (1-V83)</f>
        <v>0.0</v>
      </c>
      <c r="W101" s="38">
        <f>(W86*'Inputs'!$E$19*'Inputs'!$E$22+V112*W12*'Inputs'!$E$24)*(1-'Inputs'!$E$29*W83)* (1-W83)</f>
        <v>0.0</v>
      </c>
      <c r="X101" s="38">
        <f>(X86*'Inputs'!$E$19*'Inputs'!$E$22+W112*X12*'Inputs'!$E$24)*(1-'Inputs'!$E$29*X83)* (1-X83)</f>
        <v>0.0</v>
      </c>
      <c r="Y101" s="38">
        <f>(Y86*'Inputs'!$E$19*'Inputs'!$E$22+X112*Y12*'Inputs'!$E$24)*(1-'Inputs'!$E$29*Y83)* (1-Y83)</f>
        <v>0.0</v>
      </c>
      <c r="Z101" s="38">
        <f>(Z86*'Inputs'!$E$19*'Inputs'!$E$22+Y112*Z12*'Inputs'!$E$24)*(1-'Inputs'!$E$29*Z83)* (1-Z83)</f>
        <v>0.0</v>
      </c>
      <c r="AA101" s="38">
        <f>(AA86*'Inputs'!$E$19*'Inputs'!$E$22+Z112*AA12*'Inputs'!$E$24)*(1-'Inputs'!$E$29*AA83)* (1-AA83)</f>
        <v>0.0</v>
      </c>
      <c r="AB101" s="38">
        <f>(AB86*'Inputs'!$E$19*'Inputs'!$E$22+AA112*AB12*'Inputs'!$E$24)*(1-'Inputs'!$E$29*AB83)* (1-AB83)</f>
        <v>0.0</v>
      </c>
      <c r="AC101" s="38">
        <f>(AC86*'Inputs'!$E$19*'Inputs'!$E$22+AB112*AC12*'Inputs'!$E$24)*(1-'Inputs'!$E$29*AC83)* (1-AC83)</f>
        <v>0.0</v>
      </c>
      <c r="AD101" s="38">
        <f>(AD86*'Inputs'!$E$19*'Inputs'!$E$22+AC112*AD12*'Inputs'!$E$24)*(1-'Inputs'!$E$29*AD83)* (1-AD83)</f>
        <v>0.0</v>
      </c>
      <c r="AE101" s="38">
        <f>(AE86*'Inputs'!$E$19*'Inputs'!$E$22+AD112*AE12*'Inputs'!$E$24)*(1-'Inputs'!$E$29*AE83)* (1-AE83)</f>
        <v>0.0</v>
      </c>
      <c r="AF101" s="38">
        <f>(AF86*'Inputs'!$E$19*'Inputs'!$E$22+AE112*AF12*'Inputs'!$E$24)*(1-'Inputs'!$E$29*AF83)* (1-AF83)</f>
        <v>0.0</v>
      </c>
      <c r="AG101" s="38">
        <f>(AG86*'Inputs'!$E$19*'Inputs'!$E$22+AF112*AG12*'Inputs'!$E$24)*(1-'Inputs'!$E$29*AG83)* (1-AG83)</f>
        <v>0.0</v>
      </c>
      <c r="AH101" s="38">
        <f>(AH86*'Inputs'!$E$19*'Inputs'!$E$22+AG112*AH12*'Inputs'!$E$24)*(1-'Inputs'!$E$29*AH83)* (1-AH83)</f>
        <v>0.0</v>
      </c>
      <c r="AI101" s="38">
        <f>(AI86*'Inputs'!$E$19*'Inputs'!$E$22+AH112*AI12*'Inputs'!$E$24)*(1-'Inputs'!$E$29*AI83)* (1-AI83)</f>
        <v>0.0</v>
      </c>
      <c r="AJ101" s="38">
        <f>(AJ86*'Inputs'!$E$19*'Inputs'!$E$22+AI112*AJ12*'Inputs'!$E$24)*(1-'Inputs'!$E$29*AJ83)* (1-AJ83)</f>
        <v>0.0</v>
      </c>
      <c r="AK101" s="38">
        <f>(AK86*'Inputs'!$E$19*'Inputs'!$E$22+AJ112*AK12*'Inputs'!$E$24)*(1-'Inputs'!$E$29*AK83)* (1-AK83)</f>
        <v>0.0</v>
      </c>
      <c r="AL101" s="38">
        <f>(AL86*'Inputs'!$E$19*'Inputs'!$E$22+AK112*AL12*'Inputs'!$E$24)*(1-'Inputs'!$E$29*AL83)* (1-AL83)</f>
        <v>0.0</v>
      </c>
      <c r="AM101" s="38">
        <f>(AM86*'Inputs'!$E$19*'Inputs'!$E$22+AL112*AM12*'Inputs'!$E$24)*(1-'Inputs'!$E$29*AM83)* (1-AM83)</f>
        <v>0.0</v>
      </c>
      <c r="AN101" s="38">
        <f>(AN86*'Inputs'!$E$19*'Inputs'!$E$22+AM112*AN12*'Inputs'!$E$24)*(1-'Inputs'!$E$29*AN83)* (1-AN83)</f>
        <v>0.0</v>
      </c>
      <c r="AO101" s="38">
        <f>(AO86*'Inputs'!$E$19*'Inputs'!$E$22+AN112*AO12*'Inputs'!$E$24)*(1-'Inputs'!$E$29*AO83)* (1-AO83)</f>
        <v>0.0</v>
      </c>
      <c r="AP101" s="38">
        <f>(AP86*'Inputs'!$E$19*'Inputs'!$E$22+AO112*AP12*'Inputs'!$E$24)*(1-'Inputs'!$E$29*AP83)* (1-AP83)</f>
        <v>0.0</v>
      </c>
      <c r="AQ101" s="38">
        <f>(AQ86*'Inputs'!$E$19*'Inputs'!$E$22+AP112*AQ12*'Inputs'!$E$24)*(1-'Inputs'!$E$29*AQ83)* (1-AQ83)</f>
        <v>0.0</v>
      </c>
    </row>
    <row r="102" ht="28" customHeight="1">
      <c r="A102" s="2" t="str">
        <v>AT.U.PRO.Y1</v>
      </c>
      <c r="B102" s="6" t="str">
        <v>Austria: not yet identity-checked: Pro annual, plan month 2</v>
      </c>
      <c r="C102" s="2" t="str">
        <v>count</v>
      </c>
      <c r="D102" s="2" t="str">
        <v>NA</v>
      </c>
      <c r="E102" s="2"/>
      <c r="F102" s="6" t="str"/>
      <c r="G102" s="2"/>
      <c r="H102" s="38">
        <f>0*H12*(1-'Inputs'!$E$29*H83)* (1-H83)</f>
        <v>0.0</v>
      </c>
      <c r="I102" s="38">
        <f>H101*I12*(1-'Inputs'!$E$29*I83)* (1-I83)</f>
        <v>0.0042</v>
      </c>
      <c r="J102" s="38">
        <f>I101*J12*(1-'Inputs'!$E$29*J83)* (1-J83)</f>
        <v>0.00033120000000000003</v>
      </c>
      <c r="K102" s="38">
        <f>J101*K12*(1-'Inputs'!$E$29*K83)* (1-K83)</f>
        <v>0.0003028344</v>
      </c>
      <c r="L102" s="38">
        <f>K101*L12*(1-'Inputs'!$E$29*L83)* (1-L83)</f>
        <v>0.0</v>
      </c>
      <c r="M102" s="38">
        <f>L101*M12*(1-'Inputs'!$E$29*M83)* (1-M83)</f>
        <v>0.0</v>
      </c>
      <c r="N102" s="38">
        <f>M101*N12*(1-'Inputs'!$E$29*N83)* (1-N83)</f>
        <v>0.0</v>
      </c>
      <c r="O102" s="38">
        <f>N101*O12*(1-'Inputs'!$E$29*O83)* (1-O83)</f>
        <v>0.0</v>
      </c>
      <c r="P102" s="38">
        <f>O101*P12*(1-'Inputs'!$E$29*P83)* (1-P83)</f>
        <v>0.0</v>
      </c>
      <c r="Q102" s="38">
        <f>P101*Q12*(1-'Inputs'!$E$29*Q83)* (1-Q83)</f>
        <v>0.0</v>
      </c>
      <c r="R102" s="38">
        <f>Q101*R12*(1-'Inputs'!$E$29*R83)* (1-R83)</f>
        <v>0.0</v>
      </c>
      <c r="S102" s="38">
        <f>R101*S12*(1-'Inputs'!$E$29*S83)* (1-S83)</f>
        <v>0.0</v>
      </c>
      <c r="T102" s="38">
        <f>S101*T12*(1-'Inputs'!$E$29*T83)* (1-T83)</f>
        <v>0.0</v>
      </c>
      <c r="U102" s="38">
        <f>T101*U12*(1-'Inputs'!$E$29*U83)* (1-U83)</f>
        <v>0.0</v>
      </c>
      <c r="V102" s="38">
        <f>U101*V12*(1-'Inputs'!$E$29*V83)* (1-V83)</f>
        <v>0.0</v>
      </c>
      <c r="W102" s="38">
        <f>V101*W12*(1-'Inputs'!$E$29*W83)* (1-W83)</f>
        <v>0.0</v>
      </c>
      <c r="X102" s="38">
        <f>W101*X12*(1-'Inputs'!$E$29*X83)* (1-X83)</f>
        <v>0.0</v>
      </c>
      <c r="Y102" s="38">
        <f>X101*Y12*(1-'Inputs'!$E$29*Y83)* (1-Y83)</f>
        <v>0.0</v>
      </c>
      <c r="Z102" s="38">
        <f>Y101*Z12*(1-'Inputs'!$E$29*Z83)* (1-Z83)</f>
        <v>0.0</v>
      </c>
      <c r="AA102" s="38">
        <f>Z101*AA12*(1-'Inputs'!$E$29*AA83)* (1-AA83)</f>
        <v>0.0</v>
      </c>
      <c r="AB102" s="38">
        <f>AA101*AB12*(1-'Inputs'!$E$29*AB83)* (1-AB83)</f>
        <v>0.0</v>
      </c>
      <c r="AC102" s="38">
        <f>AB101*AC12*(1-'Inputs'!$E$29*AC83)* (1-AC83)</f>
        <v>0.0</v>
      </c>
      <c r="AD102" s="38">
        <f>AC101*AD12*(1-'Inputs'!$E$29*AD83)* (1-AD83)</f>
        <v>0.0</v>
      </c>
      <c r="AE102" s="38">
        <f>AD101*AE12*(1-'Inputs'!$E$29*AE83)* (1-AE83)</f>
        <v>0.0</v>
      </c>
      <c r="AF102" s="38">
        <f>AE101*AF12*(1-'Inputs'!$E$29*AF83)* (1-AF83)</f>
        <v>0.0</v>
      </c>
      <c r="AG102" s="38">
        <f>AF101*AG12*(1-'Inputs'!$E$29*AG83)* (1-AG83)</f>
        <v>0.0</v>
      </c>
      <c r="AH102" s="38">
        <f>AG101*AH12*(1-'Inputs'!$E$29*AH83)* (1-AH83)</f>
        <v>0.0</v>
      </c>
      <c r="AI102" s="38">
        <f>AH101*AI12*(1-'Inputs'!$E$29*AI83)* (1-AI83)</f>
        <v>0.0</v>
      </c>
      <c r="AJ102" s="38">
        <f>AI101*AJ12*(1-'Inputs'!$E$29*AJ83)* (1-AJ83)</f>
        <v>0.0</v>
      </c>
      <c r="AK102" s="38">
        <f>AJ101*AK12*(1-'Inputs'!$E$29*AK83)* (1-AK83)</f>
        <v>0.0</v>
      </c>
      <c r="AL102" s="38">
        <f>AK101*AL12*(1-'Inputs'!$E$29*AL83)* (1-AL83)</f>
        <v>0.0</v>
      </c>
      <c r="AM102" s="38">
        <f>AL101*AM12*(1-'Inputs'!$E$29*AM83)* (1-AM83)</f>
        <v>0.0</v>
      </c>
      <c r="AN102" s="38">
        <f>AM101*AN12*(1-'Inputs'!$E$29*AN83)* (1-AN83)</f>
        <v>0.0</v>
      </c>
      <c r="AO102" s="38">
        <f>AN101*AO12*(1-'Inputs'!$E$29*AO83)* (1-AO83)</f>
        <v>0.0</v>
      </c>
      <c r="AP102" s="38">
        <f>AO101*AP12*(1-'Inputs'!$E$29*AP83)* (1-AP83)</f>
        <v>0.0</v>
      </c>
      <c r="AQ102" s="38">
        <f>AP101*AQ12*(1-'Inputs'!$E$29*AQ83)* (1-AQ83)</f>
        <v>0.0</v>
      </c>
    </row>
    <row r="103" ht="28" customHeight="1">
      <c r="A103" s="2" t="str">
        <v>AT.U.PRO.Y2</v>
      </c>
      <c r="B103" s="6" t="str">
        <v>Austria: not yet identity-checked: Pro annual, plan month 3</v>
      </c>
      <c r="C103" s="2" t="str">
        <v>count</v>
      </c>
      <c r="D103" s="2" t="str">
        <v>NA</v>
      </c>
      <c r="E103" s="2"/>
      <c r="F103" s="6" t="str"/>
      <c r="G103" s="2"/>
      <c r="H103" s="38">
        <f>0*H12*(1-'Inputs'!$E$29*H83)* (1-H83)</f>
        <v>0.0</v>
      </c>
      <c r="I103" s="38">
        <f>H102*I12*(1-'Inputs'!$E$29*I83)* (1-I83)</f>
        <v>0.0</v>
      </c>
      <c r="J103" s="38">
        <f>I102*J12*(1-'Inputs'!$E$29*J83)* (1-J83)</f>
        <v>0.0036</v>
      </c>
      <c r="K103" s="38">
        <f>J102*K12*(1-'Inputs'!$E$29*K83)* (1-K83)</f>
        <v>0.00030360000000000006</v>
      </c>
      <c r="L103" s="38">
        <f>K102*L12*(1-'Inputs'!$E$29*L83)* (1-L83)</f>
        <v>0.0</v>
      </c>
      <c r="M103" s="38">
        <f>L102*M12*(1-'Inputs'!$E$29*M83)* (1-M83)</f>
        <v>0.0</v>
      </c>
      <c r="N103" s="38">
        <f>M102*N12*(1-'Inputs'!$E$29*N83)* (1-N83)</f>
        <v>0.0</v>
      </c>
      <c r="O103" s="38">
        <f>N102*O12*(1-'Inputs'!$E$29*O83)* (1-O83)</f>
        <v>0.0</v>
      </c>
      <c r="P103" s="38">
        <f>O102*P12*(1-'Inputs'!$E$29*P83)* (1-P83)</f>
        <v>0.0</v>
      </c>
      <c r="Q103" s="38">
        <f>P102*Q12*(1-'Inputs'!$E$29*Q83)* (1-Q83)</f>
        <v>0.0</v>
      </c>
      <c r="R103" s="38">
        <f>Q102*R12*(1-'Inputs'!$E$29*R83)* (1-R83)</f>
        <v>0.0</v>
      </c>
      <c r="S103" s="38">
        <f>R102*S12*(1-'Inputs'!$E$29*S83)* (1-S83)</f>
        <v>0.0</v>
      </c>
      <c r="T103" s="38">
        <f>S102*T12*(1-'Inputs'!$E$29*T83)* (1-T83)</f>
        <v>0.0</v>
      </c>
      <c r="U103" s="38">
        <f>T102*U12*(1-'Inputs'!$E$29*U83)* (1-U83)</f>
        <v>0.0</v>
      </c>
      <c r="V103" s="38">
        <f>U102*V12*(1-'Inputs'!$E$29*V83)* (1-V83)</f>
        <v>0.0</v>
      </c>
      <c r="W103" s="38">
        <f>V102*W12*(1-'Inputs'!$E$29*W83)* (1-W83)</f>
        <v>0.0</v>
      </c>
      <c r="X103" s="38">
        <f>W102*X12*(1-'Inputs'!$E$29*X83)* (1-X83)</f>
        <v>0.0</v>
      </c>
      <c r="Y103" s="38">
        <f>X102*Y12*(1-'Inputs'!$E$29*Y83)* (1-Y83)</f>
        <v>0.0</v>
      </c>
      <c r="Z103" s="38">
        <f>Y102*Z12*(1-'Inputs'!$E$29*Z83)* (1-Z83)</f>
        <v>0.0</v>
      </c>
      <c r="AA103" s="38">
        <f>Z102*AA12*(1-'Inputs'!$E$29*AA83)* (1-AA83)</f>
        <v>0.0</v>
      </c>
      <c r="AB103" s="38">
        <f>AA102*AB12*(1-'Inputs'!$E$29*AB83)* (1-AB83)</f>
        <v>0.0</v>
      </c>
      <c r="AC103" s="38">
        <f>AB102*AC12*(1-'Inputs'!$E$29*AC83)* (1-AC83)</f>
        <v>0.0</v>
      </c>
      <c r="AD103" s="38">
        <f>AC102*AD12*(1-'Inputs'!$E$29*AD83)* (1-AD83)</f>
        <v>0.0</v>
      </c>
      <c r="AE103" s="38">
        <f>AD102*AE12*(1-'Inputs'!$E$29*AE83)* (1-AE83)</f>
        <v>0.0</v>
      </c>
      <c r="AF103" s="38">
        <f>AE102*AF12*(1-'Inputs'!$E$29*AF83)* (1-AF83)</f>
        <v>0.0</v>
      </c>
      <c r="AG103" s="38">
        <f>AF102*AG12*(1-'Inputs'!$E$29*AG83)* (1-AG83)</f>
        <v>0.0</v>
      </c>
      <c r="AH103" s="38">
        <f>AG102*AH12*(1-'Inputs'!$E$29*AH83)* (1-AH83)</f>
        <v>0.0</v>
      </c>
      <c r="AI103" s="38">
        <f>AH102*AI12*(1-'Inputs'!$E$29*AI83)* (1-AI83)</f>
        <v>0.0</v>
      </c>
      <c r="AJ103" s="38">
        <f>AI102*AJ12*(1-'Inputs'!$E$29*AJ83)* (1-AJ83)</f>
        <v>0.0</v>
      </c>
      <c r="AK103" s="38">
        <f>AJ102*AK12*(1-'Inputs'!$E$29*AK83)* (1-AK83)</f>
        <v>0.0</v>
      </c>
      <c r="AL103" s="38">
        <f>AK102*AL12*(1-'Inputs'!$E$29*AL83)* (1-AL83)</f>
        <v>0.0</v>
      </c>
      <c r="AM103" s="38">
        <f>AL102*AM12*(1-'Inputs'!$E$29*AM83)* (1-AM83)</f>
        <v>0.0</v>
      </c>
      <c r="AN103" s="38">
        <f>AM102*AN12*(1-'Inputs'!$E$29*AN83)* (1-AN83)</f>
        <v>0.0</v>
      </c>
      <c r="AO103" s="38">
        <f>AN102*AO12*(1-'Inputs'!$E$29*AO83)* (1-AO83)</f>
        <v>0.0</v>
      </c>
      <c r="AP103" s="38">
        <f>AO102*AP12*(1-'Inputs'!$E$29*AP83)* (1-AP83)</f>
        <v>0.0</v>
      </c>
      <c r="AQ103" s="38">
        <f>AP102*AQ12*(1-'Inputs'!$E$29*AQ83)* (1-AQ83)</f>
        <v>0.0</v>
      </c>
    </row>
    <row r="104" ht="28" customHeight="1">
      <c r="A104" s="2" t="str">
        <v>AT.U.PRO.Y3</v>
      </c>
      <c r="B104" s="6" t="str">
        <v>Austria: not yet identity-checked: Pro annual, plan month 4</v>
      </c>
      <c r="C104" s="2" t="str">
        <v>count</v>
      </c>
      <c r="D104" s="2" t="str">
        <v>NA</v>
      </c>
      <c r="E104" s="2"/>
      <c r="F104" s="6" t="str"/>
      <c r="G104" s="2"/>
      <c r="H104" s="38">
        <f>0*H12*(1-'Inputs'!$E$29*H83)* (1-H83)</f>
        <v>0.0</v>
      </c>
      <c r="I104" s="38">
        <f>H103*I12*(1-'Inputs'!$E$29*I83)* (1-I83)</f>
        <v>0.0</v>
      </c>
      <c r="J104" s="38">
        <f>I103*J12*(1-'Inputs'!$E$29*J83)* (1-J83)</f>
        <v>0.0</v>
      </c>
      <c r="K104" s="38">
        <f>J103*K12*(1-'Inputs'!$E$29*K83)* (1-K83)</f>
        <v>0.0033</v>
      </c>
      <c r="L104" s="38">
        <f>K103*L12*(1-'Inputs'!$E$29*L83)* (1-L83)</f>
        <v>0.0</v>
      </c>
      <c r="M104" s="38">
        <f>L103*M12*(1-'Inputs'!$E$29*M83)* (1-M83)</f>
        <v>0.0</v>
      </c>
      <c r="N104" s="38">
        <f>M103*N12*(1-'Inputs'!$E$29*N83)* (1-N83)</f>
        <v>0.0</v>
      </c>
      <c r="O104" s="38">
        <f>N103*O12*(1-'Inputs'!$E$29*O83)* (1-O83)</f>
        <v>0.0</v>
      </c>
      <c r="P104" s="38">
        <f>O103*P12*(1-'Inputs'!$E$29*P83)* (1-P83)</f>
        <v>0.0</v>
      </c>
      <c r="Q104" s="38">
        <f>P103*Q12*(1-'Inputs'!$E$29*Q83)* (1-Q83)</f>
        <v>0.0</v>
      </c>
      <c r="R104" s="38">
        <f>Q103*R12*(1-'Inputs'!$E$29*R83)* (1-R83)</f>
        <v>0.0</v>
      </c>
      <c r="S104" s="38">
        <f>R103*S12*(1-'Inputs'!$E$29*S83)* (1-S83)</f>
        <v>0.0</v>
      </c>
      <c r="T104" s="38">
        <f>S103*T12*(1-'Inputs'!$E$29*T83)* (1-T83)</f>
        <v>0.0</v>
      </c>
      <c r="U104" s="38">
        <f>T103*U12*(1-'Inputs'!$E$29*U83)* (1-U83)</f>
        <v>0.0</v>
      </c>
      <c r="V104" s="38">
        <f>U103*V12*(1-'Inputs'!$E$29*V83)* (1-V83)</f>
        <v>0.0</v>
      </c>
      <c r="W104" s="38">
        <f>V103*W12*(1-'Inputs'!$E$29*W83)* (1-W83)</f>
        <v>0.0</v>
      </c>
      <c r="X104" s="38">
        <f>W103*X12*(1-'Inputs'!$E$29*X83)* (1-X83)</f>
        <v>0.0</v>
      </c>
      <c r="Y104" s="38">
        <f>X103*Y12*(1-'Inputs'!$E$29*Y83)* (1-Y83)</f>
        <v>0.0</v>
      </c>
      <c r="Z104" s="38">
        <f>Y103*Z12*(1-'Inputs'!$E$29*Z83)* (1-Z83)</f>
        <v>0.0</v>
      </c>
      <c r="AA104" s="38">
        <f>Z103*AA12*(1-'Inputs'!$E$29*AA83)* (1-AA83)</f>
        <v>0.0</v>
      </c>
      <c r="AB104" s="38">
        <f>AA103*AB12*(1-'Inputs'!$E$29*AB83)* (1-AB83)</f>
        <v>0.0</v>
      </c>
      <c r="AC104" s="38">
        <f>AB103*AC12*(1-'Inputs'!$E$29*AC83)* (1-AC83)</f>
        <v>0.0</v>
      </c>
      <c r="AD104" s="38">
        <f>AC103*AD12*(1-'Inputs'!$E$29*AD83)* (1-AD83)</f>
        <v>0.0</v>
      </c>
      <c r="AE104" s="38">
        <f>AD103*AE12*(1-'Inputs'!$E$29*AE83)* (1-AE83)</f>
        <v>0.0</v>
      </c>
      <c r="AF104" s="38">
        <f>AE103*AF12*(1-'Inputs'!$E$29*AF83)* (1-AF83)</f>
        <v>0.0</v>
      </c>
      <c r="AG104" s="38">
        <f>AF103*AG12*(1-'Inputs'!$E$29*AG83)* (1-AG83)</f>
        <v>0.0</v>
      </c>
      <c r="AH104" s="38">
        <f>AG103*AH12*(1-'Inputs'!$E$29*AH83)* (1-AH83)</f>
        <v>0.0</v>
      </c>
      <c r="AI104" s="38">
        <f>AH103*AI12*(1-'Inputs'!$E$29*AI83)* (1-AI83)</f>
        <v>0.0</v>
      </c>
      <c r="AJ104" s="38">
        <f>AI103*AJ12*(1-'Inputs'!$E$29*AJ83)* (1-AJ83)</f>
        <v>0.0</v>
      </c>
      <c r="AK104" s="38">
        <f>AJ103*AK12*(1-'Inputs'!$E$29*AK83)* (1-AK83)</f>
        <v>0.0</v>
      </c>
      <c r="AL104" s="38">
        <f>AK103*AL12*(1-'Inputs'!$E$29*AL83)* (1-AL83)</f>
        <v>0.0</v>
      </c>
      <c r="AM104" s="38">
        <f>AL103*AM12*(1-'Inputs'!$E$29*AM83)* (1-AM83)</f>
        <v>0.0</v>
      </c>
      <c r="AN104" s="38">
        <f>AM103*AN12*(1-'Inputs'!$E$29*AN83)* (1-AN83)</f>
        <v>0.0</v>
      </c>
      <c r="AO104" s="38">
        <f>AN103*AO12*(1-'Inputs'!$E$29*AO83)* (1-AO83)</f>
        <v>0.0</v>
      </c>
      <c r="AP104" s="38">
        <f>AO103*AP12*(1-'Inputs'!$E$29*AP83)* (1-AP83)</f>
        <v>0.0</v>
      </c>
      <c r="AQ104" s="38">
        <f>AP103*AQ12*(1-'Inputs'!$E$29*AQ83)* (1-AQ83)</f>
        <v>0.0</v>
      </c>
    </row>
    <row r="105" ht="28" customHeight="1">
      <c r="A105" s="2" t="str">
        <v>AT.U.PRO.Y4</v>
      </c>
      <c r="B105" s="6" t="str">
        <v>Austria: not yet identity-checked: Pro annual, plan month 5</v>
      </c>
      <c r="C105" s="2" t="str">
        <v>count</v>
      </c>
      <c r="D105" s="2" t="str">
        <v>NA</v>
      </c>
      <c r="E105" s="2"/>
      <c r="F105" s="6" t="str"/>
      <c r="G105" s="2"/>
      <c r="H105" s="38">
        <f>0*H12*(1-'Inputs'!$E$29*H83)* (1-H83)</f>
        <v>0.0</v>
      </c>
      <c r="I105" s="38">
        <f>H104*I12*(1-'Inputs'!$E$29*I83)* (1-I83)</f>
        <v>0.0</v>
      </c>
      <c r="J105" s="38">
        <f>I104*J12*(1-'Inputs'!$E$29*J83)* (1-J83)</f>
        <v>0.0</v>
      </c>
      <c r="K105" s="38">
        <f>J104*K12*(1-'Inputs'!$E$29*K83)* (1-K83)</f>
        <v>0.0</v>
      </c>
      <c r="L105" s="38">
        <f>K104*L12*(1-'Inputs'!$E$29*L83)* (1-L83)</f>
        <v>0.0</v>
      </c>
      <c r="M105" s="38">
        <f>L104*M12*(1-'Inputs'!$E$29*M83)* (1-M83)</f>
        <v>0.0</v>
      </c>
      <c r="N105" s="38">
        <f>M104*N12*(1-'Inputs'!$E$29*N83)* (1-N83)</f>
        <v>0.0</v>
      </c>
      <c r="O105" s="38">
        <f>N104*O12*(1-'Inputs'!$E$29*O83)* (1-O83)</f>
        <v>0.0</v>
      </c>
      <c r="P105" s="38">
        <f>O104*P12*(1-'Inputs'!$E$29*P83)* (1-P83)</f>
        <v>0.0</v>
      </c>
      <c r="Q105" s="38">
        <f>P104*Q12*(1-'Inputs'!$E$29*Q83)* (1-Q83)</f>
        <v>0.0</v>
      </c>
      <c r="R105" s="38">
        <f>Q104*R12*(1-'Inputs'!$E$29*R83)* (1-R83)</f>
        <v>0.0</v>
      </c>
      <c r="S105" s="38">
        <f>R104*S12*(1-'Inputs'!$E$29*S83)* (1-S83)</f>
        <v>0.0</v>
      </c>
      <c r="T105" s="38">
        <f>S104*T12*(1-'Inputs'!$E$29*T83)* (1-T83)</f>
        <v>0.0</v>
      </c>
      <c r="U105" s="38">
        <f>T104*U12*(1-'Inputs'!$E$29*U83)* (1-U83)</f>
        <v>0.0</v>
      </c>
      <c r="V105" s="38">
        <f>U104*V12*(1-'Inputs'!$E$29*V83)* (1-V83)</f>
        <v>0.0</v>
      </c>
      <c r="W105" s="38">
        <f>V104*W12*(1-'Inputs'!$E$29*W83)* (1-W83)</f>
        <v>0.0</v>
      </c>
      <c r="X105" s="38">
        <f>W104*X12*(1-'Inputs'!$E$29*X83)* (1-X83)</f>
        <v>0.0</v>
      </c>
      <c r="Y105" s="38">
        <f>X104*Y12*(1-'Inputs'!$E$29*Y83)* (1-Y83)</f>
        <v>0.0</v>
      </c>
      <c r="Z105" s="38">
        <f>Y104*Z12*(1-'Inputs'!$E$29*Z83)* (1-Z83)</f>
        <v>0.0</v>
      </c>
      <c r="AA105" s="38">
        <f>Z104*AA12*(1-'Inputs'!$E$29*AA83)* (1-AA83)</f>
        <v>0.0</v>
      </c>
      <c r="AB105" s="38">
        <f>AA104*AB12*(1-'Inputs'!$E$29*AB83)* (1-AB83)</f>
        <v>0.0</v>
      </c>
      <c r="AC105" s="38">
        <f>AB104*AC12*(1-'Inputs'!$E$29*AC83)* (1-AC83)</f>
        <v>0.0</v>
      </c>
      <c r="AD105" s="38">
        <f>AC104*AD12*(1-'Inputs'!$E$29*AD83)* (1-AD83)</f>
        <v>0.0</v>
      </c>
      <c r="AE105" s="38">
        <f>AD104*AE12*(1-'Inputs'!$E$29*AE83)* (1-AE83)</f>
        <v>0.0</v>
      </c>
      <c r="AF105" s="38">
        <f>AE104*AF12*(1-'Inputs'!$E$29*AF83)* (1-AF83)</f>
        <v>0.0</v>
      </c>
      <c r="AG105" s="38">
        <f>AF104*AG12*(1-'Inputs'!$E$29*AG83)* (1-AG83)</f>
        <v>0.0</v>
      </c>
      <c r="AH105" s="38">
        <f>AG104*AH12*(1-'Inputs'!$E$29*AH83)* (1-AH83)</f>
        <v>0.0</v>
      </c>
      <c r="AI105" s="38">
        <f>AH104*AI12*(1-'Inputs'!$E$29*AI83)* (1-AI83)</f>
        <v>0.0</v>
      </c>
      <c r="AJ105" s="38">
        <f>AI104*AJ12*(1-'Inputs'!$E$29*AJ83)* (1-AJ83)</f>
        <v>0.0</v>
      </c>
      <c r="AK105" s="38">
        <f>AJ104*AK12*(1-'Inputs'!$E$29*AK83)* (1-AK83)</f>
        <v>0.0</v>
      </c>
      <c r="AL105" s="38">
        <f>AK104*AL12*(1-'Inputs'!$E$29*AL83)* (1-AL83)</f>
        <v>0.0</v>
      </c>
      <c r="AM105" s="38">
        <f>AL104*AM12*(1-'Inputs'!$E$29*AM83)* (1-AM83)</f>
        <v>0.0</v>
      </c>
      <c r="AN105" s="38">
        <f>AM104*AN12*(1-'Inputs'!$E$29*AN83)* (1-AN83)</f>
        <v>0.0</v>
      </c>
      <c r="AO105" s="38">
        <f>AN104*AO12*(1-'Inputs'!$E$29*AO83)* (1-AO83)</f>
        <v>0.0</v>
      </c>
      <c r="AP105" s="38">
        <f>AO104*AP12*(1-'Inputs'!$E$29*AP83)* (1-AP83)</f>
        <v>0.0</v>
      </c>
      <c r="AQ105" s="38">
        <f>AP104*AQ12*(1-'Inputs'!$E$29*AQ83)* (1-AQ83)</f>
        <v>0.0</v>
      </c>
    </row>
    <row r="106" ht="28" customHeight="1">
      <c r="A106" s="2" t="str">
        <v>AT.U.PRO.Y5</v>
      </c>
      <c r="B106" s="6" t="str">
        <v>Austria: not yet identity-checked: Pro annual, plan month 6</v>
      </c>
      <c r="C106" s="2" t="str">
        <v>count</v>
      </c>
      <c r="D106" s="2" t="str">
        <v>NA</v>
      </c>
      <c r="E106" s="2"/>
      <c r="F106" s="6" t="str"/>
      <c r="G106" s="2"/>
      <c r="H106" s="38">
        <f>0*H12*(1-'Inputs'!$E$29*H83)* (1-H83)</f>
        <v>0.0</v>
      </c>
      <c r="I106" s="38">
        <f>H105*I12*(1-'Inputs'!$E$29*I83)* (1-I83)</f>
        <v>0.0</v>
      </c>
      <c r="J106" s="38">
        <f>I105*J12*(1-'Inputs'!$E$29*J83)* (1-J83)</f>
        <v>0.0</v>
      </c>
      <c r="K106" s="38">
        <f>J105*K12*(1-'Inputs'!$E$29*K83)* (1-K83)</f>
        <v>0.0</v>
      </c>
      <c r="L106" s="38">
        <f>K105*L12*(1-'Inputs'!$E$29*L83)* (1-L83)</f>
        <v>0.0</v>
      </c>
      <c r="M106" s="38">
        <f>L105*M12*(1-'Inputs'!$E$29*M83)* (1-M83)</f>
        <v>0.0</v>
      </c>
      <c r="N106" s="38">
        <f>M105*N12*(1-'Inputs'!$E$29*N83)* (1-N83)</f>
        <v>0.0</v>
      </c>
      <c r="O106" s="38">
        <f>N105*O12*(1-'Inputs'!$E$29*O83)* (1-O83)</f>
        <v>0.0</v>
      </c>
      <c r="P106" s="38">
        <f>O105*P12*(1-'Inputs'!$E$29*P83)* (1-P83)</f>
        <v>0.0</v>
      </c>
      <c r="Q106" s="38">
        <f>P105*Q12*(1-'Inputs'!$E$29*Q83)* (1-Q83)</f>
        <v>0.0</v>
      </c>
      <c r="R106" s="38">
        <f>Q105*R12*(1-'Inputs'!$E$29*R83)* (1-R83)</f>
        <v>0.0</v>
      </c>
      <c r="S106" s="38">
        <f>R105*S12*(1-'Inputs'!$E$29*S83)* (1-S83)</f>
        <v>0.0</v>
      </c>
      <c r="T106" s="38">
        <f>S105*T12*(1-'Inputs'!$E$29*T83)* (1-T83)</f>
        <v>0.0</v>
      </c>
      <c r="U106" s="38">
        <f>T105*U12*(1-'Inputs'!$E$29*U83)* (1-U83)</f>
        <v>0.0</v>
      </c>
      <c r="V106" s="38">
        <f>U105*V12*(1-'Inputs'!$E$29*V83)* (1-V83)</f>
        <v>0.0</v>
      </c>
      <c r="W106" s="38">
        <f>V105*W12*(1-'Inputs'!$E$29*W83)* (1-W83)</f>
        <v>0.0</v>
      </c>
      <c r="X106" s="38">
        <f>W105*X12*(1-'Inputs'!$E$29*X83)* (1-X83)</f>
        <v>0.0</v>
      </c>
      <c r="Y106" s="38">
        <f>X105*Y12*(1-'Inputs'!$E$29*Y83)* (1-Y83)</f>
        <v>0.0</v>
      </c>
      <c r="Z106" s="38">
        <f>Y105*Z12*(1-'Inputs'!$E$29*Z83)* (1-Z83)</f>
        <v>0.0</v>
      </c>
      <c r="AA106" s="38">
        <f>Z105*AA12*(1-'Inputs'!$E$29*AA83)* (1-AA83)</f>
        <v>0.0</v>
      </c>
      <c r="AB106" s="38">
        <f>AA105*AB12*(1-'Inputs'!$E$29*AB83)* (1-AB83)</f>
        <v>0.0</v>
      </c>
      <c r="AC106" s="38">
        <f>AB105*AC12*(1-'Inputs'!$E$29*AC83)* (1-AC83)</f>
        <v>0.0</v>
      </c>
      <c r="AD106" s="38">
        <f>AC105*AD12*(1-'Inputs'!$E$29*AD83)* (1-AD83)</f>
        <v>0.0</v>
      </c>
      <c r="AE106" s="38">
        <f>AD105*AE12*(1-'Inputs'!$E$29*AE83)* (1-AE83)</f>
        <v>0.0</v>
      </c>
      <c r="AF106" s="38">
        <f>AE105*AF12*(1-'Inputs'!$E$29*AF83)* (1-AF83)</f>
        <v>0.0</v>
      </c>
      <c r="AG106" s="38">
        <f>AF105*AG12*(1-'Inputs'!$E$29*AG83)* (1-AG83)</f>
        <v>0.0</v>
      </c>
      <c r="AH106" s="38">
        <f>AG105*AH12*(1-'Inputs'!$E$29*AH83)* (1-AH83)</f>
        <v>0.0</v>
      </c>
      <c r="AI106" s="38">
        <f>AH105*AI12*(1-'Inputs'!$E$29*AI83)* (1-AI83)</f>
        <v>0.0</v>
      </c>
      <c r="AJ106" s="38">
        <f>AI105*AJ12*(1-'Inputs'!$E$29*AJ83)* (1-AJ83)</f>
        <v>0.0</v>
      </c>
      <c r="AK106" s="38">
        <f>AJ105*AK12*(1-'Inputs'!$E$29*AK83)* (1-AK83)</f>
        <v>0.0</v>
      </c>
      <c r="AL106" s="38">
        <f>AK105*AL12*(1-'Inputs'!$E$29*AL83)* (1-AL83)</f>
        <v>0.0</v>
      </c>
      <c r="AM106" s="38">
        <f>AL105*AM12*(1-'Inputs'!$E$29*AM83)* (1-AM83)</f>
        <v>0.0</v>
      </c>
      <c r="AN106" s="38">
        <f>AM105*AN12*(1-'Inputs'!$E$29*AN83)* (1-AN83)</f>
        <v>0.0</v>
      </c>
      <c r="AO106" s="38">
        <f>AN105*AO12*(1-'Inputs'!$E$29*AO83)* (1-AO83)</f>
        <v>0.0</v>
      </c>
      <c r="AP106" s="38">
        <f>AO105*AP12*(1-'Inputs'!$E$29*AP83)* (1-AP83)</f>
        <v>0.0</v>
      </c>
      <c r="AQ106" s="38">
        <f>AP105*AQ12*(1-'Inputs'!$E$29*AQ83)* (1-AQ83)</f>
        <v>0.0</v>
      </c>
    </row>
    <row r="107" ht="28" customHeight="1">
      <c r="A107" s="2" t="str">
        <v>AT.U.PRO.Y6</v>
      </c>
      <c r="B107" s="6" t="str">
        <v>Austria: not yet identity-checked: Pro annual, plan month 7</v>
      </c>
      <c r="C107" s="2" t="str">
        <v>count</v>
      </c>
      <c r="D107" s="2" t="str">
        <v>NA</v>
      </c>
      <c r="E107" s="2"/>
      <c r="F107" s="6" t="str"/>
      <c r="G107" s="2"/>
      <c r="H107" s="38">
        <f>0*H12*(1-'Inputs'!$E$29*H83)* (1-H83)</f>
        <v>0.0</v>
      </c>
      <c r="I107" s="38">
        <f>H106*I12*(1-'Inputs'!$E$29*I83)* (1-I83)</f>
        <v>0.0</v>
      </c>
      <c r="J107" s="38">
        <f>I106*J12*(1-'Inputs'!$E$29*J83)* (1-J83)</f>
        <v>0.0</v>
      </c>
      <c r="K107" s="38">
        <f>J106*K12*(1-'Inputs'!$E$29*K83)* (1-K83)</f>
        <v>0.0</v>
      </c>
      <c r="L107" s="38">
        <f>K106*L12*(1-'Inputs'!$E$29*L83)* (1-L83)</f>
        <v>0.0</v>
      </c>
      <c r="M107" s="38">
        <f>L106*M12*(1-'Inputs'!$E$29*M83)* (1-M83)</f>
        <v>0.0</v>
      </c>
      <c r="N107" s="38">
        <f>M106*N12*(1-'Inputs'!$E$29*N83)* (1-N83)</f>
        <v>0.0</v>
      </c>
      <c r="O107" s="38">
        <f>N106*O12*(1-'Inputs'!$E$29*O83)* (1-O83)</f>
        <v>0.0</v>
      </c>
      <c r="P107" s="38">
        <f>O106*P12*(1-'Inputs'!$E$29*P83)* (1-P83)</f>
        <v>0.0</v>
      </c>
      <c r="Q107" s="38">
        <f>P106*Q12*(1-'Inputs'!$E$29*Q83)* (1-Q83)</f>
        <v>0.0</v>
      </c>
      <c r="R107" s="38">
        <f>Q106*R12*(1-'Inputs'!$E$29*R83)* (1-R83)</f>
        <v>0.0</v>
      </c>
      <c r="S107" s="38">
        <f>R106*S12*(1-'Inputs'!$E$29*S83)* (1-S83)</f>
        <v>0.0</v>
      </c>
      <c r="T107" s="38">
        <f>S106*T12*(1-'Inputs'!$E$29*T83)* (1-T83)</f>
        <v>0.0</v>
      </c>
      <c r="U107" s="38">
        <f>T106*U12*(1-'Inputs'!$E$29*U83)* (1-U83)</f>
        <v>0.0</v>
      </c>
      <c r="V107" s="38">
        <f>U106*V12*(1-'Inputs'!$E$29*V83)* (1-V83)</f>
        <v>0.0</v>
      </c>
      <c r="W107" s="38">
        <f>V106*W12*(1-'Inputs'!$E$29*W83)* (1-W83)</f>
        <v>0.0</v>
      </c>
      <c r="X107" s="38">
        <f>W106*X12*(1-'Inputs'!$E$29*X83)* (1-X83)</f>
        <v>0.0</v>
      </c>
      <c r="Y107" s="38">
        <f>X106*Y12*(1-'Inputs'!$E$29*Y83)* (1-Y83)</f>
        <v>0.0</v>
      </c>
      <c r="Z107" s="38">
        <f>Y106*Z12*(1-'Inputs'!$E$29*Z83)* (1-Z83)</f>
        <v>0.0</v>
      </c>
      <c r="AA107" s="38">
        <f>Z106*AA12*(1-'Inputs'!$E$29*AA83)* (1-AA83)</f>
        <v>0.0</v>
      </c>
      <c r="AB107" s="38">
        <f>AA106*AB12*(1-'Inputs'!$E$29*AB83)* (1-AB83)</f>
        <v>0.0</v>
      </c>
      <c r="AC107" s="38">
        <f>AB106*AC12*(1-'Inputs'!$E$29*AC83)* (1-AC83)</f>
        <v>0.0</v>
      </c>
      <c r="AD107" s="38">
        <f>AC106*AD12*(1-'Inputs'!$E$29*AD83)* (1-AD83)</f>
        <v>0.0</v>
      </c>
      <c r="AE107" s="38">
        <f>AD106*AE12*(1-'Inputs'!$E$29*AE83)* (1-AE83)</f>
        <v>0.0</v>
      </c>
      <c r="AF107" s="38">
        <f>AE106*AF12*(1-'Inputs'!$E$29*AF83)* (1-AF83)</f>
        <v>0.0</v>
      </c>
      <c r="AG107" s="38">
        <f>AF106*AG12*(1-'Inputs'!$E$29*AG83)* (1-AG83)</f>
        <v>0.0</v>
      </c>
      <c r="AH107" s="38">
        <f>AG106*AH12*(1-'Inputs'!$E$29*AH83)* (1-AH83)</f>
        <v>0.0</v>
      </c>
      <c r="AI107" s="38">
        <f>AH106*AI12*(1-'Inputs'!$E$29*AI83)* (1-AI83)</f>
        <v>0.0</v>
      </c>
      <c r="AJ107" s="38">
        <f>AI106*AJ12*(1-'Inputs'!$E$29*AJ83)* (1-AJ83)</f>
        <v>0.0</v>
      </c>
      <c r="AK107" s="38">
        <f>AJ106*AK12*(1-'Inputs'!$E$29*AK83)* (1-AK83)</f>
        <v>0.0</v>
      </c>
      <c r="AL107" s="38">
        <f>AK106*AL12*(1-'Inputs'!$E$29*AL83)* (1-AL83)</f>
        <v>0.0</v>
      </c>
      <c r="AM107" s="38">
        <f>AL106*AM12*(1-'Inputs'!$E$29*AM83)* (1-AM83)</f>
        <v>0.0</v>
      </c>
      <c r="AN107" s="38">
        <f>AM106*AN12*(1-'Inputs'!$E$29*AN83)* (1-AN83)</f>
        <v>0.0</v>
      </c>
      <c r="AO107" s="38">
        <f>AN106*AO12*(1-'Inputs'!$E$29*AO83)* (1-AO83)</f>
        <v>0.0</v>
      </c>
      <c r="AP107" s="38">
        <f>AO106*AP12*(1-'Inputs'!$E$29*AP83)* (1-AP83)</f>
        <v>0.0</v>
      </c>
      <c r="AQ107" s="38">
        <f>AP106*AQ12*(1-'Inputs'!$E$29*AQ83)* (1-AQ83)</f>
        <v>0.0</v>
      </c>
    </row>
    <row r="108" ht="28" customHeight="1">
      <c r="A108" s="2" t="str">
        <v>AT.U.PRO.Y7</v>
      </c>
      <c r="B108" s="6" t="str">
        <v>Austria: not yet identity-checked: Pro annual, plan month 8</v>
      </c>
      <c r="C108" s="2" t="str">
        <v>count</v>
      </c>
      <c r="D108" s="2" t="str">
        <v>NA</v>
      </c>
      <c r="E108" s="2"/>
      <c r="F108" s="6" t="str"/>
      <c r="G108" s="2"/>
      <c r="H108" s="38">
        <f>0*H12*(1-'Inputs'!$E$29*H83)* (1-H83)</f>
        <v>0.0</v>
      </c>
      <c r="I108" s="38">
        <f>H107*I12*(1-'Inputs'!$E$29*I83)* (1-I83)</f>
        <v>0.0</v>
      </c>
      <c r="J108" s="38">
        <f>I107*J12*(1-'Inputs'!$E$29*J83)* (1-J83)</f>
        <v>0.0</v>
      </c>
      <c r="K108" s="38">
        <f>J107*K12*(1-'Inputs'!$E$29*K83)* (1-K83)</f>
        <v>0.0</v>
      </c>
      <c r="L108" s="38">
        <f>K107*L12*(1-'Inputs'!$E$29*L83)* (1-L83)</f>
        <v>0.0</v>
      </c>
      <c r="M108" s="38">
        <f>L107*M12*(1-'Inputs'!$E$29*M83)* (1-M83)</f>
        <v>0.0</v>
      </c>
      <c r="N108" s="38">
        <f>M107*N12*(1-'Inputs'!$E$29*N83)* (1-N83)</f>
        <v>0.0</v>
      </c>
      <c r="O108" s="38">
        <f>N107*O12*(1-'Inputs'!$E$29*O83)* (1-O83)</f>
        <v>0.0</v>
      </c>
      <c r="P108" s="38">
        <f>O107*P12*(1-'Inputs'!$E$29*P83)* (1-P83)</f>
        <v>0.0</v>
      </c>
      <c r="Q108" s="38">
        <f>P107*Q12*(1-'Inputs'!$E$29*Q83)* (1-Q83)</f>
        <v>0.0</v>
      </c>
      <c r="R108" s="38">
        <f>Q107*R12*(1-'Inputs'!$E$29*R83)* (1-R83)</f>
        <v>0.0</v>
      </c>
      <c r="S108" s="38">
        <f>R107*S12*(1-'Inputs'!$E$29*S83)* (1-S83)</f>
        <v>0.0</v>
      </c>
      <c r="T108" s="38">
        <f>S107*T12*(1-'Inputs'!$E$29*T83)* (1-T83)</f>
        <v>0.0</v>
      </c>
      <c r="U108" s="38">
        <f>T107*U12*(1-'Inputs'!$E$29*U83)* (1-U83)</f>
        <v>0.0</v>
      </c>
      <c r="V108" s="38">
        <f>U107*V12*(1-'Inputs'!$E$29*V83)* (1-V83)</f>
        <v>0.0</v>
      </c>
      <c r="W108" s="38">
        <f>V107*W12*(1-'Inputs'!$E$29*W83)* (1-W83)</f>
        <v>0.0</v>
      </c>
      <c r="X108" s="38">
        <f>W107*X12*(1-'Inputs'!$E$29*X83)* (1-X83)</f>
        <v>0.0</v>
      </c>
      <c r="Y108" s="38">
        <f>X107*Y12*(1-'Inputs'!$E$29*Y83)* (1-Y83)</f>
        <v>0.0</v>
      </c>
      <c r="Z108" s="38">
        <f>Y107*Z12*(1-'Inputs'!$E$29*Z83)* (1-Z83)</f>
        <v>0.0</v>
      </c>
      <c r="AA108" s="38">
        <f>Z107*AA12*(1-'Inputs'!$E$29*AA83)* (1-AA83)</f>
        <v>0.0</v>
      </c>
      <c r="AB108" s="38">
        <f>AA107*AB12*(1-'Inputs'!$E$29*AB83)* (1-AB83)</f>
        <v>0.0</v>
      </c>
      <c r="AC108" s="38">
        <f>AB107*AC12*(1-'Inputs'!$E$29*AC83)* (1-AC83)</f>
        <v>0.0</v>
      </c>
      <c r="AD108" s="38">
        <f>AC107*AD12*(1-'Inputs'!$E$29*AD83)* (1-AD83)</f>
        <v>0.0</v>
      </c>
      <c r="AE108" s="38">
        <f>AD107*AE12*(1-'Inputs'!$E$29*AE83)* (1-AE83)</f>
        <v>0.0</v>
      </c>
      <c r="AF108" s="38">
        <f>AE107*AF12*(1-'Inputs'!$E$29*AF83)* (1-AF83)</f>
        <v>0.0</v>
      </c>
      <c r="AG108" s="38">
        <f>AF107*AG12*(1-'Inputs'!$E$29*AG83)* (1-AG83)</f>
        <v>0.0</v>
      </c>
      <c r="AH108" s="38">
        <f>AG107*AH12*(1-'Inputs'!$E$29*AH83)* (1-AH83)</f>
        <v>0.0</v>
      </c>
      <c r="AI108" s="38">
        <f>AH107*AI12*(1-'Inputs'!$E$29*AI83)* (1-AI83)</f>
        <v>0.0</v>
      </c>
      <c r="AJ108" s="38">
        <f>AI107*AJ12*(1-'Inputs'!$E$29*AJ83)* (1-AJ83)</f>
        <v>0.0</v>
      </c>
      <c r="AK108" s="38">
        <f>AJ107*AK12*(1-'Inputs'!$E$29*AK83)* (1-AK83)</f>
        <v>0.0</v>
      </c>
      <c r="AL108" s="38">
        <f>AK107*AL12*(1-'Inputs'!$E$29*AL83)* (1-AL83)</f>
        <v>0.0</v>
      </c>
      <c r="AM108" s="38">
        <f>AL107*AM12*(1-'Inputs'!$E$29*AM83)* (1-AM83)</f>
        <v>0.0</v>
      </c>
      <c r="AN108" s="38">
        <f>AM107*AN12*(1-'Inputs'!$E$29*AN83)* (1-AN83)</f>
        <v>0.0</v>
      </c>
      <c r="AO108" s="38">
        <f>AN107*AO12*(1-'Inputs'!$E$29*AO83)* (1-AO83)</f>
        <v>0.0</v>
      </c>
      <c r="AP108" s="38">
        <f>AO107*AP12*(1-'Inputs'!$E$29*AP83)* (1-AP83)</f>
        <v>0.0</v>
      </c>
      <c r="AQ108" s="38">
        <f>AP107*AQ12*(1-'Inputs'!$E$29*AQ83)* (1-AQ83)</f>
        <v>0.0</v>
      </c>
    </row>
    <row r="109" ht="28" customHeight="1">
      <c r="A109" s="2" t="str">
        <v>AT.U.PRO.Y8</v>
      </c>
      <c r="B109" s="6" t="str">
        <v>Austria: not yet identity-checked: Pro annual, plan month 9</v>
      </c>
      <c r="C109" s="2" t="str">
        <v>count</v>
      </c>
      <c r="D109" s="2" t="str">
        <v>NA</v>
      </c>
      <c r="E109" s="2"/>
      <c r="F109" s="6" t="str"/>
      <c r="G109" s="2"/>
      <c r="H109" s="38">
        <f>0*H12*(1-'Inputs'!$E$29*H83)* (1-H83)</f>
        <v>0.0</v>
      </c>
      <c r="I109" s="38">
        <f>H108*I12*(1-'Inputs'!$E$29*I83)* (1-I83)</f>
        <v>0.0</v>
      </c>
      <c r="J109" s="38">
        <f>I108*J12*(1-'Inputs'!$E$29*J83)* (1-J83)</f>
        <v>0.0</v>
      </c>
      <c r="K109" s="38">
        <f>J108*K12*(1-'Inputs'!$E$29*K83)* (1-K83)</f>
        <v>0.0</v>
      </c>
      <c r="L109" s="38">
        <f>K108*L12*(1-'Inputs'!$E$29*L83)* (1-L83)</f>
        <v>0.0</v>
      </c>
      <c r="M109" s="38">
        <f>L108*M12*(1-'Inputs'!$E$29*M83)* (1-M83)</f>
        <v>0.0</v>
      </c>
      <c r="N109" s="38">
        <f>M108*N12*(1-'Inputs'!$E$29*N83)* (1-N83)</f>
        <v>0.0</v>
      </c>
      <c r="O109" s="38">
        <f>N108*O12*(1-'Inputs'!$E$29*O83)* (1-O83)</f>
        <v>0.0</v>
      </c>
      <c r="P109" s="38">
        <f>O108*P12*(1-'Inputs'!$E$29*P83)* (1-P83)</f>
        <v>0.0</v>
      </c>
      <c r="Q109" s="38">
        <f>P108*Q12*(1-'Inputs'!$E$29*Q83)* (1-Q83)</f>
        <v>0.0</v>
      </c>
      <c r="R109" s="38">
        <f>Q108*R12*(1-'Inputs'!$E$29*R83)* (1-R83)</f>
        <v>0.0</v>
      </c>
      <c r="S109" s="38">
        <f>R108*S12*(1-'Inputs'!$E$29*S83)* (1-S83)</f>
        <v>0.0</v>
      </c>
      <c r="T109" s="38">
        <f>S108*T12*(1-'Inputs'!$E$29*T83)* (1-T83)</f>
        <v>0.0</v>
      </c>
      <c r="U109" s="38">
        <f>T108*U12*(1-'Inputs'!$E$29*U83)* (1-U83)</f>
        <v>0.0</v>
      </c>
      <c r="V109" s="38">
        <f>U108*V12*(1-'Inputs'!$E$29*V83)* (1-V83)</f>
        <v>0.0</v>
      </c>
      <c r="W109" s="38">
        <f>V108*W12*(1-'Inputs'!$E$29*W83)* (1-W83)</f>
        <v>0.0</v>
      </c>
      <c r="X109" s="38">
        <f>W108*X12*(1-'Inputs'!$E$29*X83)* (1-X83)</f>
        <v>0.0</v>
      </c>
      <c r="Y109" s="38">
        <f>X108*Y12*(1-'Inputs'!$E$29*Y83)* (1-Y83)</f>
        <v>0.0</v>
      </c>
      <c r="Z109" s="38">
        <f>Y108*Z12*(1-'Inputs'!$E$29*Z83)* (1-Z83)</f>
        <v>0.0</v>
      </c>
      <c r="AA109" s="38">
        <f>Z108*AA12*(1-'Inputs'!$E$29*AA83)* (1-AA83)</f>
        <v>0.0</v>
      </c>
      <c r="AB109" s="38">
        <f>AA108*AB12*(1-'Inputs'!$E$29*AB83)* (1-AB83)</f>
        <v>0.0</v>
      </c>
      <c r="AC109" s="38">
        <f>AB108*AC12*(1-'Inputs'!$E$29*AC83)* (1-AC83)</f>
        <v>0.0</v>
      </c>
      <c r="AD109" s="38">
        <f>AC108*AD12*(1-'Inputs'!$E$29*AD83)* (1-AD83)</f>
        <v>0.0</v>
      </c>
      <c r="AE109" s="38">
        <f>AD108*AE12*(1-'Inputs'!$E$29*AE83)* (1-AE83)</f>
        <v>0.0</v>
      </c>
      <c r="AF109" s="38">
        <f>AE108*AF12*(1-'Inputs'!$E$29*AF83)* (1-AF83)</f>
        <v>0.0</v>
      </c>
      <c r="AG109" s="38">
        <f>AF108*AG12*(1-'Inputs'!$E$29*AG83)* (1-AG83)</f>
        <v>0.0</v>
      </c>
      <c r="AH109" s="38">
        <f>AG108*AH12*(1-'Inputs'!$E$29*AH83)* (1-AH83)</f>
        <v>0.0</v>
      </c>
      <c r="AI109" s="38">
        <f>AH108*AI12*(1-'Inputs'!$E$29*AI83)* (1-AI83)</f>
        <v>0.0</v>
      </c>
      <c r="AJ109" s="38">
        <f>AI108*AJ12*(1-'Inputs'!$E$29*AJ83)* (1-AJ83)</f>
        <v>0.0</v>
      </c>
      <c r="AK109" s="38">
        <f>AJ108*AK12*(1-'Inputs'!$E$29*AK83)* (1-AK83)</f>
        <v>0.0</v>
      </c>
      <c r="AL109" s="38">
        <f>AK108*AL12*(1-'Inputs'!$E$29*AL83)* (1-AL83)</f>
        <v>0.0</v>
      </c>
      <c r="AM109" s="38">
        <f>AL108*AM12*(1-'Inputs'!$E$29*AM83)* (1-AM83)</f>
        <v>0.0</v>
      </c>
      <c r="AN109" s="38">
        <f>AM108*AN12*(1-'Inputs'!$E$29*AN83)* (1-AN83)</f>
        <v>0.0</v>
      </c>
      <c r="AO109" s="38">
        <f>AN108*AO12*(1-'Inputs'!$E$29*AO83)* (1-AO83)</f>
        <v>0.0</v>
      </c>
      <c r="AP109" s="38">
        <f>AO108*AP12*(1-'Inputs'!$E$29*AP83)* (1-AP83)</f>
        <v>0.0</v>
      </c>
      <c r="AQ109" s="38">
        <f>AP108*AQ12*(1-'Inputs'!$E$29*AQ83)* (1-AQ83)</f>
        <v>0.0</v>
      </c>
    </row>
    <row r="110" ht="28" customHeight="1">
      <c r="A110" s="2" t="str">
        <v>AT.U.PRO.Y9</v>
      </c>
      <c r="B110" s="6" t="str">
        <v>Austria: not yet identity-checked: Pro annual, plan month 10</v>
      </c>
      <c r="C110" s="2" t="str">
        <v>count</v>
      </c>
      <c r="D110" s="2" t="str">
        <v>NA</v>
      </c>
      <c r="E110" s="2"/>
      <c r="F110" s="6" t="str"/>
      <c r="G110" s="2"/>
      <c r="H110" s="38">
        <f>0*H12*(1-'Inputs'!$E$29*H83)* (1-H83)</f>
        <v>0.0</v>
      </c>
      <c r="I110" s="38">
        <f>H109*I12*(1-'Inputs'!$E$29*I83)* (1-I83)</f>
        <v>0.0</v>
      </c>
      <c r="J110" s="38">
        <f>I109*J12*(1-'Inputs'!$E$29*J83)* (1-J83)</f>
        <v>0.0</v>
      </c>
      <c r="K110" s="38">
        <f>J109*K12*(1-'Inputs'!$E$29*K83)* (1-K83)</f>
        <v>0.0</v>
      </c>
      <c r="L110" s="38">
        <f>K109*L12*(1-'Inputs'!$E$29*L83)* (1-L83)</f>
        <v>0.0</v>
      </c>
      <c r="M110" s="38">
        <f>L109*M12*(1-'Inputs'!$E$29*M83)* (1-M83)</f>
        <v>0.0</v>
      </c>
      <c r="N110" s="38">
        <f>M109*N12*(1-'Inputs'!$E$29*N83)* (1-N83)</f>
        <v>0.0</v>
      </c>
      <c r="O110" s="38">
        <f>N109*O12*(1-'Inputs'!$E$29*O83)* (1-O83)</f>
        <v>0.0</v>
      </c>
      <c r="P110" s="38">
        <f>O109*P12*(1-'Inputs'!$E$29*P83)* (1-P83)</f>
        <v>0.0</v>
      </c>
      <c r="Q110" s="38">
        <f>P109*Q12*(1-'Inputs'!$E$29*Q83)* (1-Q83)</f>
        <v>0.0</v>
      </c>
      <c r="R110" s="38">
        <f>Q109*R12*(1-'Inputs'!$E$29*R83)* (1-R83)</f>
        <v>0.0</v>
      </c>
      <c r="S110" s="38">
        <f>R109*S12*(1-'Inputs'!$E$29*S83)* (1-S83)</f>
        <v>0.0</v>
      </c>
      <c r="T110" s="38">
        <f>S109*T12*(1-'Inputs'!$E$29*T83)* (1-T83)</f>
        <v>0.0</v>
      </c>
      <c r="U110" s="38">
        <f>T109*U12*(1-'Inputs'!$E$29*U83)* (1-U83)</f>
        <v>0.0</v>
      </c>
      <c r="V110" s="38">
        <f>U109*V12*(1-'Inputs'!$E$29*V83)* (1-V83)</f>
        <v>0.0</v>
      </c>
      <c r="W110" s="38">
        <f>V109*W12*(1-'Inputs'!$E$29*W83)* (1-W83)</f>
        <v>0.0</v>
      </c>
      <c r="X110" s="38">
        <f>W109*X12*(1-'Inputs'!$E$29*X83)* (1-X83)</f>
        <v>0.0</v>
      </c>
      <c r="Y110" s="38">
        <f>X109*Y12*(1-'Inputs'!$E$29*Y83)* (1-Y83)</f>
        <v>0.0</v>
      </c>
      <c r="Z110" s="38">
        <f>Y109*Z12*(1-'Inputs'!$E$29*Z83)* (1-Z83)</f>
        <v>0.0</v>
      </c>
      <c r="AA110" s="38">
        <f>Z109*AA12*(1-'Inputs'!$E$29*AA83)* (1-AA83)</f>
        <v>0.0</v>
      </c>
      <c r="AB110" s="38">
        <f>AA109*AB12*(1-'Inputs'!$E$29*AB83)* (1-AB83)</f>
        <v>0.0</v>
      </c>
      <c r="AC110" s="38">
        <f>AB109*AC12*(1-'Inputs'!$E$29*AC83)* (1-AC83)</f>
        <v>0.0</v>
      </c>
      <c r="AD110" s="38">
        <f>AC109*AD12*(1-'Inputs'!$E$29*AD83)* (1-AD83)</f>
        <v>0.0</v>
      </c>
      <c r="AE110" s="38">
        <f>AD109*AE12*(1-'Inputs'!$E$29*AE83)* (1-AE83)</f>
        <v>0.0</v>
      </c>
      <c r="AF110" s="38">
        <f>AE109*AF12*(1-'Inputs'!$E$29*AF83)* (1-AF83)</f>
        <v>0.0</v>
      </c>
      <c r="AG110" s="38">
        <f>AF109*AG12*(1-'Inputs'!$E$29*AG83)* (1-AG83)</f>
        <v>0.0</v>
      </c>
      <c r="AH110" s="38">
        <f>AG109*AH12*(1-'Inputs'!$E$29*AH83)* (1-AH83)</f>
        <v>0.0</v>
      </c>
      <c r="AI110" s="38">
        <f>AH109*AI12*(1-'Inputs'!$E$29*AI83)* (1-AI83)</f>
        <v>0.0</v>
      </c>
      <c r="AJ110" s="38">
        <f>AI109*AJ12*(1-'Inputs'!$E$29*AJ83)* (1-AJ83)</f>
        <v>0.0</v>
      </c>
      <c r="AK110" s="38">
        <f>AJ109*AK12*(1-'Inputs'!$E$29*AK83)* (1-AK83)</f>
        <v>0.0</v>
      </c>
      <c r="AL110" s="38">
        <f>AK109*AL12*(1-'Inputs'!$E$29*AL83)* (1-AL83)</f>
        <v>0.0</v>
      </c>
      <c r="AM110" s="38">
        <f>AL109*AM12*(1-'Inputs'!$E$29*AM83)* (1-AM83)</f>
        <v>0.0</v>
      </c>
      <c r="AN110" s="38">
        <f>AM109*AN12*(1-'Inputs'!$E$29*AN83)* (1-AN83)</f>
        <v>0.0</v>
      </c>
      <c r="AO110" s="38">
        <f>AN109*AO12*(1-'Inputs'!$E$29*AO83)* (1-AO83)</f>
        <v>0.0</v>
      </c>
      <c r="AP110" s="38">
        <f>AO109*AP12*(1-'Inputs'!$E$29*AP83)* (1-AP83)</f>
        <v>0.0</v>
      </c>
      <c r="AQ110" s="38">
        <f>AP109*AQ12*(1-'Inputs'!$E$29*AQ83)* (1-AQ83)</f>
        <v>0.0</v>
      </c>
    </row>
    <row r="111" ht="28" customHeight="1">
      <c r="A111" s="2" t="str">
        <v>AT.U.PRO.Y10</v>
      </c>
      <c r="B111" s="6" t="str">
        <v>Austria: not yet identity-checked: Pro annual, plan month 11</v>
      </c>
      <c r="C111" s="2" t="str">
        <v>count</v>
      </c>
      <c r="D111" s="2" t="str">
        <v>NA</v>
      </c>
      <c r="E111" s="2"/>
      <c r="F111" s="6" t="str"/>
      <c r="G111" s="2"/>
      <c r="H111" s="38">
        <f>0*H12*(1-'Inputs'!$E$29*H83)* (1-H83)</f>
        <v>0.0</v>
      </c>
      <c r="I111" s="38">
        <f>H110*I12*(1-'Inputs'!$E$29*I83)* (1-I83)</f>
        <v>0.0</v>
      </c>
      <c r="J111" s="38">
        <f>I110*J12*(1-'Inputs'!$E$29*J83)* (1-J83)</f>
        <v>0.0</v>
      </c>
      <c r="K111" s="38">
        <f>J110*K12*(1-'Inputs'!$E$29*K83)* (1-K83)</f>
        <v>0.0</v>
      </c>
      <c r="L111" s="38">
        <f>K110*L12*(1-'Inputs'!$E$29*L83)* (1-L83)</f>
        <v>0.0</v>
      </c>
      <c r="M111" s="38">
        <f>L110*M12*(1-'Inputs'!$E$29*M83)* (1-M83)</f>
        <v>0.0</v>
      </c>
      <c r="N111" s="38">
        <f>M110*N12*(1-'Inputs'!$E$29*N83)* (1-N83)</f>
        <v>0.0</v>
      </c>
      <c r="O111" s="38">
        <f>N110*O12*(1-'Inputs'!$E$29*O83)* (1-O83)</f>
        <v>0.0</v>
      </c>
      <c r="P111" s="38">
        <f>O110*P12*(1-'Inputs'!$E$29*P83)* (1-P83)</f>
        <v>0.0</v>
      </c>
      <c r="Q111" s="38">
        <f>P110*Q12*(1-'Inputs'!$E$29*Q83)* (1-Q83)</f>
        <v>0.0</v>
      </c>
      <c r="R111" s="38">
        <f>Q110*R12*(1-'Inputs'!$E$29*R83)* (1-R83)</f>
        <v>0.0</v>
      </c>
      <c r="S111" s="38">
        <f>R110*S12*(1-'Inputs'!$E$29*S83)* (1-S83)</f>
        <v>0.0</v>
      </c>
      <c r="T111" s="38">
        <f>S110*T12*(1-'Inputs'!$E$29*T83)* (1-T83)</f>
        <v>0.0</v>
      </c>
      <c r="U111" s="38">
        <f>T110*U12*(1-'Inputs'!$E$29*U83)* (1-U83)</f>
        <v>0.0</v>
      </c>
      <c r="V111" s="38">
        <f>U110*V12*(1-'Inputs'!$E$29*V83)* (1-V83)</f>
        <v>0.0</v>
      </c>
      <c r="W111" s="38">
        <f>V110*W12*(1-'Inputs'!$E$29*W83)* (1-W83)</f>
        <v>0.0</v>
      </c>
      <c r="X111" s="38">
        <f>W110*X12*(1-'Inputs'!$E$29*X83)* (1-X83)</f>
        <v>0.0</v>
      </c>
      <c r="Y111" s="38">
        <f>X110*Y12*(1-'Inputs'!$E$29*Y83)* (1-Y83)</f>
        <v>0.0</v>
      </c>
      <c r="Z111" s="38">
        <f>Y110*Z12*(1-'Inputs'!$E$29*Z83)* (1-Z83)</f>
        <v>0.0</v>
      </c>
      <c r="AA111" s="38">
        <f>Z110*AA12*(1-'Inputs'!$E$29*AA83)* (1-AA83)</f>
        <v>0.0</v>
      </c>
      <c r="AB111" s="38">
        <f>AA110*AB12*(1-'Inputs'!$E$29*AB83)* (1-AB83)</f>
        <v>0.0</v>
      </c>
      <c r="AC111" s="38">
        <f>AB110*AC12*(1-'Inputs'!$E$29*AC83)* (1-AC83)</f>
        <v>0.0</v>
      </c>
      <c r="AD111" s="38">
        <f>AC110*AD12*(1-'Inputs'!$E$29*AD83)* (1-AD83)</f>
        <v>0.0</v>
      </c>
      <c r="AE111" s="38">
        <f>AD110*AE12*(1-'Inputs'!$E$29*AE83)* (1-AE83)</f>
        <v>0.0</v>
      </c>
      <c r="AF111" s="38">
        <f>AE110*AF12*(1-'Inputs'!$E$29*AF83)* (1-AF83)</f>
        <v>0.0</v>
      </c>
      <c r="AG111" s="38">
        <f>AF110*AG12*(1-'Inputs'!$E$29*AG83)* (1-AG83)</f>
        <v>0.0</v>
      </c>
      <c r="AH111" s="38">
        <f>AG110*AH12*(1-'Inputs'!$E$29*AH83)* (1-AH83)</f>
        <v>0.0</v>
      </c>
      <c r="AI111" s="38">
        <f>AH110*AI12*(1-'Inputs'!$E$29*AI83)* (1-AI83)</f>
        <v>0.0</v>
      </c>
      <c r="AJ111" s="38">
        <f>AI110*AJ12*(1-'Inputs'!$E$29*AJ83)* (1-AJ83)</f>
        <v>0.0</v>
      </c>
      <c r="AK111" s="38">
        <f>AJ110*AK12*(1-'Inputs'!$E$29*AK83)* (1-AK83)</f>
        <v>0.0</v>
      </c>
      <c r="AL111" s="38">
        <f>AK110*AL12*(1-'Inputs'!$E$29*AL83)* (1-AL83)</f>
        <v>0.0</v>
      </c>
      <c r="AM111" s="38">
        <f>AL110*AM12*(1-'Inputs'!$E$29*AM83)* (1-AM83)</f>
        <v>0.0</v>
      </c>
      <c r="AN111" s="38">
        <f>AM110*AN12*(1-'Inputs'!$E$29*AN83)* (1-AN83)</f>
        <v>0.0</v>
      </c>
      <c r="AO111" s="38">
        <f>AN110*AO12*(1-'Inputs'!$E$29*AO83)* (1-AO83)</f>
        <v>0.0</v>
      </c>
      <c r="AP111" s="38">
        <f>AO110*AP12*(1-'Inputs'!$E$29*AP83)* (1-AP83)</f>
        <v>0.0</v>
      </c>
      <c r="AQ111" s="38">
        <f>AP110*AQ12*(1-'Inputs'!$E$29*AQ83)* (1-AQ83)</f>
        <v>0.0</v>
      </c>
    </row>
    <row r="112" ht="28" customHeight="1">
      <c r="A112" s="2" t="str">
        <v>AT.U.PRO.Y11</v>
      </c>
      <c r="B112" s="6" t="str">
        <v>Austria: not yet identity-checked: Pro annual, plan month 12</v>
      </c>
      <c r="C112" s="2" t="str">
        <v>count</v>
      </c>
      <c r="D112" s="2" t="str">
        <v>NA</v>
      </c>
      <c r="E112" s="2"/>
      <c r="F112" s="6" t="str"/>
      <c r="G112" s="2"/>
      <c r="H112" s="38">
        <f>0*H12*(1-'Inputs'!$E$29*H83)* (1-H83)</f>
        <v>0.0</v>
      </c>
      <c r="I112" s="38">
        <f>H111*I12*(1-'Inputs'!$E$29*I83)* (1-I83)</f>
        <v>0.0</v>
      </c>
      <c r="J112" s="38">
        <f>I111*J12*(1-'Inputs'!$E$29*J83)* (1-J83)</f>
        <v>0.0</v>
      </c>
      <c r="K112" s="38">
        <f>J111*K12*(1-'Inputs'!$E$29*K83)* (1-K83)</f>
        <v>0.0</v>
      </c>
      <c r="L112" s="38">
        <f>K111*L12*(1-'Inputs'!$E$29*L83)* (1-L83)</f>
        <v>0.0</v>
      </c>
      <c r="M112" s="38">
        <f>L111*M12*(1-'Inputs'!$E$29*M83)* (1-M83)</f>
        <v>0.0</v>
      </c>
      <c r="N112" s="38">
        <f>M111*N12*(1-'Inputs'!$E$29*N83)* (1-N83)</f>
        <v>0.0</v>
      </c>
      <c r="O112" s="38">
        <f>N111*O12*(1-'Inputs'!$E$29*O83)* (1-O83)</f>
        <v>0.0</v>
      </c>
      <c r="P112" s="38">
        <f>O111*P12*(1-'Inputs'!$E$29*P83)* (1-P83)</f>
        <v>0.0</v>
      </c>
      <c r="Q112" s="38">
        <f>P111*Q12*(1-'Inputs'!$E$29*Q83)* (1-Q83)</f>
        <v>0.0</v>
      </c>
      <c r="R112" s="38">
        <f>Q111*R12*(1-'Inputs'!$E$29*R83)* (1-R83)</f>
        <v>0.0</v>
      </c>
      <c r="S112" s="38">
        <f>R111*S12*(1-'Inputs'!$E$29*S83)* (1-S83)</f>
        <v>0.0</v>
      </c>
      <c r="T112" s="38">
        <f>S111*T12*(1-'Inputs'!$E$29*T83)* (1-T83)</f>
        <v>0.0</v>
      </c>
      <c r="U112" s="38">
        <f>T111*U12*(1-'Inputs'!$E$29*U83)* (1-U83)</f>
        <v>0.0</v>
      </c>
      <c r="V112" s="38">
        <f>U111*V12*(1-'Inputs'!$E$29*V83)* (1-V83)</f>
        <v>0.0</v>
      </c>
      <c r="W112" s="38">
        <f>V111*W12*(1-'Inputs'!$E$29*W83)* (1-W83)</f>
        <v>0.0</v>
      </c>
      <c r="X112" s="38">
        <f>W111*X12*(1-'Inputs'!$E$29*X83)* (1-X83)</f>
        <v>0.0</v>
      </c>
      <c r="Y112" s="38">
        <f>X111*Y12*(1-'Inputs'!$E$29*Y83)* (1-Y83)</f>
        <v>0.0</v>
      </c>
      <c r="Z112" s="38">
        <f>Y111*Z12*(1-'Inputs'!$E$29*Z83)* (1-Z83)</f>
        <v>0.0</v>
      </c>
      <c r="AA112" s="38">
        <f>Z111*AA12*(1-'Inputs'!$E$29*AA83)* (1-AA83)</f>
        <v>0.0</v>
      </c>
      <c r="AB112" s="38">
        <f>AA111*AB12*(1-'Inputs'!$E$29*AB83)* (1-AB83)</f>
        <v>0.0</v>
      </c>
      <c r="AC112" s="38">
        <f>AB111*AC12*(1-'Inputs'!$E$29*AC83)* (1-AC83)</f>
        <v>0.0</v>
      </c>
      <c r="AD112" s="38">
        <f>AC111*AD12*(1-'Inputs'!$E$29*AD83)* (1-AD83)</f>
        <v>0.0</v>
      </c>
      <c r="AE112" s="38">
        <f>AD111*AE12*(1-'Inputs'!$E$29*AE83)* (1-AE83)</f>
        <v>0.0</v>
      </c>
      <c r="AF112" s="38">
        <f>AE111*AF12*(1-'Inputs'!$E$29*AF83)* (1-AF83)</f>
        <v>0.0</v>
      </c>
      <c r="AG112" s="38">
        <f>AF111*AG12*(1-'Inputs'!$E$29*AG83)* (1-AG83)</f>
        <v>0.0</v>
      </c>
      <c r="AH112" s="38">
        <f>AG111*AH12*(1-'Inputs'!$E$29*AH83)* (1-AH83)</f>
        <v>0.0</v>
      </c>
      <c r="AI112" s="38">
        <f>AH111*AI12*(1-'Inputs'!$E$29*AI83)* (1-AI83)</f>
        <v>0.0</v>
      </c>
      <c r="AJ112" s="38">
        <f>AI111*AJ12*(1-'Inputs'!$E$29*AJ83)* (1-AJ83)</f>
        <v>0.0</v>
      </c>
      <c r="AK112" s="38">
        <f>AJ111*AK12*(1-'Inputs'!$E$29*AK83)* (1-AK83)</f>
        <v>0.0</v>
      </c>
      <c r="AL112" s="38">
        <f>AK111*AL12*(1-'Inputs'!$E$29*AL83)* (1-AL83)</f>
        <v>0.0</v>
      </c>
      <c r="AM112" s="38">
        <f>AL111*AM12*(1-'Inputs'!$E$29*AM83)* (1-AM83)</f>
        <v>0.0</v>
      </c>
      <c r="AN112" s="38">
        <f>AM111*AN12*(1-'Inputs'!$E$29*AN83)* (1-AN83)</f>
        <v>0.0</v>
      </c>
      <c r="AO112" s="38">
        <f>AN111*AO12*(1-'Inputs'!$E$29*AO83)* (1-AO83)</f>
        <v>0.0</v>
      </c>
      <c r="AP112" s="38">
        <f>AO111*AP12*(1-'Inputs'!$E$29*AP83)* (1-AP83)</f>
        <v>0.0</v>
      </c>
      <c r="AQ112" s="38">
        <f>AP111*AQ12*(1-'Inputs'!$E$29*AQ83)* (1-AQ83)</f>
        <v>0.0</v>
      </c>
    </row>
    <row r="113" ht="22" customHeight="1">
      <c r="A113" s="2" t="str">
        <v>AT.KYC</v>
      </c>
      <c r="B113" s="6" t="str">
        <v>Austria: new identity checks (KYC)</v>
      </c>
      <c r="C113" s="2" t="str">
        <v>count</v>
      </c>
      <c r="D113" s="2" t="str">
        <v>NA</v>
      </c>
      <c r="E113" s="2"/>
      <c r="F113" s="6" t="str"/>
      <c r="G113" s="2"/>
      <c r="H113" s="37">
        <f>MAX(0,H11-SUM(H85,H87,H88,H89,H90,H91,H92,H93,H94,H95,H96,H97,H98,H99,H100,H101,H102,H103,H104,H105,H106,H107,H108,H109,H110,H111,H112))</f>
        <v>0</v>
      </c>
      <c r="I113" s="37">
        <f>MAX(0,SUM(H85,H87,H88,H89,H90,H91,H92,H93,H94,H95,H96,H97,H98,H99,H100,H101,H102,H103,H104,H105,H106,H107,H108,H109,H110,H111,H112)*I12-SUM(I85,I87,I88,I89,I90,I91,I92,I93,I94,I95,I96,I97,I98,I99,I100,I101,I102,I103,I104,I105,I106,I107,I108,I109,I110,I111,I112))</f>
        <v>0</v>
      </c>
      <c r="J113" s="37">
        <f>MAX(0,SUM(I85,I87,I88,I89,I90,I91,I92,I93,I94,I95,I96,I97,I98,I99,I100,I101,I102,I103,I104,I105,I106,I107,I108,I109,I110,I111,I112)*J12-SUM(J85,J87,J88,J89,J90,J91,J92,J93,J94,J95,J96,J97,J98,J99,J100,J101,J102,J103,J104,J105,J106,J107,J108,J109,J110,J111,J112))</f>
        <v>0</v>
      </c>
      <c r="K113" s="37">
        <f>MAX(0,SUM(J85,J87,J88,J89,J90,J91,J92,J93,J94,J95,J96,J97,J98,J99,J100,J101,J102,J103,J104,J105,J106,J107,J108,J109,J110,J111,J112)*K12-SUM(K85,K87,K88,K89,K90,K91,K92,K93,K94,K95,K96,K97,K98,K99,K100,K101,K102,K103,K104,K105,K106,K107,K108,K109,K110,K111,K112))</f>
        <v>0</v>
      </c>
      <c r="L113" s="37">
        <f>MAX(0,SUM(K85,K87,K88,K89,K90,K91,K92,K93,K94,K95,K96,K97,K98,K99,K100,K101,K102,K103,K104,K105,K106,K107,K108,K109,K110,K111,K112)*L12-SUM(L85,L87,L88,L89,L90,L91,L92,L93,L94,L95,L96,L97,L98,L99,L100,L101,L102,L103,L104,L105,L106,L107,L108,L109,L110,L111,L112))</f>
        <v>0.023361154196437972</v>
      </c>
      <c r="M113" s="37">
        <f>MAX(0,SUM(L85,L87,L88,L89,L90,L91,L92,L93,L94,L95,L96,L97,L98,L99,L100,L101,L102,L103,L104,L105,L106,L107,L108,L109,L110,L111,L112)*M12-SUM(M85,M87,M88,M89,M90,M91,M92,M93,M94,M95,M96,M97,M98,M99,M100,M101,M102,M103,M104,M105,M106,M107,M108,M109,M110,M111,M112))</f>
        <v>0.012014966393815385</v>
      </c>
      <c r="N113" s="37">
        <f>MAX(0,SUM(M85,M87,M88,M89,M90,M91,M92,M93,M94,M95,M96,M97,M98,M99,M100,M101,M102,M103,M104,M105,M106,M107,M108,M109,M110,M111,M112)*N12-SUM(N85,N87,N88,N89,N90,N91,N92,N93,N94,N95,N96,N97,N98,N99,N100,N101,N102,N103,N104,N105,N106,N107,N108,N109,N110,N111,N112))</f>
        <v>0.011193708441426475</v>
      </c>
      <c r="O113" s="37">
        <f>MAX(0,SUM(N85,N87,N88,N89,N90,N91,N92,N93,N94,N95,N96,N97,N98,N99,N100,N101,N102,N103,N104,N105,N106,N107,N108,N109,N110,N111,N112)*O12-SUM(O85,O87,O88,O89,O90,O91,O92,O93,O94,O95,O96,O97,O98,O99,O100,O101,O102,O103,O104,O105,O106,O107,O108,O109,O110,O111,O112))</f>
        <v>0.010408037367334255</v>
      </c>
      <c r="P113" s="37">
        <f>MAX(0,SUM(O85,O87,O88,O89,O90,O91,O92,O93,O94,O95,O96,O97,O98,O99,O100,O101,O102,O103,O104,O105,O106,O107,O108,O109,O110,O111,O112)*P12-SUM(P85,P87,P88,P89,P90,P91,P92,P93,P94,P95,P96,P97,P98,P99,P100,P101,P102,P103,P104,P105,P106,P107,P108,P109,P110,P111,P112))</f>
        <v>0.009656621827652978</v>
      </c>
      <c r="Q113" s="37">
        <f>MAX(0,SUM(P85,P87,P88,P89,P90,P91,P92,P93,P94,P95,P96,P97,P98,P99,P100,P101,P102,P103,P104,P105,P106,P107,P108,P109,P110,P111,P112)*Q12-SUM(Q85,Q87,Q88,Q89,Q90,Q91,Q92,Q93,Q94,Q95,Q96,Q97,Q98,Q99,Q100,Q101,Q102,Q103,Q104,Q105,Q106,Q107,Q108,Q109,Q110,Q111,Q112))</f>
        <v>0.008938177282901638</v>
      </c>
      <c r="R113" s="37">
        <f>MAX(0,SUM(Q85,Q87,Q88,Q89,Q90,Q91,Q92,Q93,Q94,Q95,Q96,Q97,Q98,Q99,Q100,Q101,Q102,Q103,Q104,Q105,Q106,Q107,Q108,Q109,Q110,Q111,Q112)*R12-SUM(R85,R87,R88,R89,R90,R91,R92,R93,R94,R95,R96,R97,R98,R99,R100,R101,R102,R103,R104,R105,R106,R107,R108,R109,R110,R111,R112))</f>
        <v>0.008474476897906258</v>
      </c>
      <c r="S113" s="37">
        <f>MAX(0,SUM(R85,R87,R88,R89,R90,R91,R92,R93,R94,R95,R96,R97,R98,R99,R100,R101,R102,R103,R104,R105,R106,R107,R108,R109,R110,R111,R112)*S12-SUM(S85,S87,S88,S89,S90,S91,S92,S93,S94,S95,S96,S97,S98,S99,S100,S101,S102,S103,S104,S105,S106,S107,S108,S109,S110,S111,S112))</f>
        <v>0.008029303620211314</v>
      </c>
      <c r="T113" s="37">
        <f>MAX(0,SUM(S85,S87,S88,S89,S90,S91,S92,S93,S94,S95,S96,S97,S98,S99,S100,S101,S102,S103,S104,S105,S106,S107,S108,S109,S110,S111,S112)*T12-SUM(T85,T87,T88,T89,T90,T91,T92,T93,T94,T95,T96,T97,T98,T99,T100,T101,T102,T103,T104,T105,T106,T107,T108,T109,T110,T111,T112))</f>
        <v>0.007601991380420725</v>
      </c>
      <c r="U113" s="37">
        <f>MAX(0,SUM(T85,T87,T88,T89,T90,T91,T92,T93,T94,T95,T96,T97,T98,T99,T100,T101,T102,T103,T104,T105,T106,T107,T108,T109,T110,T111,T112)*U12-SUM(U85,U87,U88,U89,U90,U91,U92,U93,U94,U95,U96,U97,U98,U99,U100,U101,U102,U103,U104,U105,U106,U107,U108,U109,U110,U111,U112))</f>
        <v>0.007352503379486952</v>
      </c>
      <c r="V113" s="37">
        <f>MAX(0,SUM(U85,U87,U88,U89,U90,U91,U92,U93,U94,U95,U96,U97,U98,U99,U100,U101,U102,U103,U104,U105,U106,U107,U108,U109,U110,U111,U112)*V12-SUM(V85,V87,V88,V89,V90,V91,V92,V93,V94,V95,V96,V97,V98,V99,V100,V101,V102,V103,V104,V105,V106,V107,V108,V109,V110,V111,V112))</f>
        <v>0.00710498305544488</v>
      </c>
      <c r="W113" s="37">
        <f>MAX(0,SUM(V85,V87,V88,V89,V90,V91,V92,V93,V94,V95,V96,V97,V98,V99,V100,V101,V102,V103,V104,V105,V106,V107,V108,V109,V110,V111,V112)*W12-SUM(W85,W87,W88,W89,W90,W91,W92,W93,W94,W95,W96,W97,W98,W99,W100,W101,W102,W103,W104,W105,W106,W107,W108,W109,W110,W111,W112))</f>
        <v>0.006865467703976558</v>
      </c>
      <c r="X113" s="37">
        <f>MAX(0,SUM(W85,W87,W88,W89,W90,W91,W92,W93,W94,W95,W96,W97,W98,W99,W100,W101,W102,W103,W104,W105,W106,W107,W108,W109,W110,W111,W112)*X12-SUM(X85,X87,X88,X89,X90,X91,X92,X93,X94,X95,X96,X97,X98,X99,X100,X101,X102,X103,X104,X105,X106,X107,X108,X109,X110,X111,X112))</f>
        <v>0.0066337048262220255</v>
      </c>
      <c r="Y113" s="37">
        <f>MAX(0,SUM(X85,X87,X88,X89,X90,X91,X92,X93,X94,X95,X96,X97,X98,X99,X100,X101,X102,X103,X104,X105,X106,X107,X108,X109,X110,X111,X112)*Y12-SUM(Y85,Y87,Y88,Y89,Y90,Y91,Y92,Y93,Y94,Y95,Y96,Y97,Y98,Y99,Y100,Y101,Y102,Y103,Y104,Y105,Y106,Y107,Y108,Y109,Y110,Y111,Y112))</f>
        <v>0.00640944981177638</v>
      </c>
      <c r="Z113" s="37">
        <f>MAX(0,SUM(Y85,Y87,Y88,Y89,Y90,Y91,Y92,Y93,Y94,Y95,Y96,Y97,Y98,Y99,Y100,Y101,Y102,Y103,Y104,Y105,Y106,Y107,Y108,Y109,Y110,Y111,Y112)*Z12-SUM(Z85,Z87,Z88,Z89,Z90,Z91,Z92,Z93,Z94,Z95,Z96,Z97,Z98,Z99,Z100,Z101,Z102,Z103,Z104,Z105,Z106,Z107,Z108,Z109,Z110,Z111,Z112))</f>
        <v>0.00619246568611409</v>
      </c>
      <c r="AA113" s="37">
        <f>MAX(0,SUM(Z85,Z87,Z88,Z89,Z90,Z91,Z92,Z93,Z94,Z95,Z96,Z97,Z98,Z99,Z100,Z101,Z102,Z103,Z104,Z105,Z106,Z107,Z108,Z109,Z110,Z111,Z112)*AA12-SUM(AA85,AA87,AA88,AA89,AA90,AA91,AA92,AA93,AA94,AA95,AA96,AA97,AA98,AA99,AA100,AA101,AA102,AA103,AA104,AA105,AA106,AA107,AA108,AA109,AA110,AA111,AA112))</f>
        <v>0.005982522189883016</v>
      </c>
      <c r="AB113" s="37">
        <f>MAX(0,SUM(AA85,AA87,AA88,AA89,AA90,AA91,AA92,AA93,AA94,AA95,AA96,AA97,AA98,AA99,AA100,AA101,AA102,AA103,AA104,AA105,AA106,AA107,AA108,AA109,AA110,AA111,AA112)*AB12-SUM(AB85,AB87,AB88,AB89,AB90,AB91,AB92,AB93,AB94,AB95,AB96,AB97,AB98,AB99,AB100,AB101,AB102,AB103,AB104,AB105,AB106,AB107,AB108,AB109,AB110,AB111,AB112))</f>
        <v>0.005779396990989116</v>
      </c>
      <c r="AC113" s="37">
        <f>MAX(0,SUM(AB85,AB87,AB88,AB89,AB90,AB91,AB92,AB93,AB94,AB95,AB96,AB97,AB98,AB99,AB100,AB101,AB102,AB103,AB104,AB105,AB106,AB107,AB108,AB109,AB110,AB111,AB112)*AC12-SUM(AC85,AC87,AC88,AC89,AC90,AC91,AC92,AC93,AC94,AC95,AC96,AC97,AC98,AC99,AC100,AC101,AC102,AC103,AC104,AC105,AC106,AC107,AC108,AC109,AC110,AC111,AC112))</f>
        <v>0.0055828746805668406</v>
      </c>
      <c r="AD113" s="37">
        <f>MAX(0,SUM(AC85,AC87,AC88,AC89,AC90,AC91,AC92,AC93,AC94,AC95,AC96,AC97,AC98,AC99,AC100,AC101,AC102,AC103,AC104,AC105,AC106,AC107,AC108,AC109,AC110,AC111,AC112)*AD12-SUM(AD85,AD87,AD88,AD89,AD90,AD91,AD92,AD93,AD94,AD95,AD96,AD97,AD98,AD99,AD100,AD101,AD102,AD103,AD104,AD105,AD106,AD107,AD108,AD109,AD110,AD111,AD112))</f>
        <v>0.00539274655505087</v>
      </c>
      <c r="AE113" s="37">
        <f>MAX(0,SUM(AD85,AD87,AD88,AD89,AD90,AD91,AD92,AD93,AD94,AD95,AD96,AD97,AD98,AD99,AD100,AD101,AD102,AD103,AD104,AD105,AD106,AD107,AD108,AD109,AD110,AD111,AD112)*AE12-SUM(AE85,AE87,AE88,AE89,AE90,AE91,AE92,AE93,AE94,AE95,AE96,AE97,AE98,AE99,AE100,AE101,AE102,AE103,AE104,AE105,AE106,AE107,AE108,AE109,AE110,AE111,AE112))</f>
        <v>0.005208810405716052</v>
      </c>
      <c r="AF113" s="37">
        <f>MAX(0,SUM(AE85,AE87,AE88,AE89,AE90,AE91,AE92,AE93,AE94,AE95,AE96,AE97,AE98,AE99,AE100,AE101,AE102,AE103,AE104,AE105,AE106,AE107,AE108,AE109,AE110,AE111,AE112)*AF12-SUM(AF85,AF87,AF88,AF89,AF90,AF91,AF92,AF93,AF94,AF95,AF96,AF97,AF98,AF99,AF100,AF101,AF102,AF103,AF104,AF105,AF106,AF107,AF108,AF109,AF110,AF111,AF112))</f>
        <v>0.005030870315348934</v>
      </c>
      <c r="AG113" s="37">
        <f>MAX(0,SUM(AF85,AF87,AF88,AF89,AF90,AF91,AF92,AF93,AF94,AF95,AF96,AF97,AF98,AF99,AF100,AF101,AF102,AF103,AF104,AF105,AF106,AF107,AF108,AF109,AF110,AF111,AF112)*AG12-SUM(AG85,AG87,AG88,AG89,AG90,AG91,AG92,AG93,AG94,AG95,AG96,AG97,AG98,AG99,AG100,AG101,AG102,AG103,AG104,AG105,AG106,AG107,AG108,AG109,AG110,AG111,AG112))</f>
        <v>0.004815751602384677</v>
      </c>
      <c r="AH113" s="37">
        <f>MAX(0,SUM(AG85,AG87,AG88,AG89,AG90,AG91,AG92,AG93,AG94,AG95,AG96,AG97,AG98,AG99,AG100,AG101,AG102,AG103,AG104,AG105,AG106,AG107,AG108,AG109,AG110,AG111,AG112)*AH12-SUM(AH85,AH87,AH88,AH89,AH90,AH91,AH92,AH93,AH94,AH95,AH96,AH97,AH98,AH99,AH100,AH101,AH102,AH103,AH104,AH105,AH106,AH107,AH108,AH109,AH110,AH111,AH112))</f>
        <v>0.004607148707247821</v>
      </c>
      <c r="AI113" s="37">
        <f>MAX(0,SUM(AH85,AH87,AH88,AH89,AH90,AH91,AH92,AH93,AH94,AH95,AH96,AH97,AH98,AH99,AH100,AH101,AH102,AH103,AH104,AH105,AH106,AH107,AH108,AH109,AH110,AH111,AH112)*AI12-SUM(AI85,AI87,AI88,AI89,AI90,AI91,AI92,AI93,AI94,AI95,AI96,AI97,AI98,AI99,AI100,AI101,AI102,AI103,AI104,AI105,AI106,AI107,AI108,AI109,AI110,AI111,AI112))</f>
        <v>0.004406274068473576</v>
      </c>
      <c r="AJ113" s="37">
        <f>MAX(0,SUM(AI85,AI87,AI88,AI89,AI90,AI91,AI92,AI93,AI94,AI95,AI96,AI97,AI98,AI99,AI100,AI101,AI102,AI103,AI104,AI105,AI106,AI107,AI108,AI109,AI110,AI111,AI112)*AJ12-SUM(AJ85,AJ87,AJ88,AJ89,AJ90,AJ91,AJ92,AJ93,AJ94,AJ95,AJ96,AJ97,AJ98,AJ99,AJ100,AJ101,AJ102,AJ103,AJ104,AJ105,AJ106,AJ107,AJ108,AJ109,AJ110,AJ111,AJ112))</f>
        <v>0.0042128629146125085</v>
      </c>
      <c r="AK113" s="37">
        <f>MAX(0,SUM(AJ85,AJ87,AJ88,AJ89,AJ90,AJ91,AJ92,AJ93,AJ94,AJ95,AJ96,AJ97,AJ98,AJ99,AJ100,AJ101,AJ102,AJ103,AJ104,AJ105,AJ106,AJ107,AJ108,AJ109,AJ110,AJ111,AJ112)*AK12-SUM(AK85,AK87,AK88,AK89,AK90,AK91,AK92,AK93,AK94,AK95,AK96,AK97,AK98,AK99,AK100,AK101,AK102,AK103,AK104,AK105,AK106,AK107,AK108,AK109,AK110,AK111,AK112))</f>
        <v>0.004059937317793777</v>
      </c>
      <c r="AL113" s="37">
        <f>MAX(0,SUM(AK85,AK87,AK88,AK89,AK90,AK91,AK92,AK93,AK94,AK95,AK96,AK97,AK98,AK99,AK100,AK101,AK102,AK103,AK104,AK105,AK106,AK107,AK108,AK109,AK110,AK111,AK112)*AL12-SUM(AL85,AL87,AL88,AL89,AL90,AL91,AL92,AL93,AL94,AL95,AL96,AL97,AL98,AL99,AL100,AL101,AL102,AL103,AL104,AL105,AL106,AL107,AL108,AL109,AL110,AL111,AL112))</f>
        <v>0.003912186339712742</v>
      </c>
      <c r="AM113" s="37">
        <f>MAX(0,SUM(AL85,AL87,AL88,AL89,AL90,AL91,AL92,AL93,AL94,AL95,AL96,AL97,AL98,AL99,AL100,AL101,AL102,AL103,AL104,AL105,AL106,AL107,AL108,AL109,AL110,AL111,AL112)*AM12-SUM(AM85,AM87,AM88,AM89,AM90,AM91,AM92,AM93,AM94,AM95,AM96,AM97,AM98,AM99,AM100,AM101,AM102,AM103,AM104,AM105,AM106,AM107,AM108,AM109,AM110,AM111,AM112))</f>
        <v>0.003769442099892384</v>
      </c>
      <c r="AN113" s="37">
        <f>MAX(0,SUM(AM85,AM87,AM88,AM89,AM90,AM91,AM92,AM93,AM94,AM95,AM96,AM97,AM98,AM99,AM100,AM101,AM102,AM103,AM104,AM105,AM106,AM107,AM108,AM109,AM110,AM111,AM112)*AN12-SUM(AN85,AN87,AN88,AN89,AN90,AN91,AN92,AN93,AN94,AN95,AN96,AN97,AN98,AN99,AN100,AN101,AN102,AN103,AN104,AN105,AN106,AN107,AN108,AN109,AN110,AN111,AN112))</f>
        <v>0.003631542180946218</v>
      </c>
      <c r="AO113" s="37">
        <f>MAX(0,SUM(AN85,AN87,AN88,AN89,AN90,AN91,AN92,AN93,AN94,AN95,AN96,AN97,AN98,AN99,AN100,AN101,AN102,AN103,AN104,AN105,AN106,AN107,AN108,AN109,AN110,AN111,AN112)*AO12-SUM(AO85,AO87,AO88,AO89,AO90,AO91,AO92,AO93,AO94,AO95,AO96,AO97,AO98,AO99,AO100,AO101,AO102,AO103,AO104,AO105,AO106,AO107,AO108,AO109,AO110,AO111,AO112))</f>
        <v>0.0034983292878741634</v>
      </c>
      <c r="AP113" s="37">
        <f>MAX(0,SUM(AO85,AO87,AO88,AO89,AO90,AO91,AO92,AO93,AO94,AO95,AO96,AO97,AO98,AO99,AO100,AO101,AO102,AO103,AO104,AO105,AO106,AO107,AO108,AO109,AO110,AO111,AO112)*AP12-SUM(AP85,AP87,AP88,AP89,AP90,AP91,AP92,AP93,AP94,AP95,AP96,AP97,AP98,AP99,AP100,AP101,AP102,AP103,AP104,AP105,AP106,AP107,AP108,AP109,AP110,AP111,AP112))</f>
        <v>0.0033696510888529124</v>
      </c>
      <c r="AQ113" s="37">
        <f>MAX(0,SUM(AP85,AP87,AP88,AP89,AP90,AP91,AP92,AP93,AP94,AP95,AP96,AP97,AP98,AP99,AP100,AP101,AP102,AP103,AP104,AP105,AP106,AP107,AP108,AP109,AP110,AP111,AP112)*AQ12-SUM(AQ85,AQ87,AQ88,AQ89,AQ90,AQ91,AQ92,AQ93,AQ94,AQ95,AQ96,AQ97,AQ98,AQ99,AQ100,AQ101,AQ102,AQ103,AQ104,AQ105,AQ106,AQ107,AQ108,AQ109,AQ110,AQ111,AQ112))</f>
        <v>0.0032453600610341665</v>
      </c>
    </row>
    <row r="114" ht="28" customHeight="1">
      <c r="A114" s="2" t="str">
        <v>AT.R1.REVENUE</v>
      </c>
      <c r="B114" s="6" t="str">
        <v>Austria: subscription revenue (net of VAT)</v>
      </c>
      <c r="C114" s="2" t="str">
        <v>EUR_per_user</v>
      </c>
      <c r="D114" s="2" t="str">
        <v>SUM</v>
      </c>
      <c r="E114" s="35">
        <f>SUM(H114:AQ114)</f>
        <v>22.03338959080914</v>
      </c>
      <c r="F114" s="6" t="str"/>
      <c r="G114" s="2"/>
      <c r="H114" s="36">
        <f>H33/(1+'Inputs'!$E$44)</f>
        <v>0.9245166666666668</v>
      </c>
      <c r="I114" s="36">
        <f>I33/(1+'Inputs'!$E$44)</f>
        <v>0.9210975400000001</v>
      </c>
      <c r="J114" s="36">
        <f>J33/(1+'Inputs'!$E$44)</f>
        <v>0.91065589208</v>
      </c>
      <c r="K114" s="36">
        <f>K33/(1+'Inputs'!$E$44)</f>
        <v>0.8979103267802534</v>
      </c>
      <c r="L114" s="36">
        <f>L33/(1+'Inputs'!$E$44)</f>
        <v>0.8829951379690532</v>
      </c>
      <c r="M114" s="36">
        <f>M33/(1+'Inputs'!$E$44)</f>
        <v>0.867716824446733</v>
      </c>
      <c r="N114" s="36">
        <f>N33/(1+'Inputs'!$E$44)</f>
        <v>0.8529038816372655</v>
      </c>
      <c r="O114" s="36">
        <f>O33/(1+'Inputs'!$E$44)</f>
        <v>0.838484541706482</v>
      </c>
      <c r="P114" s="36">
        <f>P33/(1+'Inputs'!$E$44)</f>
        <v>0.8243935204564276</v>
      </c>
      <c r="Q114" s="36">
        <f>Q33/(1+'Inputs'!$E$44)</f>
        <v>0.8105714467307797</v>
      </c>
      <c r="R114" s="36">
        <f>R33/(1+'Inputs'!$E$44)</f>
        <v>0.7977963905872226</v>
      </c>
      <c r="S114" s="36">
        <f>S33/(1+'Inputs'!$E$44)</f>
        <v>0.785958692305951</v>
      </c>
      <c r="T114" s="36">
        <f>T33/(1+'Inputs'!$E$44)</f>
        <v>0.6287194162554393</v>
      </c>
      <c r="U114" s="36">
        <f>U33/(1+'Inputs'!$E$44)</f>
        <v>0.6101835699473898</v>
      </c>
      <c r="V114" s="36">
        <f>V33/(1+'Inputs'!$E$44)</f>
        <v>0.5942565771357807</v>
      </c>
      <c r="W114" s="36">
        <f>W33/(1+'Inputs'!$E$44)</f>
        <v>0.5801456116066</v>
      </c>
      <c r="X114" s="36">
        <f>X33/(1+'Inputs'!$E$44)</f>
        <v>0.5677410992623674</v>
      </c>
      <c r="Y114" s="36">
        <f>Y33/(1+'Inputs'!$E$44)</f>
        <v>0.5566766558430014</v>
      </c>
      <c r="Z114" s="36">
        <f>Z33/(1+'Inputs'!$E$44)</f>
        <v>0.5467294660034719</v>
      </c>
      <c r="AA114" s="36">
        <f>AA33/(1+'Inputs'!$E$44)</f>
        <v>0.5378181758913098</v>
      </c>
      <c r="AB114" s="36">
        <f>AB33/(1+'Inputs'!$E$44)</f>
        <v>0.5298686465510033</v>
      </c>
      <c r="AC114" s="36">
        <f>AC33/(1+'Inputs'!$E$44)</f>
        <v>0.5228133057674752</v>
      </c>
      <c r="AD114" s="36">
        <f>AD33/(1+'Inputs'!$E$44)</f>
        <v>0.5164589454598181</v>
      </c>
      <c r="AE114" s="36">
        <f>AE33/(1+'Inputs'!$E$44)</f>
        <v>0.5107500329389084</v>
      </c>
      <c r="AF114" s="36">
        <f>AF33/(1+'Inputs'!$E$44)</f>
        <v>0.4544522722363017</v>
      </c>
      <c r="AG114" s="36">
        <f>AG33/(1+'Inputs'!$E$44)</f>
        <v>0.4463253368783878</v>
      </c>
      <c r="AH114" s="36">
        <f>AH33/(1+'Inputs'!$E$44)</f>
        <v>0.43884748152804215</v>
      </c>
      <c r="AI114" s="36">
        <f>AI33/(1+'Inputs'!$E$44)</f>
        <v>0.43175989156659156</v>
      </c>
      <c r="AJ114" s="36">
        <f>AJ33/(1+'Inputs'!$E$44)</f>
        <v>0.42504121093372577</v>
      </c>
      <c r="AK114" s="36">
        <f>AK33/(1+'Inputs'!$E$44)</f>
        <v>0.4187877398644426</v>
      </c>
      <c r="AL114" s="36">
        <f>AL33/(1+'Inputs'!$E$44)</f>
        <v>0.41292121041554025</v>
      </c>
      <c r="AM114" s="36">
        <f>AM33/(1+'Inputs'!$E$44)</f>
        <v>0.40741288971418105</v>
      </c>
      <c r="AN114" s="36">
        <f>AN33/(1+'Inputs'!$E$44)</f>
        <v>0.40223659138181167</v>
      </c>
      <c r="AO114" s="36">
        <f>AO33/(1+'Inputs'!$E$44)</f>
        <v>0.39736844663073395</v>
      </c>
      <c r="AP114" s="36">
        <f>AP33/(1+'Inputs'!$E$44)</f>
        <v>0.3927406315010856</v>
      </c>
      <c r="AQ114" s="36">
        <f>AQ33/(1+'Inputs'!$E$44)</f>
        <v>0.3883335241288954</v>
      </c>
    </row>
    <row r="115" ht="28" customHeight="1">
      <c r="A115" s="2" t="str">
        <v>AT.R2.REVENUE</v>
      </c>
      <c r="B115" s="6" t="str">
        <v>Austria: copy-trading revenue (net of VAT)</v>
      </c>
      <c r="C115" s="2" t="str">
        <v>EUR_per_user</v>
      </c>
      <c r="D115" s="2" t="str">
        <v>SUM</v>
      </c>
      <c r="E115" s="35">
        <f>SUM(H115:AQ115)</f>
        <v>46.29168517388549</v>
      </c>
      <c r="F115" s="6" t="str"/>
      <c r="G115" s="2"/>
      <c r="H115" s="36">
        <f>H84*'Inputs'!$E$31*'Inputs'!$E$27*'Inputs'!$E$61/'Inputs'!$E$62/(1+'Inputs'!$E$44)</f>
        <v>0.0</v>
      </c>
      <c r="I115" s="36">
        <f>I84*'Inputs'!$E$31*'Inputs'!$E$27*'Inputs'!$E$61/'Inputs'!$E$62/(1+'Inputs'!$E$44)</f>
        <v>0.0</v>
      </c>
      <c r="J115" s="36">
        <f>J84*'Inputs'!$E$31*'Inputs'!$E$27*'Inputs'!$E$61/'Inputs'!$E$62/(1+'Inputs'!$E$44)</f>
        <v>0.0</v>
      </c>
      <c r="K115" s="36">
        <f>K84*'Inputs'!$E$31*'Inputs'!$E$27*'Inputs'!$E$61/'Inputs'!$E$62/(1+'Inputs'!$E$44)</f>
        <v>0.0</v>
      </c>
      <c r="L115" s="36">
        <f>L84*'Inputs'!$E$31*'Inputs'!$E$27*'Inputs'!$E$61/'Inputs'!$E$62/(1+'Inputs'!$E$44)</f>
        <v>0.2706979166666667</v>
      </c>
      <c r="M115" s="36">
        <f>M84*'Inputs'!$E$31*'Inputs'!$E$27*'Inputs'!$E$61/'Inputs'!$E$62/(1+'Inputs'!$E$44)</f>
        <v>0.4872833197916666</v>
      </c>
      <c r="N115" s="36">
        <f>N84*'Inputs'!$E$31*'Inputs'!$E$27*'Inputs'!$E$61/'Inputs'!$E$62/(1+'Inputs'!$E$44)</f>
        <v>0.670519416328125</v>
      </c>
      <c r="O115" s="36">
        <f>O84*'Inputs'!$E$31*'Inputs'!$E$27*'Inputs'!$E$61/'Inputs'!$E$62/(1+'Inputs'!$E$44)</f>
        <v>0.8190576846762238</v>
      </c>
      <c r="P115" s="36">
        <f>P84*'Inputs'!$E$31*'Inputs'!$E$27*'Inputs'!$E$61/'Inputs'!$E$62/(1+'Inputs'!$E$44)</f>
        <v>0.936552501913842</v>
      </c>
      <c r="Q115" s="36">
        <f>Q84*'Inputs'!$E$31*'Inputs'!$E$27*'Inputs'!$E$61/'Inputs'!$E$62/(1+'Inputs'!$E$44)</f>
        <v>1.0262876928242792</v>
      </c>
      <c r="R115" s="36">
        <f>R84*'Inputs'!$E$31*'Inputs'!$E$27*'Inputs'!$E$61/'Inputs'!$E$62/(1+'Inputs'!$E$44)</f>
        <v>1.1207053674230818</v>
      </c>
      <c r="S115" s="36">
        <f>S84*'Inputs'!$E$31*'Inputs'!$E$27*'Inputs'!$E$61/'Inputs'!$E$62/(1+'Inputs'!$E$44)</f>
        <v>1.1987764639677656</v>
      </c>
      <c r="T115" s="36">
        <f>T84*'Inputs'!$E$31*'Inputs'!$E$27*'Inputs'!$E$61/'Inputs'!$E$62/(1+'Inputs'!$E$44)</f>
        <v>1.2621375465702218</v>
      </c>
      <c r="U115" s="36">
        <f>U84*'Inputs'!$E$31*'Inputs'!$E$27*'Inputs'!$E$61/'Inputs'!$E$62/(1+'Inputs'!$E$44)</f>
        <v>1.3403850332012544</v>
      </c>
      <c r="V115" s="36">
        <f>V84*'Inputs'!$E$31*'Inputs'!$E$27*'Inputs'!$E$61/'Inputs'!$E$62/(1+'Inputs'!$E$44)</f>
        <v>1.410071236664375</v>
      </c>
      <c r="W115" s="36">
        <f>W84*'Inputs'!$E$31*'Inputs'!$E$27*'Inputs'!$E$61/'Inputs'!$E$62/(1+'Inputs'!$E$44)</f>
        <v>1.4719711903926365</v>
      </c>
      <c r="X115" s="36">
        <f>X84*'Inputs'!$E$31*'Inputs'!$E$27*'Inputs'!$E$61/'Inputs'!$E$62/(1+'Inputs'!$E$44)</f>
        <v>1.5267900274063595</v>
      </c>
      <c r="Y115" s="36">
        <f>Y84*'Inputs'!$E$31*'Inputs'!$E$27*'Inputs'!$E$61/'Inputs'!$E$62/(1+'Inputs'!$E$44)</f>
        <v>1.5751692637667463</v>
      </c>
      <c r="Z115" s="36">
        <f>Z84*'Inputs'!$E$31*'Inputs'!$E$27*'Inputs'!$E$61/'Inputs'!$E$62/(1+'Inputs'!$E$44)</f>
        <v>1.6176925188728564</v>
      </c>
      <c r="AA115" s="36">
        <f>AA84*'Inputs'!$E$31*'Inputs'!$E$27*'Inputs'!$E$61/'Inputs'!$E$62/(1+'Inputs'!$E$44)</f>
        <v>1.6548907229406298</v>
      </c>
      <c r="AB115" s="36">
        <f>AB84*'Inputs'!$E$31*'Inputs'!$E$27*'Inputs'!$E$61/'Inputs'!$E$62/(1+'Inputs'!$E$44)</f>
        <v>1.6872468575138582</v>
      </c>
      <c r="AC115" s="36">
        <f>AC84*'Inputs'!$E$31*'Inputs'!$E$27*'Inputs'!$E$61/'Inputs'!$E$62/(1+'Inputs'!$E$44)</f>
        <v>1.7152002707676421</v>
      </c>
      <c r="AD115" s="36">
        <f>AD84*'Inputs'!$E$31*'Inputs'!$E$27*'Inputs'!$E$61/'Inputs'!$E$62/(1+'Inputs'!$E$44)</f>
        <v>1.7391506056394122</v>
      </c>
      <c r="AE115" s="36">
        <f>AE84*'Inputs'!$E$31*'Inputs'!$E$27*'Inputs'!$E$61/'Inputs'!$E$62/(1+'Inputs'!$E$44)</f>
        <v>1.759461375428768</v>
      </c>
      <c r="AF115" s="36">
        <f>AF84*'Inputs'!$E$31*'Inputs'!$E$27*'Inputs'!$E$61/'Inputs'!$E$62/(1+'Inputs'!$E$44)</f>
        <v>1.7764632184156885</v>
      </c>
      <c r="AG115" s="36">
        <f>AG84*'Inputs'!$E$31*'Inputs'!$E$27*'Inputs'!$E$61/'Inputs'!$E$62/(1+'Inputs'!$E$44)</f>
        <v>1.7740557286861822</v>
      </c>
      <c r="AH115" s="36">
        <f>AH84*'Inputs'!$E$31*'Inputs'!$E$27*'Inputs'!$E$61/'Inputs'!$E$62/(1+'Inputs'!$E$44)</f>
        <v>1.7684533644159717</v>
      </c>
      <c r="AI115" s="36">
        <f>AI84*'Inputs'!$E$31*'Inputs'!$E$27*'Inputs'!$E$61/'Inputs'!$E$62/(1+'Inputs'!$E$44)</f>
        <v>1.759963545838189</v>
      </c>
      <c r="AJ115" s="36">
        <f>AJ84*'Inputs'!$E$31*'Inputs'!$E$27*'Inputs'!$E$61/'Inputs'!$E$62/(1+'Inputs'!$E$44)</f>
        <v>1.7488645147148916</v>
      </c>
      <c r="AK115" s="36">
        <f>AK84*'Inputs'!$E$31*'Inputs'!$E$27*'Inputs'!$E$61/'Inputs'!$E$62/(1+'Inputs'!$E$44)</f>
        <v>1.7497502890499728</v>
      </c>
      <c r="AL115" s="36">
        <f>AL84*'Inputs'!$E$31*'Inputs'!$E$27*'Inputs'!$E$61/'Inputs'!$E$62/(1+'Inputs'!$E$44)</f>
        <v>1.7487753035459424</v>
      </c>
      <c r="AM115" s="36">
        <f>AM84*'Inputs'!$E$31*'Inputs'!$E$27*'Inputs'!$E$61/'Inputs'!$E$62/(1+'Inputs'!$E$44)</f>
        <v>1.7461114317183772</v>
      </c>
      <c r="AN115" s="36">
        <f>AN84*'Inputs'!$E$31*'Inputs'!$E$27*'Inputs'!$E$61/'Inputs'!$E$62/(1+'Inputs'!$E$44)</f>
        <v>1.741914772575046</v>
      </c>
      <c r="AO115" s="36">
        <f>AO84*'Inputs'!$E$31*'Inputs'!$E$27*'Inputs'!$E$61/'Inputs'!$E$62/(1+'Inputs'!$E$44)</f>
        <v>1.7363270904960815</v>
      </c>
      <c r="AP115" s="36">
        <f>AP84*'Inputs'!$E$31*'Inputs'!$E$27*'Inputs'!$E$61/'Inputs'!$E$62/(1+'Inputs'!$E$44)</f>
        <v>1.7294771243053535</v>
      </c>
      <c r="AQ115" s="36">
        <f>AQ84*'Inputs'!$E$31*'Inputs'!$E$27*'Inputs'!$E$61/'Inputs'!$E$62/(1+'Inputs'!$E$44)</f>
        <v>1.7214817773673818</v>
      </c>
    </row>
    <row r="116" ht="22" customHeight="1">
      <c r="A116" s="2" t="str">
        <v>AT.WEB_GROSS</v>
      </c>
      <c r="B116" s="6" t="str">
        <v>Austria: web card volume (incl. VAT)</v>
      </c>
      <c r="C116" s="2" t="str">
        <v>EUR_per_user</v>
      </c>
      <c r="D116" s="2" t="str">
        <v>NA</v>
      </c>
      <c r="E116" s="2"/>
      <c r="F116" s="6" t="str"/>
      <c r="G116" s="2"/>
      <c r="H116" s="36">
        <f>H32*(1-'Inputs'!$E$25)+H115*(1+'Inputs'!$E$44)</f>
        <v>2.44752</v>
      </c>
      <c r="I116" s="36">
        <f>I32*(1-'Inputs'!$E$25)+I115*(1+'Inputs'!$E$44)</f>
        <v>0.6159545280000001</v>
      </c>
      <c r="J116" s="36">
        <f>J32*(1-'Inputs'!$E$25)+J115*(1+'Inputs'!$E$44)</f>
        <v>0.5813632926719999</v>
      </c>
      <c r="K116" s="36">
        <f>K32*(1-'Inputs'!$E$25)+K115*(1+'Inputs'!$E$44)</f>
        <v>0.5548668140962559</v>
      </c>
      <c r="L116" s="36">
        <f>L32*(1-'Inputs'!$E$25)+L115*(1+'Inputs'!$E$44)</f>
        <v>0.8524525620686056</v>
      </c>
      <c r="M116" s="36">
        <f>M32*(1-'Inputs'!$E$25)+M115*(1+'Inputs'!$E$44)</f>
        <v>1.0888900492962195</v>
      </c>
      <c r="N116" s="36">
        <f>N32*(1-'Inputs'!$E$25)+N115*(1+'Inputs'!$E$44)</f>
        <v>1.2877490706034518</v>
      </c>
      <c r="O116" s="36">
        <f>O32*(1-'Inputs'!$E$25)+O115*(1+'Inputs'!$E$44)</f>
        <v>1.4455827616009478</v>
      </c>
      <c r="P116" s="36">
        <f>P32*(1-'Inputs'!$E$25)+P115*(1+'Inputs'!$E$44)</f>
        <v>1.5667274551844743</v>
      </c>
      <c r="Q116" s="36">
        <f>Q32*(1-'Inputs'!$E$25)+Q115*(1+'Inputs'!$E$44)</f>
        <v>1.6550791414551362</v>
      </c>
      <c r="R116" s="36">
        <f>R32*(1-'Inputs'!$E$25)+R115*(1+'Inputs'!$E$44)</f>
        <v>1.7517304167038596</v>
      </c>
      <c r="S116" s="36">
        <f>S32*(1-'Inputs'!$E$25)+S115*(1+'Inputs'!$E$44)</f>
        <v>1.829608681444886</v>
      </c>
      <c r="T116" s="36">
        <f>T32*(1-'Inputs'!$E$25)+T115*(1+'Inputs'!$E$44)</f>
        <v>2.5709546442157727</v>
      </c>
      <c r="U116" s="36">
        <f>U32*(1-'Inputs'!$E$25)+U115*(1+'Inputs'!$E$44)</f>
        <v>2.016988841117563</v>
      </c>
      <c r="V116" s="36">
        <f>V32*(1-'Inputs'!$E$25)+V115*(1+'Inputs'!$E$44)</f>
        <v>2.0828686528173765</v>
      </c>
      <c r="W116" s="36">
        <f>W32*(1-'Inputs'!$E$25)+W115*(1+'Inputs'!$E$44)</f>
        <v>2.143404913044118</v>
      </c>
      <c r="X116" s="36">
        <f>X32*(1-'Inputs'!$E$25)+X115*(1+'Inputs'!$E$44)</f>
        <v>2.196237318398419</v>
      </c>
      <c r="Y116" s="36">
        <f>Y32*(1-'Inputs'!$E$25)+Y115*(1+'Inputs'!$E$44)</f>
        <v>2.2433051812508658</v>
      </c>
      <c r="Z116" s="36">
        <f>Z32*(1-'Inputs'!$E$25)+Z115*(1+'Inputs'!$E$44)</f>
        <v>2.284617923981935</v>
      </c>
      <c r="AA116" s="36">
        <f>AA32*(1-'Inputs'!$E$25)+AA115*(1+'Inputs'!$E$44)</f>
        <v>2.320133614691992</v>
      </c>
      <c r="AB116" s="36">
        <f>AB32*(1-'Inputs'!$E$25)+AB115*(1+'Inputs'!$E$44)</f>
        <v>2.350379221963192</v>
      </c>
      <c r="AC116" s="36">
        <f>AC32*(1-'Inputs'!$E$25)+AC115*(1+'Inputs'!$E$44)</f>
        <v>2.375834082947582</v>
      </c>
      <c r="AD116" s="36">
        <f>AD32*(1-'Inputs'!$E$25)+AD115*(1+'Inputs'!$E$44)</f>
        <v>2.397546494883314</v>
      </c>
      <c r="AE116" s="36">
        <f>AE32*(1-'Inputs'!$E$25)+AE115*(1+'Inputs'!$E$44)</f>
        <v>2.4152978134473972</v>
      </c>
      <c r="AF116" s="36">
        <f>AF32*(1-'Inputs'!$E$25)+AF115*(1+'Inputs'!$E$44)</f>
        <v>2.667571098082211</v>
      </c>
      <c r="AG116" s="36">
        <f>AG32*(1-'Inputs'!$E$25)+AG115*(1+'Inputs'!$E$44)</f>
        <v>2.436589170102774</v>
      </c>
      <c r="AH116" s="36">
        <f>AH32*(1-'Inputs'!$E$25)+AH115*(1+'Inputs'!$E$44)</f>
        <v>2.421847097767639</v>
      </c>
      <c r="AI116" s="36">
        <f>AI32*(1-'Inputs'!$E$25)+AI115*(1+'Inputs'!$E$44)</f>
        <v>2.4049047805199426</v>
      </c>
      <c r="AJ116" s="36">
        <f>AJ32*(1-'Inputs'!$E$25)+AJ115*(1+'Inputs'!$E$44)</f>
        <v>2.3849861125935394</v>
      </c>
      <c r="AK116" s="36">
        <f>AK32*(1-'Inputs'!$E$25)+AK115*(1+'Inputs'!$E$44)</f>
        <v>2.380577880051359</v>
      </c>
      <c r="AL116" s="36">
        <f>AL32*(1-'Inputs'!$E$25)+AL115*(1+'Inputs'!$E$44)</f>
        <v>2.3743835939801947</v>
      </c>
      <c r="AM116" s="36">
        <f>AM32*(1-'Inputs'!$E$25)+AM115*(1+'Inputs'!$E$44)</f>
        <v>2.366371696691786</v>
      </c>
      <c r="AN116" s="36">
        <f>AN32*(1-'Inputs'!$E$25)+AN115*(1+'Inputs'!$E$44)</f>
        <v>2.356710968883928</v>
      </c>
      <c r="AO116" s="36">
        <f>AO32*(1-'Inputs'!$E$25)+AO115*(1+'Inputs'!$E$44)</f>
        <v>2.345554657534279</v>
      </c>
      <c r="AP116" s="36">
        <f>AP32*(1-'Inputs'!$E$25)+AP115*(1+'Inputs'!$E$44)</f>
        <v>2.3332562027673514</v>
      </c>
      <c r="AQ116" s="36">
        <f>AQ32*(1-'Inputs'!$E$25)+AQ115*(1+'Inputs'!$E$44)</f>
        <v>2.3197265975268557</v>
      </c>
    </row>
    <row r="117" ht="22" customHeight="1">
      <c r="A117" s="2" t="str">
        <v>AT.TRANSACTIONS</v>
      </c>
      <c r="B117" s="6" t="str">
        <v>Austria: web card payments (count)</v>
      </c>
      <c r="C117" s="2" t="str">
        <v>EUR_per_user</v>
      </c>
      <c r="D117" s="2" t="str">
        <v>NA</v>
      </c>
      <c r="E117" s="2"/>
      <c r="F117" s="6" t="str"/>
      <c r="G117" s="2"/>
      <c r="H117" s="36">
        <f>H34*(1-'Inputs'!$E$25)+H84*'Inputs'!$E$31</f>
        <v>0.047999999999999994</v>
      </c>
      <c r="I117" s="36">
        <f>I34*(1-'Inputs'!$E$25)+I84*'Inputs'!$E$31</f>
        <v>0.033667199999999994</v>
      </c>
      <c r="J117" s="36">
        <f>J34*(1-'Inputs'!$E$25)+J84*'Inputs'!$E$31</f>
        <v>0.032436172799999996</v>
      </c>
      <c r="K117" s="36">
        <f>K34*(1-'Inputs'!$E$25)+K84*'Inputs'!$E$31</f>
        <v>0.031212026534399993</v>
      </c>
      <c r="L117" s="36">
        <f>L34*(1-'Inputs'!$E$25)+L84*'Inputs'!$E$31</f>
        <v>0.046184701920243196</v>
      </c>
      <c r="M117" s="36">
        <f>M34*(1-'Inputs'!$E$25)+M84*'Inputs'!$E$31</f>
        <v>0.05794887683635636</v>
      </c>
      <c r="N117" s="36">
        <f>N34*(1-'Inputs'!$E$25)+N84*'Inputs'!$E$31</f>
        <v>0.06776750313817875</v>
      </c>
      <c r="O117" s="36">
        <f>O34*(1-'Inputs'!$E$25)+O84*'Inputs'!$E$31</f>
        <v>0.07554292444058082</v>
      </c>
      <c r="P117" s="36">
        <f>P34*(1-'Inputs'!$E$25)+P84*'Inputs'!$E$31</f>
        <v>0.08149127115963889</v>
      </c>
      <c r="Q117" s="36">
        <f>Q34*(1-'Inputs'!$E$25)+Q84*'Inputs'!$E$31</f>
        <v>0.08580671555564509</v>
      </c>
      <c r="R117" s="36">
        <f>R34*(1-'Inputs'!$E$25)+R84*'Inputs'!$E$31</f>
        <v>0.09047726224280996</v>
      </c>
      <c r="S117" s="36">
        <f>S34*(1-'Inputs'!$E$25)+S84*'Inputs'!$E$31</f>
        <v>0.0942221936168201</v>
      </c>
      <c r="T117" s="36">
        <f>T34*(1-'Inputs'!$E$25)+T84*'Inputs'!$E$31</f>
        <v>0.10217490777529405</v>
      </c>
      <c r="U117" s="36">
        <f>U34*(1-'Inputs'!$E$25)+U84*'Inputs'!$E$31</f>
        <v>0.10137118328772143</v>
      </c>
      <c r="V117" s="36">
        <f>V34*(1-'Inputs'!$E$25)+V84*'Inputs'!$E$31</f>
        <v>0.10477694720295219</v>
      </c>
      <c r="W117" s="36">
        <f>W34*(1-'Inputs'!$E$25)+W84*'Inputs'!$E$31</f>
        <v>0.10779548109818983</v>
      </c>
      <c r="X117" s="36">
        <f>X34*(1-'Inputs'!$E$25)+X84*'Inputs'!$E$31</f>
        <v>0.1104408281182369</v>
      </c>
      <c r="Y117" s="36">
        <f>Y34*(1-'Inputs'!$E$25)+Y84*'Inputs'!$E$31</f>
        <v>0.11275603659547684</v>
      </c>
      <c r="Z117" s="36">
        <f>Z34*(1-'Inputs'!$E$25)+Z84*'Inputs'!$E$31</f>
        <v>0.11476726810900105</v>
      </c>
      <c r="AA117" s="36">
        <f>AA34*(1-'Inputs'!$E$25)+AA84*'Inputs'!$E$31</f>
        <v>0.11649794661761076</v>
      </c>
      <c r="AB117" s="36">
        <f>AB34*(1-'Inputs'!$E$25)+AB84*'Inputs'!$E$31</f>
        <v>0.1179735654109759</v>
      </c>
      <c r="AC117" s="36">
        <f>AC34*(1-'Inputs'!$E$25)+AC84*'Inputs'!$E$31</f>
        <v>0.11921731297490964</v>
      </c>
      <c r="AD117" s="36">
        <f>AD34*(1-'Inputs'!$E$25)+AD84*'Inputs'!$E$31</f>
        <v>0.1202548164573514</v>
      </c>
      <c r="AE117" s="36">
        <f>AE34*(1-'Inputs'!$E$25)+AE84*'Inputs'!$E$31</f>
        <v>0.1211007013982167</v>
      </c>
      <c r="AF117" s="36">
        <f>AF34*(1-'Inputs'!$E$25)+AF84*'Inputs'!$E$31</f>
        <v>0.12353641457561144</v>
      </c>
      <c r="AG117" s="36">
        <f>AG34*(1-'Inputs'!$E$25)+AG84*'Inputs'!$E$31</f>
        <v>0.12141659562780158</v>
      </c>
      <c r="AH117" s="36">
        <f>AH34*(1-'Inputs'!$E$25)+AH84*'Inputs'!$E$31</f>
        <v>0.12074586181873578</v>
      </c>
      <c r="AI117" s="36">
        <f>AI34*(1-'Inputs'!$E$25)+AI84*'Inputs'!$E$31</f>
        <v>0.1199207971256232</v>
      </c>
      <c r="AJ117" s="36">
        <f>AJ34*(1-'Inputs'!$E$25)+AJ84*'Inputs'!$E$31</f>
        <v>0.1189490233286073</v>
      </c>
      <c r="AK117" s="36">
        <f>AK34*(1-'Inputs'!$E$25)+AK84*'Inputs'!$E$31</f>
        <v>0.1187198079309326</v>
      </c>
      <c r="AL117" s="36">
        <f>AL34*(1-'Inputs'!$E$25)+AL84*'Inputs'!$E$31</f>
        <v>0.11839562779268284</v>
      </c>
      <c r="AM117" s="36">
        <f>AM34*(1-'Inputs'!$E$25)+AM84*'Inputs'!$E$31</f>
        <v>0.1179838349387761</v>
      </c>
      <c r="AN117" s="36">
        <f>AN34*(1-'Inputs'!$E$25)+AN84*'Inputs'!$E$31</f>
        <v>0.1174925670242838</v>
      </c>
      <c r="AO117" s="36">
        <f>AO34*(1-'Inputs'!$E$25)+AO84*'Inputs'!$E$31</f>
        <v>0.11692921207201197</v>
      </c>
      <c r="AP117" s="36">
        <f>AP34*(1-'Inputs'!$E$25)+AP84*'Inputs'!$E$31</f>
        <v>0.11630206466067664</v>
      </c>
      <c r="AQ117" s="36">
        <f>AQ34*(1-'Inputs'!$E$25)+AQ84*'Inputs'!$E$31</f>
        <v>0.11561561807758608</v>
      </c>
    </row>
    <row r="118" ht="28" customHeight="1">
      <c r="A118" s="2" t="str">
        <v>AT.TRADER</v>
      </c>
      <c r="B118" s="6" t="str">
        <v>Austria: lead-trader share of copy fees</v>
      </c>
      <c r="C118" s="2" t="str">
        <v>EUR_per_user</v>
      </c>
      <c r="D118" s="2" t="str">
        <v>NA</v>
      </c>
      <c r="E118" s="2"/>
      <c r="F118" s="6" t="str"/>
      <c r="G118" s="2"/>
      <c r="H118" s="36">
        <f>H115*'Inputs'!$E$28</f>
        <v>0.0</v>
      </c>
      <c r="I118" s="36">
        <f>I115*'Inputs'!$E$28</f>
        <v>0.0</v>
      </c>
      <c r="J118" s="36">
        <f>J115*'Inputs'!$E$28</f>
        <v>0.0</v>
      </c>
      <c r="K118" s="36">
        <f>K115*'Inputs'!$E$28</f>
        <v>0.0</v>
      </c>
      <c r="L118" s="36">
        <f>L115*'Inputs'!$E$28</f>
        <v>0.13534895833333335</v>
      </c>
      <c r="M118" s="36">
        <f>M115*'Inputs'!$E$28</f>
        <v>0.2436416598958333</v>
      </c>
      <c r="N118" s="36">
        <f>N115*'Inputs'!$E$28</f>
        <v>0.3352597081640625</v>
      </c>
      <c r="O118" s="36">
        <f>O115*'Inputs'!$E$28</f>
        <v>0.4095288423381119</v>
      </c>
      <c r="P118" s="36">
        <f>P115*'Inputs'!$E$28</f>
        <v>0.468276250956921</v>
      </c>
      <c r="Q118" s="36">
        <f>Q115*'Inputs'!$E$28</f>
        <v>0.5131438464121396</v>
      </c>
      <c r="R118" s="36">
        <f>R115*'Inputs'!$E$28</f>
        <v>0.5603526837115409</v>
      </c>
      <c r="S118" s="36">
        <f>S115*'Inputs'!$E$28</f>
        <v>0.5993882319838828</v>
      </c>
      <c r="T118" s="36">
        <f>T115*'Inputs'!$E$28</f>
        <v>0.6310687732851109</v>
      </c>
      <c r="U118" s="36">
        <f>U115*'Inputs'!$E$28</f>
        <v>0.6701925166006272</v>
      </c>
      <c r="V118" s="36">
        <f>V115*'Inputs'!$E$28</f>
        <v>0.7050356183321875</v>
      </c>
      <c r="W118" s="36">
        <f>W115*'Inputs'!$E$28</f>
        <v>0.7359855951963182</v>
      </c>
      <c r="X118" s="36">
        <f>X115*'Inputs'!$E$28</f>
        <v>0.7633950137031797</v>
      </c>
      <c r="Y118" s="36">
        <f>Y115*'Inputs'!$E$28</f>
        <v>0.7875846318833731</v>
      </c>
      <c r="Z118" s="36">
        <f>Z115*'Inputs'!$E$28</f>
        <v>0.8088462594364282</v>
      </c>
      <c r="AA118" s="36">
        <f>AA115*'Inputs'!$E$28</f>
        <v>0.8274453614703149</v>
      </c>
      <c r="AB118" s="36">
        <f>AB115*'Inputs'!$E$28</f>
        <v>0.8436234287569291</v>
      </c>
      <c r="AC118" s="36">
        <f>AC115*'Inputs'!$E$28</f>
        <v>0.8576001353838211</v>
      </c>
      <c r="AD118" s="36">
        <f>AD115*'Inputs'!$E$28</f>
        <v>0.8695753028197061</v>
      </c>
      <c r="AE118" s="36">
        <f>AE115*'Inputs'!$E$28</f>
        <v>0.879730687714384</v>
      </c>
      <c r="AF118" s="36">
        <f>AF115*'Inputs'!$E$28</f>
        <v>0.8882316092078443</v>
      </c>
      <c r="AG118" s="36">
        <f>AG115*'Inputs'!$E$28</f>
        <v>0.8870278643430911</v>
      </c>
      <c r="AH118" s="36">
        <f>AH115*'Inputs'!$E$28</f>
        <v>0.8842266822079858</v>
      </c>
      <c r="AI118" s="36">
        <f>AI115*'Inputs'!$E$28</f>
        <v>0.8799817729190945</v>
      </c>
      <c r="AJ118" s="36">
        <f>AJ115*'Inputs'!$E$28</f>
        <v>0.8744322573574458</v>
      </c>
      <c r="AK118" s="36">
        <f>AK115*'Inputs'!$E$28</f>
        <v>0.8748751445249864</v>
      </c>
      <c r="AL118" s="36">
        <f>AL115*'Inputs'!$E$28</f>
        <v>0.8743876517729712</v>
      </c>
      <c r="AM118" s="36">
        <f>AM115*'Inputs'!$E$28</f>
        <v>0.8730557158591886</v>
      </c>
      <c r="AN118" s="36">
        <f>AN115*'Inputs'!$E$28</f>
        <v>0.870957386287523</v>
      </c>
      <c r="AO118" s="36">
        <f>AO115*'Inputs'!$E$28</f>
        <v>0.8681635452480407</v>
      </c>
      <c r="AP118" s="36">
        <f>AP115*'Inputs'!$E$28</f>
        <v>0.8647385621526767</v>
      </c>
      <c r="AQ118" s="36">
        <f>AQ115*'Inputs'!$E$28</f>
        <v>0.8607408886836909</v>
      </c>
    </row>
    <row r="119" ht="22" customHeight="1">
      <c r="A119" s="2" t="str">
        <v>AT.PROCESSOR</v>
      </c>
      <c r="B119" s="6" t="str">
        <v>Austria: card processing fees</v>
      </c>
      <c r="C119" s="2" t="str">
        <v>EUR_per_user</v>
      </c>
      <c r="D119" s="2" t="str">
        <v>NA</v>
      </c>
      <c r="E119" s="2"/>
      <c r="F119" s="6" t="str"/>
      <c r="G119" s="2"/>
      <c r="H119" s="36">
        <f>H116*'Inputs'!$E$32+H117*'Inputs'!$E$33</f>
        <v>0.048712799999999994</v>
      </c>
      <c r="I119" s="36">
        <f>I116*'Inputs'!$E$32+I117*'Inputs'!$E$33</f>
        <v>0.01765611792</v>
      </c>
      <c r="J119" s="36">
        <f>J116*'Inputs'!$E$32+J117*'Inputs'!$E$33</f>
        <v>0.01682949259008</v>
      </c>
      <c r="K119" s="36">
        <f>K116*'Inputs'!$E$32+K117*'Inputs'!$E$33</f>
        <v>0.016126008845043838</v>
      </c>
      <c r="L119" s="36">
        <f>L116*'Inputs'!$E$32+L117*'Inputs'!$E$33</f>
        <v>0.024332963911089883</v>
      </c>
      <c r="M119" s="36">
        <f>M116*'Inputs'!$E$32+M117*'Inputs'!$E$33</f>
        <v>0.030820569948532384</v>
      </c>
      <c r="N119" s="36">
        <f>N116*'Inputs'!$E$32+N117*'Inputs'!$E$33</f>
        <v>0.036258111843596466</v>
      </c>
      <c r="O119" s="36">
        <f>O116*'Inputs'!$E$32+O117*'Inputs'!$E$33</f>
        <v>0.04056947253415942</v>
      </c>
      <c r="P119" s="36">
        <f>P116*'Inputs'!$E$32+P117*'Inputs'!$E$33</f>
        <v>0.04387372961767684</v>
      </c>
      <c r="Q119" s="36">
        <f>Q116*'Inputs'!$E$32+Q117*'Inputs'!$E$33</f>
        <v>0.046277866010738314</v>
      </c>
      <c r="R119" s="36">
        <f>R116*'Inputs'!$E$32+R117*'Inputs'!$E$33</f>
        <v>0.04889527181126038</v>
      </c>
      <c r="S119" s="36">
        <f>S116*'Inputs'!$E$32+S117*'Inputs'!$E$33</f>
        <v>0.050999678625878314</v>
      </c>
      <c r="T119" s="36">
        <f>T116*'Inputs'!$E$32+T117*'Inputs'!$E$33</f>
        <v>0.0641080466070601</v>
      </c>
      <c r="U119" s="36">
        <f>U116*'Inputs'!$E$32+U117*'Inputs'!$E$33</f>
        <v>0.0555976284386938</v>
      </c>
      <c r="V119" s="36">
        <f>V116*'Inputs'!$E$32+V117*'Inputs'!$E$33</f>
        <v>0.05743726659299869</v>
      </c>
      <c r="W119" s="36">
        <f>W116*'Inputs'!$E$32+W117*'Inputs'!$E$33</f>
        <v>0.05909994397020922</v>
      </c>
      <c r="X119" s="36">
        <f>X116*'Inputs'!$E$32+X117*'Inputs'!$E$33</f>
        <v>0.06055376680553551</v>
      </c>
      <c r="Y119" s="36">
        <f>Y116*'Inputs'!$E$32+Y117*'Inputs'!$E$33</f>
        <v>0.061838586867632196</v>
      </c>
      <c r="Z119" s="36">
        <f>Z116*'Inputs'!$E$32+Z117*'Inputs'!$E$33</f>
        <v>0.06296108588697928</v>
      </c>
      <c r="AA119" s="36">
        <f>AA116*'Inputs'!$E$32+AA117*'Inputs'!$E$33</f>
        <v>0.06392649087478257</v>
      </c>
      <c r="AB119" s="36">
        <f>AB116*'Inputs'!$E$32+AB117*'Inputs'!$E$33</f>
        <v>0.06474907968219185</v>
      </c>
      <c r="AC119" s="36">
        <f>AC116*'Inputs'!$E$32+AC117*'Inputs'!$E$33</f>
        <v>0.06544183948794113</v>
      </c>
      <c r="AD119" s="36">
        <f>AD116*'Inputs'!$E$32+AD117*'Inputs'!$E$33</f>
        <v>0.06602690153758756</v>
      </c>
      <c r="AE119" s="36">
        <f>AE116*'Inputs'!$E$32+AE117*'Inputs'!$E$33</f>
        <v>0.06650464255126513</v>
      </c>
      <c r="AF119" s="36">
        <f>AF116*'Inputs'!$E$32+AF117*'Inputs'!$E$33</f>
        <v>0.07089767011513602</v>
      </c>
      <c r="AG119" s="36">
        <f>AG116*'Inputs'!$E$32+AG117*'Inputs'!$E$33</f>
        <v>0.066902986458492</v>
      </c>
      <c r="AH119" s="36">
        <f>AH116*'Inputs'!$E$32+AH117*'Inputs'!$E$33</f>
        <v>0.06651417192119853</v>
      </c>
      <c r="AI119" s="36">
        <f>AI116*'Inputs'!$E$32+AI117*'Inputs'!$E$33</f>
        <v>0.06605377098920494</v>
      </c>
      <c r="AJ119" s="36">
        <f>AJ116*'Inputs'!$E$32+AJ117*'Inputs'!$E$33</f>
        <v>0.06551204752105491</v>
      </c>
      <c r="AK119" s="36">
        <f>AK116*'Inputs'!$E$32+AK117*'Inputs'!$E$33</f>
        <v>0.06538862018350354</v>
      </c>
      <c r="AL119" s="36">
        <f>AL116*'Inputs'!$E$32+AL117*'Inputs'!$E$33</f>
        <v>0.06521466085787363</v>
      </c>
      <c r="AM119" s="36">
        <f>AM116*'Inputs'!$E$32+AM117*'Inputs'!$E$33</f>
        <v>0.06499153418507081</v>
      </c>
      <c r="AN119" s="36">
        <f>AN116*'Inputs'!$E$32+AN117*'Inputs'!$E$33</f>
        <v>0.06472380628932986</v>
      </c>
      <c r="AO119" s="36">
        <f>AO116*'Inputs'!$E$32+AO117*'Inputs'!$E$33</f>
        <v>0.06441562288101718</v>
      </c>
      <c r="AP119" s="36">
        <f>AP116*'Inputs'!$E$32+AP117*'Inputs'!$E$33</f>
        <v>0.06407435920667942</v>
      </c>
      <c r="AQ119" s="36">
        <f>AQ116*'Inputs'!$E$32+AQ117*'Inputs'!$E$33</f>
        <v>0.06369980348229935</v>
      </c>
    </row>
    <row r="120" ht="22" customHeight="1">
      <c r="A120" s="2" t="str">
        <v>AT.BILLING</v>
      </c>
      <c r="B120" s="6" t="str">
        <v>Austria: subscription billing fees</v>
      </c>
      <c r="C120" s="2" t="str">
        <v>EUR_per_user</v>
      </c>
      <c r="D120" s="2" t="str">
        <v>NA</v>
      </c>
      <c r="E120" s="2"/>
      <c r="F120" s="6" t="str"/>
      <c r="G120" s="2"/>
      <c r="H120" s="36">
        <f>H116*'Inputs'!$E$34</f>
        <v>0.01713264</v>
      </c>
      <c r="I120" s="36">
        <f>I116*'Inputs'!$E$34</f>
        <v>0.004311681696</v>
      </c>
      <c r="J120" s="36">
        <f>J116*'Inputs'!$E$34</f>
        <v>0.004069543048703999</v>
      </c>
      <c r="K120" s="36">
        <f>K116*'Inputs'!$E$34</f>
        <v>0.0038840676986737917</v>
      </c>
      <c r="L120" s="36">
        <f>L116*'Inputs'!$E$34</f>
        <v>0.0059671679344802395</v>
      </c>
      <c r="M120" s="36">
        <f>M116*'Inputs'!$E$34</f>
        <v>0.007622230345073536</v>
      </c>
      <c r="N120" s="36">
        <f>N116*'Inputs'!$E$34</f>
        <v>0.009014243494224163</v>
      </c>
      <c r="O120" s="36">
        <f>O116*'Inputs'!$E$34</f>
        <v>0.010119079331206635</v>
      </c>
      <c r="P120" s="36">
        <f>P116*'Inputs'!$E$34</f>
        <v>0.01096709218629132</v>
      </c>
      <c r="Q120" s="36">
        <f>Q116*'Inputs'!$E$34</f>
        <v>0.011585553990185954</v>
      </c>
      <c r="R120" s="36">
        <f>R116*'Inputs'!$E$34</f>
        <v>0.012262112916927017</v>
      </c>
      <c r="S120" s="36">
        <f>S116*'Inputs'!$E$34</f>
        <v>0.012807260770114202</v>
      </c>
      <c r="T120" s="36">
        <f>T116*'Inputs'!$E$34</f>
        <v>0.01799668250951041</v>
      </c>
      <c r="U120" s="36">
        <f>U116*'Inputs'!$E$34</f>
        <v>0.014118921887822943</v>
      </c>
      <c r="V120" s="36">
        <f>V116*'Inputs'!$E$34</f>
        <v>0.014580080569721637</v>
      </c>
      <c r="W120" s="36">
        <f>W116*'Inputs'!$E$34</f>
        <v>0.015003834391308826</v>
      </c>
      <c r="X120" s="36">
        <f>X116*'Inputs'!$E$34</f>
        <v>0.015373661228788934</v>
      </c>
      <c r="Y120" s="36">
        <f>Y116*'Inputs'!$E$34</f>
        <v>0.015703136268756062</v>
      </c>
      <c r="Z120" s="36">
        <f>Z116*'Inputs'!$E$34</f>
        <v>0.015992325467873544</v>
      </c>
      <c r="AA120" s="36">
        <f>AA116*'Inputs'!$E$34</f>
        <v>0.016240935302843946</v>
      </c>
      <c r="AB120" s="36">
        <f>AB116*'Inputs'!$E$34</f>
        <v>0.016452654553742344</v>
      </c>
      <c r="AC120" s="36">
        <f>AC116*'Inputs'!$E$34</f>
        <v>0.016630838580633075</v>
      </c>
      <c r="AD120" s="36">
        <f>AD116*'Inputs'!$E$34</f>
        <v>0.0167828254641832</v>
      </c>
      <c r="AE120" s="36">
        <f>AE116*'Inputs'!$E$34</f>
        <v>0.016907084694131783</v>
      </c>
      <c r="AF120" s="36">
        <f>AF116*'Inputs'!$E$34</f>
        <v>0.018672997686575477</v>
      </c>
      <c r="AG120" s="36">
        <f>AG116*'Inputs'!$E$34</f>
        <v>0.01705612419071942</v>
      </c>
      <c r="AH120" s="36">
        <f>AH116*'Inputs'!$E$34</f>
        <v>0.016952929684373473</v>
      </c>
      <c r="AI120" s="36">
        <f>AI116*'Inputs'!$E$34</f>
        <v>0.0168343334636396</v>
      </c>
      <c r="AJ120" s="36">
        <f>AJ116*'Inputs'!$E$34</f>
        <v>0.016694902788154775</v>
      </c>
      <c r="AK120" s="36">
        <f>AK116*'Inputs'!$E$34</f>
        <v>0.016664045160359513</v>
      </c>
      <c r="AL120" s="36">
        <f>AL116*'Inputs'!$E$34</f>
        <v>0.016620685157861362</v>
      </c>
      <c r="AM120" s="36">
        <f>AM116*'Inputs'!$E$34</f>
        <v>0.016564601876842503</v>
      </c>
      <c r="AN120" s="36">
        <f>AN116*'Inputs'!$E$34</f>
        <v>0.016496976782187495</v>
      </c>
      <c r="AO120" s="36">
        <f>AO116*'Inputs'!$E$34</f>
        <v>0.016418882602739954</v>
      </c>
      <c r="AP120" s="36">
        <f>AP116*'Inputs'!$E$34</f>
        <v>0.01633279341937146</v>
      </c>
      <c r="AQ120" s="36">
        <f>AQ116*'Inputs'!$E$34</f>
        <v>0.016238086182687992</v>
      </c>
    </row>
    <row r="121" ht="22" customHeight="1">
      <c r="A121" s="2" t="str">
        <v>AT.STORE</v>
      </c>
      <c r="B121" s="6" t="str">
        <v>Austria: app-store commission</v>
      </c>
      <c r="C121" s="2" t="str">
        <v>EUR_per_user</v>
      </c>
      <c r="D121" s="2" t="str">
        <v>NA</v>
      </c>
      <c r="E121" s="2"/>
      <c r="F121" s="6" t="str"/>
      <c r="G121" s="2"/>
      <c r="H121" s="36">
        <f>H32*'Inputs'!$E$25/(1+'Inputs'!$E$44)*'Inputs'!$E$26</f>
        <v>0.20396000000000006</v>
      </c>
      <c r="I121" s="36">
        <f>I32*'Inputs'!$E$25/(1+'Inputs'!$E$44)*'Inputs'!$E$26</f>
        <v>0.051329544000000005</v>
      </c>
      <c r="J121" s="36">
        <f>J32*'Inputs'!$E$25/(1+'Inputs'!$E$44)*'Inputs'!$E$26</f>
        <v>0.048446941056</v>
      </c>
      <c r="K121" s="36">
        <f>K32*'Inputs'!$E$25/(1+'Inputs'!$E$44)*'Inputs'!$E$26</f>
        <v>0.046238901174688006</v>
      </c>
      <c r="L121" s="36">
        <f>L32*'Inputs'!$E$25/(1+'Inputs'!$E$44)*'Inputs'!$E$26</f>
        <v>0.04396792183905047</v>
      </c>
      <c r="M121" s="36">
        <f>M32*'Inputs'!$E$25/(1+'Inputs'!$E$44)*'Inputs'!$E$26</f>
        <v>0.04201250546218497</v>
      </c>
      <c r="N121" s="36">
        <f>N32*'Inputs'!$E$25/(1+'Inputs'!$E$44)*'Inputs'!$E$26</f>
        <v>0.04026048091747516</v>
      </c>
      <c r="O121" s="36">
        <f>O32*'Inputs'!$E$25/(1+'Inputs'!$E$44)*'Inputs'!$E$26</f>
        <v>0.03855946166578994</v>
      </c>
      <c r="P121" s="36">
        <f>P32*'Inputs'!$E$25/(1+'Inputs'!$E$44)*'Inputs'!$E$26</f>
        <v>0.03690537107398868</v>
      </c>
      <c r="Q121" s="36">
        <f>Q32*'Inputs'!$E$25/(1+'Inputs'!$E$44)*'Inputs'!$E$26</f>
        <v>0.03529449250550011</v>
      </c>
      <c r="R121" s="36">
        <f>R32*'Inputs'!$E$25/(1+'Inputs'!$E$44)*'Inputs'!$E$26</f>
        <v>0.033906997983013464</v>
      </c>
      <c r="S121" s="36">
        <f>S32*'Inputs'!$E$25/(1+'Inputs'!$E$44)*'Inputs'!$E$26</f>
        <v>0.032589743723630604</v>
      </c>
      <c r="T121" s="36">
        <f>T32*'Inputs'!$E$25/(1+'Inputs'!$E$44)*'Inputs'!$E$26</f>
        <v>0.08803246569429224</v>
      </c>
      <c r="U121" s="36">
        <f>U32*'Inputs'!$E$25/(1+'Inputs'!$E$44)*'Inputs'!$E$26</f>
        <v>0.03404390010633817</v>
      </c>
      <c r="V121" s="36">
        <f>V32*'Inputs'!$E$25/(1+'Inputs'!$E$44)*'Inputs'!$E$26</f>
        <v>0.032565264068343876</v>
      </c>
      <c r="W121" s="36">
        <f>W32*'Inputs'!$E$25/(1+'Inputs'!$E$44)*'Inputs'!$E$26</f>
        <v>0.031419957047746194</v>
      </c>
      <c r="X121" s="36">
        <f>X32*'Inputs'!$E$25/(1+'Inputs'!$E$44)*'Inputs'!$E$26</f>
        <v>0.030340773792565636</v>
      </c>
      <c r="Y121" s="36">
        <f>Y32*'Inputs'!$E$25/(1+'Inputs'!$E$44)*'Inputs'!$E$26</f>
        <v>0.02942517206089753</v>
      </c>
      <c r="Z121" s="36">
        <f>Z32*'Inputs'!$E$25/(1+'Inputs'!$E$44)*'Inputs'!$E$26</f>
        <v>0.028615575111208935</v>
      </c>
      <c r="AA121" s="36">
        <f>AA32*'Inputs'!$E$25/(1+'Inputs'!$E$44)*'Inputs'!$E$26</f>
        <v>0.027855395596936377</v>
      </c>
      <c r="AB121" s="36">
        <f>AB32*'Inputs'!$E$25/(1+'Inputs'!$E$44)*'Inputs'!$E$26</f>
        <v>0.027140249412213536</v>
      </c>
      <c r="AC121" s="36">
        <f>AC32*'Inputs'!$E$25/(1+'Inputs'!$E$44)*'Inputs'!$E$26</f>
        <v>0.02646614650220096</v>
      </c>
      <c r="AD121" s="36">
        <f>AD32*'Inputs'!$E$25/(1+'Inputs'!$E$44)*'Inputs'!$E$26</f>
        <v>0.025880480676334975</v>
      </c>
      <c r="AE121" s="36">
        <f>AE32*'Inputs'!$E$25/(1+'Inputs'!$E$44)*'Inputs'!$E$26</f>
        <v>0.025328680244406324</v>
      </c>
      <c r="AF121" s="36">
        <f>AF32*'Inputs'!$E$25/(1+'Inputs'!$E$44)*'Inputs'!$E$26</f>
        <v>0.04465126966528207</v>
      </c>
      <c r="AG121" s="36">
        <f>AG32*'Inputs'!$E$25/(1+'Inputs'!$E$44)*'Inputs'!$E$26</f>
        <v>0.02564352463994631</v>
      </c>
      <c r="AH121" s="36">
        <f>AH32*'Inputs'!$E$25/(1+'Inputs'!$E$44)*'Inputs'!$E$26</f>
        <v>0.024975255039039402</v>
      </c>
      <c r="AI121" s="36">
        <f>AI32*'Inputs'!$E$25/(1+'Inputs'!$E$44)*'Inputs'!$E$26</f>
        <v>0.02441237712617632</v>
      </c>
      <c r="AJ121" s="36">
        <f>AJ32*'Inputs'!$E$25/(1+'Inputs'!$E$44)*'Inputs'!$E$26</f>
        <v>0.02386239124463917</v>
      </c>
      <c r="AK121" s="36">
        <f>AK32*'Inputs'!$E$25/(1+'Inputs'!$E$44)*'Inputs'!$E$26</f>
        <v>0.02340646109928266</v>
      </c>
      <c r="AL121" s="36">
        <f>AL32*'Inputs'!$E$25/(1+'Inputs'!$E$44)*'Inputs'!$E$26</f>
        <v>0.022987769143755343</v>
      </c>
      <c r="AM121" s="36">
        <f>AM32*'Inputs'!$E$25/(1+'Inputs'!$E$44)*'Inputs'!$E$26</f>
        <v>0.022586498219144466</v>
      </c>
      <c r="AN121" s="36">
        <f>AN32*'Inputs'!$E$25/(1+'Inputs'!$E$44)*'Inputs'!$E$26</f>
        <v>0.022201103482822754</v>
      </c>
      <c r="AO121" s="36">
        <f>AO32*'Inputs'!$E$25/(1+'Inputs'!$E$44)*'Inputs'!$E$26</f>
        <v>0.021830179078248427</v>
      </c>
      <c r="AP121" s="36">
        <f>AP32*'Inputs'!$E$25/(1+'Inputs'!$E$44)*'Inputs'!$E$26</f>
        <v>0.02149030446674394</v>
      </c>
      <c r="AQ121" s="36">
        <f>AQ32*'Inputs'!$E$25/(1+'Inputs'!$E$44)*'Inputs'!$E$26</f>
        <v>0.021162372057166444</v>
      </c>
    </row>
    <row r="122" ht="22" customHeight="1">
      <c r="A122" s="2" t="str">
        <v>AT.DISPUTE</v>
      </c>
      <c r="B122" s="6" t="str">
        <v>Austria: card disputes</v>
      </c>
      <c r="C122" s="2" t="str">
        <v>EUR_per_user</v>
      </c>
      <c r="D122" s="2" t="str">
        <v>NA</v>
      </c>
      <c r="E122" s="2"/>
      <c r="F122" s="6" t="str"/>
      <c r="G122" s="2"/>
      <c r="H122" s="36">
        <f>H116*'Inputs'!$E$40+H117*'Inputs'!$E$40*'Inputs'!$E$41</f>
        <v>0.010222559999999999</v>
      </c>
      <c r="I122" s="36">
        <f>I116*'Inputs'!$E$40+I117*'Inputs'!$E$40*'Inputs'!$E$41</f>
        <v>0.003867895584</v>
      </c>
      <c r="J122" s="36">
        <f>J116*'Inputs'!$E$40+J117*'Inputs'!$E$40*'Inputs'!$E$41</f>
        <v>0.003690260246016</v>
      </c>
      <c r="K122" s="36">
        <f>K116*'Inputs'!$E$40+K117*'Inputs'!$E$40*'Inputs'!$E$41</f>
        <v>0.0035373220343527675</v>
      </c>
      <c r="L122" s="36">
        <f>L116*'Inputs'!$E$40+L117*'Inputs'!$E$40*'Inputs'!$E$41</f>
        <v>0.005328439801420408</v>
      </c>
      <c r="M122" s="36">
        <f>M116*'Inputs'!$E$40+M117*'Inputs'!$E$40*'Inputs'!$E$41</f>
        <v>0.00674360275807004</v>
      </c>
      <c r="N122" s="36">
        <f>N116*'Inputs'!$E$40+N117*'Inputs'!$E$40*'Inputs'!$E$41</f>
        <v>0.00792929740010108</v>
      </c>
      <c r="O122" s="36">
        <f>O116*'Inputs'!$E$40+O117*'Inputs'!$E$40*'Inputs'!$E$41</f>
        <v>0.008869323751237692</v>
      </c>
      <c r="P122" s="36">
        <f>P116*'Inputs'!$E$40+P117*'Inputs'!$E$40*'Inputs'!$E$41</f>
        <v>0.009589658635131757</v>
      </c>
      <c r="Q122" s="36">
        <f>Q116*'Inputs'!$E$40+Q117*'Inputs'!$E$40*'Inputs'!$E$41</f>
        <v>0.010113640357704115</v>
      </c>
      <c r="R122" s="36">
        <f>R116*'Inputs'!$E$40+R117*'Inputs'!$E$40*'Inputs'!$E$41</f>
        <v>0.010683826984680178</v>
      </c>
      <c r="S122" s="36">
        <f>S116*'Inputs'!$E$40+S117*'Inputs'!$E$40*'Inputs'!$E$41</f>
        <v>0.011142157661343865</v>
      </c>
      <c r="T122" s="36">
        <f>T116*'Inputs'!$E$40+T117*'Inputs'!$E$40*'Inputs'!$E$41</f>
        <v>0.013843358399164962</v>
      </c>
      <c r="U122" s="36">
        <f>U116*'Inputs'!$E$40+U117*'Inputs'!$E$40*'Inputs'!$E$41</f>
        <v>0.012133237520615976</v>
      </c>
      <c r="V122" s="36">
        <f>V116*'Inputs'!$E$40+V117*'Inputs'!$E$40*'Inputs'!$E$41</f>
        <v>0.012535222790629262</v>
      </c>
      <c r="W122" s="36">
        <f>W116*'Inputs'!$E$40+W117*'Inputs'!$E$40*'Inputs'!$E$41</f>
        <v>0.012897943605023745</v>
      </c>
      <c r="X122" s="36">
        <f>X116*'Inputs'!$E$40+X117*'Inputs'!$E$40*'Inputs'!$E$41</f>
        <v>0.013215161642289471</v>
      </c>
      <c r="Y122" s="36">
        <f>Y116*'Inputs'!$E$40+Y117*'Inputs'!$E$40*'Inputs'!$E$41</f>
        <v>0.013495277739481207</v>
      </c>
      <c r="Z122" s="36">
        <f>Z116*'Inputs'!$E$40+Z117*'Inputs'!$E$40*'Inputs'!$E$41</f>
        <v>0.013739889858485867</v>
      </c>
      <c r="AA122" s="36">
        <f>AA116*'Inputs'!$E$40+AA117*'Inputs'!$E$40*'Inputs'!$E$41</f>
        <v>0.013950277641132623</v>
      </c>
      <c r="AB122" s="36">
        <f>AB116*'Inputs'!$E$40+AB117*'Inputs'!$E$40*'Inputs'!$E$41</f>
        <v>0.014129551590548128</v>
      </c>
      <c r="AC122" s="36">
        <f>AC116*'Inputs'!$E$40+AC117*'Inputs'!$E$40*'Inputs'!$E$41</f>
        <v>0.014280541027337324</v>
      </c>
      <c r="AD122" s="36">
        <f>AD116*'Inputs'!$E$40+AD117*'Inputs'!$E$40*'Inputs'!$E$41</f>
        <v>0.014407928472091026</v>
      </c>
      <c r="AE122" s="36">
        <f>AE116*'Inputs'!$E$40+AE117*'Inputs'!$E$40*'Inputs'!$E$41</f>
        <v>0.014511935524235194</v>
      </c>
      <c r="AF122" s="36">
        <f>AF116*'Inputs'!$E$40+AF117*'Inputs'!$E$40*'Inputs'!$E$41</f>
        <v>0.015414898168783319</v>
      </c>
      <c r="AG122" s="36">
        <f>AG116*'Inputs'!$E$40+AG117*'Inputs'!$E$40*'Inputs'!$E$41</f>
        <v>0.014594763247976417</v>
      </c>
      <c r="AH122" s="36">
        <f>AH116*'Inputs'!$E$40+AH117*'Inputs'!$E$40*'Inputs'!$E$41</f>
        <v>0.014510293002427064</v>
      </c>
      <c r="AI122" s="36">
        <f>AI116*'Inputs'!$E$40+AI117*'Inputs'!$E$40*'Inputs'!$E$41</f>
        <v>0.01440996216909722</v>
      </c>
      <c r="AJ122" s="36">
        <f>AJ116*'Inputs'!$E$40+AJ117*'Inputs'!$E$40*'Inputs'!$E$41</f>
        <v>0.014291899737497057</v>
      </c>
      <c r="AK122" s="36">
        <f>AK116*'Inputs'!$E$40+AK117*'Inputs'!$E$40*'Inputs'!$E$41</f>
        <v>0.014264922116010034</v>
      </c>
      <c r="AL122" s="36">
        <f>AL116*'Inputs'!$E$40+AL117*'Inputs'!$E$40*'Inputs'!$E$41</f>
        <v>0.014226888449501554</v>
      </c>
      <c r="AM122" s="36">
        <f>AM116*'Inputs'!$E$40+AM117*'Inputs'!$E$40*'Inputs'!$E$41</f>
        <v>0.014178145186401925</v>
      </c>
      <c r="AN122" s="36">
        <f>AN116*'Inputs'!$E$40+AN117*'Inputs'!$E$40*'Inputs'!$E$41</f>
        <v>0.014119686928108811</v>
      </c>
      <c r="AO122" s="36">
        <f>AO116*'Inputs'!$E$40+AO117*'Inputs'!$E$40*'Inputs'!$E$41</f>
        <v>0.014052416696923555</v>
      </c>
      <c r="AP122" s="36">
        <f>AP116*'Inputs'!$E$40+AP117*'Inputs'!$E$40*'Inputs'!$E$41</f>
        <v>0.013977892487942654</v>
      </c>
      <c r="AQ122" s="36">
        <f>AQ116*'Inputs'!$E$40+AQ117*'Inputs'!$E$40*'Inputs'!$E$41</f>
        <v>0.013896116877235732</v>
      </c>
    </row>
    <row r="123" ht="22" customHeight="1">
      <c r="A123" s="2" t="str">
        <v>AT.FRAUD</v>
      </c>
      <c r="B123" s="6" t="str">
        <v>Austria: card fraud losses</v>
      </c>
      <c r="C123" s="2" t="str">
        <v>EUR_per_user</v>
      </c>
      <c r="D123" s="2" t="str">
        <v>NA</v>
      </c>
      <c r="E123" s="2"/>
      <c r="F123" s="6" t="str"/>
      <c r="G123" s="2"/>
      <c r="H123" s="36">
        <f>(H114*(1-'Inputs'!$E$25)+H115)*'Inputs'!$E$42</f>
        <v>0.00110942</v>
      </c>
      <c r="I123" s="36">
        <f>(I114*(1-'Inputs'!$E$25)+I115)*'Inputs'!$E$42</f>
        <v>0.001105317048</v>
      </c>
      <c r="J123" s="36">
        <f>(J114*(1-'Inputs'!$E$25)+J115)*'Inputs'!$E$42</f>
        <v>0.0010927870704959999</v>
      </c>
      <c r="K123" s="36">
        <f>(K114*(1-'Inputs'!$E$25)+K115)*'Inputs'!$E$42</f>
        <v>0.001077492392136304</v>
      </c>
      <c r="L123" s="36">
        <f>(L114*(1-'Inputs'!$E$25)+L115)*'Inputs'!$E$42</f>
        <v>0.001600989998896197</v>
      </c>
      <c r="M123" s="36">
        <f>(M114*(1-'Inputs'!$E$25)+M115)*'Inputs'!$E$42</f>
        <v>0.002015826828919413</v>
      </c>
      <c r="N123" s="36">
        <f>(N114*(1-'Inputs'!$E$25)+N115)*'Inputs'!$E$42</f>
        <v>0.0023645234906209687</v>
      </c>
      <c r="O123" s="36">
        <f>(O114*(1-'Inputs'!$E$25)+O115)*'Inputs'!$E$42</f>
        <v>0.0026442968194002256</v>
      </c>
      <c r="P123" s="36">
        <f>(P114*(1-'Inputs'!$E$25)+P115)*'Inputs'!$E$42</f>
        <v>0.0028623772283753973</v>
      </c>
      <c r="Q123" s="36">
        <f>(Q114*(1-'Inputs'!$E$25)+Q115)*'Inputs'!$E$42</f>
        <v>0.0030252611217254943</v>
      </c>
      <c r="R123" s="36">
        <f>(R114*(1-'Inputs'!$E$25)+R115)*'Inputs'!$E$42</f>
        <v>0.0031987664035508312</v>
      </c>
      <c r="S123" s="36">
        <f>(S114*(1-'Inputs'!$E$25)+S115)*'Inputs'!$E$42</f>
        <v>0.0033407033587026726</v>
      </c>
      <c r="T123" s="36">
        <f>(T114*(1-'Inputs'!$E$25)+T115)*'Inputs'!$E$42</f>
        <v>0.0032787383926469707</v>
      </c>
      <c r="U123" s="36">
        <f>(U114*(1-'Inputs'!$E$25)+U115)*'Inputs'!$E$42</f>
        <v>0.0034129903503393763</v>
      </c>
      <c r="V123" s="36">
        <f>(V114*(1-'Inputs'!$E$25)+V115)*'Inputs'!$E$42</f>
        <v>0.003533250365891687</v>
      </c>
      <c r="W123" s="36">
        <f>(W114*(1-'Inputs'!$E$25)+W115)*'Inputs'!$E$42</f>
        <v>0.003640117114713193</v>
      </c>
      <c r="X123" s="36">
        <f>(X114*(1-'Inputs'!$E$25)+X115)*'Inputs'!$E$42</f>
        <v>0.00373486937392756</v>
      </c>
      <c r="Y123" s="36">
        <f>(Y114*(1-'Inputs'!$E$25)+Y115)*'Inputs'!$E$42</f>
        <v>0.0038183505145450943</v>
      </c>
      <c r="Z123" s="36">
        <f>(Z114*(1-'Inputs'!$E$25)+Z115)*'Inputs'!$E$42</f>
        <v>0.003891460396949879</v>
      </c>
      <c r="AA123" s="36">
        <f>(AA114*(1-'Inputs'!$E$25)+AA115)*'Inputs'!$E$42</f>
        <v>0.0039551632569508315</v>
      </c>
      <c r="AB123" s="36">
        <f>(AB114*(1-'Inputs'!$E$25)+AB115)*'Inputs'!$E$42</f>
        <v>0.00401033609088892</v>
      </c>
      <c r="AC123" s="36">
        <f>(AC114*(1-'Inputs'!$E$25)+AC115)*'Inputs'!$E$42</f>
        <v>0.0040577765084562544</v>
      </c>
      <c r="AD123" s="36">
        <f>(AD114*(1-'Inputs'!$E$25)+AD115)*'Inputs'!$E$42</f>
        <v>0.004098051945830606</v>
      </c>
      <c r="AE123" s="36">
        <f>(AE114*(1-'Inputs'!$E$25)+AE115)*'Inputs'!$E$42</f>
        <v>0.004131822790384226</v>
      </c>
      <c r="AF123" s="36">
        <f>(AF114*(1-'Inputs'!$E$25)+AF115)*'Inputs'!$E$42</f>
        <v>0.0040982691635149384</v>
      </c>
      <c r="AG123" s="36">
        <f>(AG114*(1-'Inputs'!$E$25)+AG115)*'Inputs'!$E$42</f>
        <v>0.00408370186162643</v>
      </c>
      <c r="AH123" s="36">
        <f>(AH114*(1-'Inputs'!$E$25)+AH115)*'Inputs'!$E$42</f>
        <v>0.0040635237066655935</v>
      </c>
      <c r="AI123" s="36">
        <f>(AI114*(1-'Inputs'!$E$25)+AI115)*'Inputs'!$E$42</f>
        <v>0.0040380389615562885</v>
      </c>
      <c r="AJ123" s="36">
        <f>(AJ114*(1-'Inputs'!$E$25)+AJ115)*'Inputs'!$E$42</f>
        <v>0.004007778482550254</v>
      </c>
      <c r="AK123" s="36">
        <f>(AK114*(1-'Inputs'!$E$25)+AK115)*'Inputs'!$E$42</f>
        <v>0.004002045865937277</v>
      </c>
      <c r="AL123" s="36">
        <f>(AL114*(1-'Inputs'!$E$25)+AL115)*'Inputs'!$E$42</f>
        <v>0.003993056059590533</v>
      </c>
      <c r="AM123" s="36">
        <f>(AM114*(1-'Inputs'!$E$25)+AM115)*'Inputs'!$E$42</f>
        <v>0.003981118331093772</v>
      </c>
      <c r="AN123" s="36">
        <f>(AN114*(1-'Inputs'!$E$25)+AN115)*'Inputs'!$E$42</f>
        <v>0.003966513454808265</v>
      </c>
      <c r="AO123" s="36">
        <f>(AO114*(1-'Inputs'!$E$25)+AO115)*'Inputs'!$E$42</f>
        <v>0.003949496316949044</v>
      </c>
      <c r="AP123" s="36">
        <f>(AP114*(1-'Inputs'!$E$25)+AP115)*'Inputs'!$E$42</f>
        <v>0.00393024300641201</v>
      </c>
      <c r="AQ123" s="36">
        <f>(AQ114*(1-'Inputs'!$E$25)+AQ115)*'Inputs'!$E$42</f>
        <v>0.0039089637836894385</v>
      </c>
    </row>
    <row r="124" ht="22" customHeight="1">
      <c r="A124" s="2" t="str">
        <v>AT.RETAIL_KYC</v>
      </c>
      <c r="B124" s="6" t="str">
        <v>Austria: identity checks, users</v>
      </c>
      <c r="C124" s="2" t="str">
        <v>EUR_per_user</v>
      </c>
      <c r="D124" s="2" t="str">
        <v>NA</v>
      </c>
      <c r="E124" s="2"/>
      <c r="F124" s="6" t="str"/>
      <c r="G124" s="2"/>
      <c r="H124" s="36">
        <f>H113*'Inputs'!$E$35/'Inputs'!$E$36</f>
        <v>0.0</v>
      </c>
      <c r="I124" s="36">
        <f>I113*'Inputs'!$E$35/'Inputs'!$E$36</f>
        <v>0.0</v>
      </c>
      <c r="J124" s="36">
        <f>J113*'Inputs'!$E$35/'Inputs'!$E$36</f>
        <v>0.0</v>
      </c>
      <c r="K124" s="36">
        <f>K113*'Inputs'!$E$35/'Inputs'!$E$36</f>
        <v>0.0</v>
      </c>
      <c r="L124" s="36">
        <f>L113*'Inputs'!$E$35/'Inputs'!$E$36</f>
        <v>0.037580987185574136</v>
      </c>
      <c r="M124" s="36">
        <f>M113*'Inputs'!$E$35/'Inputs'!$E$36</f>
        <v>0.019328424198746492</v>
      </c>
      <c r="N124" s="36">
        <f>N113*'Inputs'!$E$35/'Inputs'!$E$36</f>
        <v>0.018007270101425204</v>
      </c>
      <c r="O124" s="36">
        <f>O113*'Inputs'!$E$35/'Inputs'!$E$36</f>
        <v>0.01674336446049424</v>
      </c>
      <c r="P124" s="36">
        <f>P113*'Inputs'!$E$35/'Inputs'!$E$36</f>
        <v>0.015534565548833054</v>
      </c>
      <c r="Q124" s="36">
        <f>Q113*'Inputs'!$E$35/'Inputs'!$E$36</f>
        <v>0.014378806933363507</v>
      </c>
      <c r="R124" s="36">
        <f>R113*'Inputs'!$E$35/'Inputs'!$E$36</f>
        <v>0.013632854140110067</v>
      </c>
      <c r="S124" s="36">
        <f>S113*'Inputs'!$E$35/'Inputs'!$E$36</f>
        <v>0.012916705823818203</v>
      </c>
      <c r="T124" s="36">
        <f>T113*'Inputs'!$E$35/'Inputs'!$E$36</f>
        <v>0.012229290481546386</v>
      </c>
      <c r="U124" s="36">
        <f>U113*'Inputs'!$E$35/'Inputs'!$E$36</f>
        <v>0.011827940219174665</v>
      </c>
      <c r="V124" s="36">
        <f>V113*'Inputs'!$E$35/'Inputs'!$E$36</f>
        <v>0.011429755350063504</v>
      </c>
      <c r="W124" s="36">
        <f>W113*'Inputs'!$E$35/'Inputs'!$E$36</f>
        <v>0.011044448045527507</v>
      </c>
      <c r="X124" s="36">
        <f>X113*'Inputs'!$E$35/'Inputs'!$E$36</f>
        <v>0.010671612111748477</v>
      </c>
      <c r="Y124" s="36">
        <f>Y113*'Inputs'!$E$35/'Inputs'!$E$36</f>
        <v>0.010310854045031568</v>
      </c>
      <c r="Z124" s="36">
        <f>Z113*'Inputs'!$E$35/'Inputs'!$E$36</f>
        <v>0.009961792625487886</v>
      </c>
      <c r="AA124" s="36">
        <f>AA113*'Inputs'!$E$35/'Inputs'!$E$36</f>
        <v>0.009624057435898767</v>
      </c>
      <c r="AB124" s="36">
        <f>AB113*'Inputs'!$E$35/'Inputs'!$E$36</f>
        <v>0.009297290811591188</v>
      </c>
      <c r="AC124" s="36">
        <f>AC113*'Inputs'!$E$35/'Inputs'!$E$36</f>
        <v>0.008981146225259702</v>
      </c>
      <c r="AD124" s="36">
        <f>AD113*'Inputs'!$E$35/'Inputs'!$E$36</f>
        <v>0.008675287936386182</v>
      </c>
      <c r="AE124" s="36">
        <f>AE113*'Inputs'!$E$35/'Inputs'!$E$36</f>
        <v>0.00837939065267365</v>
      </c>
      <c r="AF124" s="36">
        <f>AF113*'Inputs'!$E$35/'Inputs'!$E$36</f>
        <v>0.008093139202952635</v>
      </c>
      <c r="AG124" s="36">
        <f>AG113*'Inputs'!$E$35/'Inputs'!$E$36</f>
        <v>0.007747078664705785</v>
      </c>
      <c r="AH124" s="36">
        <f>AH113*'Inputs'!$E$35/'Inputs'!$E$36</f>
        <v>0.007411500094268235</v>
      </c>
      <c r="AI124" s="36">
        <f>AI113*'Inputs'!$E$35/'Inputs'!$E$36</f>
        <v>0.007088353936240101</v>
      </c>
      <c r="AJ124" s="36">
        <f>AJ113*'Inputs'!$E$35/'Inputs'!$E$36</f>
        <v>0.006777214253941862</v>
      </c>
      <c r="AK124" s="36">
        <f>AK113*'Inputs'!$E$35/'Inputs'!$E$36</f>
        <v>0.006531203511233468</v>
      </c>
      <c r="AL124" s="36">
        <f>AL113*'Inputs'!$E$35/'Inputs'!$E$36</f>
        <v>0.006293517155190064</v>
      </c>
      <c r="AM124" s="36">
        <f>AM113*'Inputs'!$E$35/'Inputs'!$E$36</f>
        <v>0.006063885117218183</v>
      </c>
      <c r="AN124" s="36">
        <f>AN113*'Inputs'!$E$35/'Inputs'!$E$36</f>
        <v>0.005842046117174351</v>
      </c>
      <c r="AO124" s="36">
        <f>AO113*'Inputs'!$E$35/'Inputs'!$E$36</f>
        <v>0.005627747115275829</v>
      </c>
      <c r="AP124" s="36">
        <f>AP113*'Inputs'!$E$35/'Inputs'!$E$36</f>
        <v>0.0054207430559807725</v>
      </c>
      <c r="AQ124" s="36">
        <f>AQ113*'Inputs'!$E$35/'Inputs'!$E$36</f>
        <v>0.005220796619924529</v>
      </c>
    </row>
    <row r="125" ht="22" customHeight="1">
      <c r="A125" s="2" t="str">
        <v>AT.CLOUD_SUPPORT</v>
      </c>
      <c r="B125" s="6" t="str">
        <v>Austria: hosting and support, variable</v>
      </c>
      <c r="C125" s="2" t="str">
        <v>EUR_per_user</v>
      </c>
      <c r="D125" s="2" t="str">
        <v>NA</v>
      </c>
      <c r="E125" s="2"/>
      <c r="F125" s="6" t="str"/>
      <c r="G125" s="2"/>
      <c r="H125" s="36">
        <f>H11*('Inputs'!$E$37+'Inputs'!$E$38/'Inputs'!$E$53*'Inputs'!$E$39)</f>
        <v>0.2</v>
      </c>
      <c r="I125" s="36">
        <f>I11*('Inputs'!$E$37+'Inputs'!$E$38/'Inputs'!$E$53*'Inputs'!$E$39)</f>
        <v>0.13999999999999999</v>
      </c>
      <c r="J125" s="36">
        <f>J11*('Inputs'!$E$37+'Inputs'!$E$38/'Inputs'!$E$53*'Inputs'!$E$39)</f>
        <v>0.12</v>
      </c>
      <c r="K125" s="36">
        <f>K11*('Inputs'!$E$37+'Inputs'!$E$38/'Inputs'!$E$53*'Inputs'!$E$39)</f>
        <v>0.11000000000000001</v>
      </c>
      <c r="L125" s="36">
        <f>L11*('Inputs'!$E$37+'Inputs'!$E$38/'Inputs'!$E$53*'Inputs'!$E$39)</f>
        <v>0.1</v>
      </c>
      <c r="M125" s="36">
        <f>M11*('Inputs'!$E$37+'Inputs'!$E$38/'Inputs'!$E$53*'Inputs'!$E$39)</f>
        <v>0.094</v>
      </c>
      <c r="N125" s="36">
        <f>N11*('Inputs'!$E$37+'Inputs'!$E$38/'Inputs'!$E$53*'Inputs'!$E$39)</f>
        <v>0.09000000000000001</v>
      </c>
      <c r="O125" s="36">
        <f>O11*('Inputs'!$E$37+'Inputs'!$E$38/'Inputs'!$E$53*'Inputs'!$E$39)</f>
        <v>0.08600000000000001</v>
      </c>
      <c r="P125" s="36">
        <f>P11*('Inputs'!$E$37+'Inputs'!$E$38/'Inputs'!$E$53*'Inputs'!$E$39)</f>
        <v>0.082</v>
      </c>
      <c r="Q125" s="36">
        <f>Q11*('Inputs'!$E$37+'Inputs'!$E$38/'Inputs'!$E$53*'Inputs'!$E$39)</f>
        <v>0.07800000000000001</v>
      </c>
      <c r="R125" s="36">
        <f>R11*('Inputs'!$E$37+'Inputs'!$E$38/'Inputs'!$E$53*'Inputs'!$E$39)</f>
        <v>0.07600000000000001</v>
      </c>
      <c r="S125" s="36">
        <f>S11*('Inputs'!$E$37+'Inputs'!$E$38/'Inputs'!$E$53*'Inputs'!$E$39)</f>
        <v>0.074</v>
      </c>
      <c r="T125" s="36">
        <f>T11*('Inputs'!$E$37+'Inputs'!$E$38/'Inputs'!$E$53*'Inputs'!$E$39)</f>
        <v>0.072</v>
      </c>
      <c r="U125" s="36">
        <f>U11*('Inputs'!$E$37+'Inputs'!$E$38/'Inputs'!$E$53*'Inputs'!$E$39)</f>
        <v>0.0715</v>
      </c>
      <c r="V125" s="36">
        <f>V11*('Inputs'!$E$37+'Inputs'!$E$38/'Inputs'!$E$53*'Inputs'!$E$39)</f>
        <v>0.071</v>
      </c>
      <c r="W125" s="36">
        <f>W11*('Inputs'!$E$37+'Inputs'!$E$38/'Inputs'!$E$53*'Inputs'!$E$39)</f>
        <v>0.0705</v>
      </c>
      <c r="X125" s="36">
        <f>X11*('Inputs'!$E$37+'Inputs'!$E$38/'Inputs'!$E$53*'Inputs'!$E$39)</f>
        <v>0.06999999999999999</v>
      </c>
      <c r="Y125" s="36">
        <f>Y11*('Inputs'!$E$37+'Inputs'!$E$38/'Inputs'!$E$53*'Inputs'!$E$39)</f>
        <v>0.06949999999999999</v>
      </c>
      <c r="Z125" s="36">
        <f>Z11*('Inputs'!$E$37+'Inputs'!$E$38/'Inputs'!$E$53*'Inputs'!$E$39)</f>
        <v>0.06899999999999999</v>
      </c>
      <c r="AA125" s="36">
        <f>AA11*('Inputs'!$E$37+'Inputs'!$E$38/'Inputs'!$E$53*'Inputs'!$E$39)</f>
        <v>0.0685</v>
      </c>
      <c r="AB125" s="36">
        <f>AB11*('Inputs'!$E$37+'Inputs'!$E$38/'Inputs'!$E$53*'Inputs'!$E$39)</f>
        <v>0.068</v>
      </c>
      <c r="AC125" s="36">
        <f>AC11*('Inputs'!$E$37+'Inputs'!$E$38/'Inputs'!$E$53*'Inputs'!$E$39)</f>
        <v>0.0675</v>
      </c>
      <c r="AD125" s="36">
        <f>AD11*('Inputs'!$E$37+'Inputs'!$E$38/'Inputs'!$E$53*'Inputs'!$E$39)</f>
        <v>0.067</v>
      </c>
      <c r="AE125" s="36">
        <f>AE11*('Inputs'!$E$37+'Inputs'!$E$38/'Inputs'!$E$53*'Inputs'!$E$39)</f>
        <v>0.0665</v>
      </c>
      <c r="AF125" s="36">
        <f>AF11*('Inputs'!$E$37+'Inputs'!$E$38/'Inputs'!$E$53*'Inputs'!$E$39)</f>
        <v>0.066</v>
      </c>
      <c r="AG125" s="36">
        <f>AG11*('Inputs'!$E$37+'Inputs'!$E$38/'Inputs'!$E$53*'Inputs'!$E$39)</f>
        <v>0.0649</v>
      </c>
      <c r="AH125" s="36">
        <f>AH11*('Inputs'!$E$37+'Inputs'!$E$38/'Inputs'!$E$53*'Inputs'!$E$39)</f>
        <v>0.06380000000000001</v>
      </c>
      <c r="AI125" s="36">
        <f>AI11*('Inputs'!$E$37+'Inputs'!$E$38/'Inputs'!$E$53*'Inputs'!$E$39)</f>
        <v>0.0627</v>
      </c>
      <c r="AJ125" s="36">
        <f>AJ11*('Inputs'!$E$37+'Inputs'!$E$38/'Inputs'!$E$53*'Inputs'!$E$39)</f>
        <v>0.0616</v>
      </c>
      <c r="AK125" s="36">
        <f>AK11*('Inputs'!$E$37+'Inputs'!$E$38/'Inputs'!$E$53*'Inputs'!$E$39)</f>
        <v>0.061</v>
      </c>
      <c r="AL125" s="36">
        <f>AL11*('Inputs'!$E$37+'Inputs'!$E$38/'Inputs'!$E$53*'Inputs'!$E$39)</f>
        <v>0.0604</v>
      </c>
      <c r="AM125" s="36">
        <f>AM11*('Inputs'!$E$37+'Inputs'!$E$38/'Inputs'!$E$53*'Inputs'!$E$39)</f>
        <v>0.0598</v>
      </c>
      <c r="AN125" s="36">
        <f>AN11*('Inputs'!$E$37+'Inputs'!$E$38/'Inputs'!$E$53*'Inputs'!$E$39)</f>
        <v>0.0592</v>
      </c>
      <c r="AO125" s="36">
        <f>AO11*('Inputs'!$E$37+'Inputs'!$E$38/'Inputs'!$E$53*'Inputs'!$E$39)</f>
        <v>0.0586</v>
      </c>
      <c r="AP125" s="36">
        <f>AP11*('Inputs'!$E$37+'Inputs'!$E$38/'Inputs'!$E$53*'Inputs'!$E$39)</f>
        <v>0.057999999999999996</v>
      </c>
      <c r="AQ125" s="36">
        <f>AQ11*('Inputs'!$E$37+'Inputs'!$E$38/'Inputs'!$E$53*'Inputs'!$E$39)</f>
        <v>0.0574</v>
      </c>
    </row>
    <row r="126" ht="28" customHeight="1">
      <c r="A126" s="2" t="str">
        <v>AT.CONNECT</v>
      </c>
      <c r="B126" s="6" t="str">
        <v>Austria: payout charges (allocated by copy revenue)</v>
      </c>
      <c r="C126" s="2" t="str">
        <v>EUR_per_user</v>
      </c>
      <c r="D126" s="2" t="str">
        <v>NA</v>
      </c>
      <c r="E126" s="2"/>
      <c r="F126" s="6" t="str"/>
      <c r="G126" s="2"/>
      <c r="H126" s="36">
        <f>H115*INDEX('Calendar_Seeds'!$H$19:$CX$19,1,'Inputs'!$E$52+H$6)</f>
        <v>0.0</v>
      </c>
      <c r="I126" s="36">
        <f>I115*INDEX('Calendar_Seeds'!$H$19:$CX$19,1,'Inputs'!$E$52+I$6)</f>
        <v>0.0</v>
      </c>
      <c r="J126" s="36">
        <f>J115*INDEX('Calendar_Seeds'!$H$19:$CX$19,1,'Inputs'!$E$52+J$6)</f>
        <v>0.0</v>
      </c>
      <c r="K126" s="36">
        <f>K115*INDEX('Calendar_Seeds'!$H$19:$CX$19,1,'Inputs'!$E$52+K$6)</f>
        <v>0.0</v>
      </c>
      <c r="L126" s="36">
        <f>L115*INDEX('Calendar_Seeds'!$H$19:$CX$19,1,'Inputs'!$E$52+L$6)</f>
        <v>0.005780762575357811</v>
      </c>
      <c r="M126" s="36">
        <f>M115*INDEX('Calendar_Seeds'!$H$19:$CX$19,1,'Inputs'!$E$52+M$6)</f>
        <v>0.010017564368077533</v>
      </c>
      <c r="N126" s="36">
        <f>N115*INDEX('Calendar_Seeds'!$H$19:$CX$19,1,'Inputs'!$E$52+N$6)</f>
        <v>0.012906040218125664</v>
      </c>
      <c r="O126" s="36">
        <f>O115*INDEX('Calendar_Seeds'!$H$19:$CX$19,1,'Inputs'!$E$52+O$6)</f>
        <v>0.014844148536336298</v>
      </c>
      <c r="P126" s="36">
        <f>P115*INDEX('Calendar_Seeds'!$H$19:$CX$19,1,'Inputs'!$E$52+P$6)</f>
        <v>0.016113065890223943</v>
      </c>
      <c r="Q126" s="36">
        <f>Q115*INDEX('Calendar_Seeds'!$H$19:$CX$19,1,'Inputs'!$E$52+Q$6)</f>
        <v>0.016851980273915126</v>
      </c>
      <c r="R126" s="36">
        <f>R115*INDEX('Calendar_Seeds'!$H$19:$CX$19,1,'Inputs'!$E$52+R$6)</f>
        <v>0.017631498270834312</v>
      </c>
      <c r="S126" s="36">
        <f>S115*INDEX('Calendar_Seeds'!$H$19:$CX$19,1,'Inputs'!$E$52+S$6)</f>
        <v>0.018150503460638127</v>
      </c>
      <c r="T126" s="36">
        <f>T115*INDEX('Calendar_Seeds'!$H$19:$CX$19,1,'Inputs'!$E$52+T$6)</f>
        <v>0.018479486591741066</v>
      </c>
      <c r="U126" s="36">
        <f>U115*INDEX('Calendar_Seeds'!$H$19:$CX$19,1,'Inputs'!$E$52+U$6)</f>
        <v>0.019009340438555962</v>
      </c>
      <c r="V126" s="36">
        <f>V115*INDEX('Calendar_Seeds'!$H$19:$CX$19,1,'Inputs'!$E$52+V$6)</f>
        <v>0.0194090328749582</v>
      </c>
      <c r="W126" s="36">
        <f>W115*INDEX('Calendar_Seeds'!$H$19:$CX$19,1,'Inputs'!$E$52+W$6)</f>
        <v>0.019286744788066853</v>
      </c>
      <c r="X126" s="36">
        <f>X115*INDEX('Calendar_Seeds'!$H$19:$CX$19,1,'Inputs'!$E$52+X$6)</f>
        <v>0.019106515577226764</v>
      </c>
      <c r="Y126" s="36">
        <f>Y115*INDEX('Calendar_Seeds'!$H$19:$CX$19,1,'Inputs'!$E$52+Y$6)</f>
        <v>0.02043000271365798</v>
      </c>
      <c r="Z126" s="36">
        <f>Z115*INDEX('Calendar_Seeds'!$H$19:$CX$19,1,'Inputs'!$E$52+Z$6)</f>
        <v>0.021030771175451504</v>
      </c>
      <c r="AA126" s="36">
        <f>AA115*INDEX('Calendar_Seeds'!$H$19:$CX$19,1,'Inputs'!$E$52+AA$6)</f>
        <v>0.02139378412370254</v>
      </c>
      <c r="AB126" s="36">
        <f>AB115*INDEX('Calendar_Seeds'!$H$19:$CX$19,1,'Inputs'!$E$52+AB$6)</f>
        <v>0.021597309413108133</v>
      </c>
      <c r="AC126" s="36">
        <f>AC115*INDEX('Calendar_Seeds'!$H$19:$CX$19,1,'Inputs'!$E$52+AC$6)</f>
        <v>0.0216701904532303</v>
      </c>
      <c r="AD126" s="36">
        <f>AD115*INDEX('Calendar_Seeds'!$H$19:$CX$19,1,'Inputs'!$E$52+AD$6)</f>
        <v>0.021666219411233877</v>
      </c>
      <c r="AE126" s="36">
        <f>AE115*INDEX('Calendar_Seeds'!$H$19:$CX$19,1,'Inputs'!$E$52+AE$6)</f>
        <v>0.021613149896577807</v>
      </c>
      <c r="AF126" s="36">
        <f>AF115*INDEX('Calendar_Seeds'!$H$19:$CX$19,1,'Inputs'!$E$52+AF$6)</f>
        <v>0.02152360431209665</v>
      </c>
      <c r="AG126" s="36">
        <f>AG115*INDEX('Calendar_Seeds'!$H$19:$CX$19,1,'Inputs'!$E$52+AG$6)</f>
        <v>0.021202666140250636</v>
      </c>
      <c r="AH126" s="36">
        <f>AH115*INDEX('Calendar_Seeds'!$H$19:$CX$19,1,'Inputs'!$E$52+AH$6)</f>
        <v>0.020854770820447413</v>
      </c>
      <c r="AI126" s="36">
        <f>AI115*INDEX('Calendar_Seeds'!$H$19:$CX$19,1,'Inputs'!$E$52+AI$6)</f>
        <v>0.02041180512860924</v>
      </c>
      <c r="AJ126" s="36">
        <f>AJ115*INDEX('Calendar_Seeds'!$H$19:$CX$19,1,'Inputs'!$E$52+AJ$6)</f>
        <v>0.019955193686035547</v>
      </c>
      <c r="AK126" s="36">
        <f>AK115*INDEX('Calendar_Seeds'!$H$19:$CX$19,1,'Inputs'!$E$52+AK$6)</f>
        <v>0.019984774177584035</v>
      </c>
      <c r="AL126" s="36">
        <f>AL115*INDEX('Calendar_Seeds'!$H$19:$CX$19,1,'Inputs'!$E$52+AL$6)</f>
        <v>0.01986639562709825</v>
      </c>
      <c r="AM126" s="36">
        <f>AM115*INDEX('Calendar_Seeds'!$H$19:$CX$19,1,'Inputs'!$E$52+AM$6)</f>
        <v>0.01970193983915167</v>
      </c>
      <c r="AN126" s="36">
        <f>AN115*INDEX('Calendar_Seeds'!$H$19:$CX$19,1,'Inputs'!$E$52+AN$6)</f>
        <v>0.01950586321521547</v>
      </c>
      <c r="AO126" s="36">
        <f>AO115*INDEX('Calendar_Seeds'!$H$19:$CX$19,1,'Inputs'!$E$52+AO$6)</f>
        <v>0.01928386214510712</v>
      </c>
      <c r="AP126" s="36">
        <f>AP115*INDEX('Calendar_Seeds'!$H$19:$CX$19,1,'Inputs'!$E$52+AP$6)</f>
        <v>0.019047966909326895</v>
      </c>
      <c r="AQ126" s="36">
        <f>AQ115*INDEX('Calendar_Seeds'!$H$19:$CX$19,1,'Inputs'!$E$52+AQ$6)</f>
        <v>0.018804234171723277</v>
      </c>
    </row>
    <row r="127" ht="28" customHeight="1">
      <c r="A127" s="2" t="str">
        <v>AT.TRADER_KYC</v>
      </c>
      <c r="B127" s="6" t="str">
        <v>Austria: identity checks, new lead traders (allocated)</v>
      </c>
      <c r="C127" s="2" t="str">
        <v>EUR_per_user</v>
      </c>
      <c r="D127" s="2" t="str">
        <v>NA</v>
      </c>
      <c r="E127" s="2"/>
      <c r="F127" s="6" t="str"/>
      <c r="G127" s="2"/>
      <c r="H127" s="36">
        <f>H115*INDEX('Calendar_Seeds'!$H$20:$CX$20,1,'Inputs'!$E$52+H$6)</f>
        <v>0.0</v>
      </c>
      <c r="I127" s="36">
        <f>I115*INDEX('Calendar_Seeds'!$H$20:$CX$20,1,'Inputs'!$E$52+I$6)</f>
        <v>0.0</v>
      </c>
      <c r="J127" s="36">
        <f>J115*INDEX('Calendar_Seeds'!$H$20:$CX$20,1,'Inputs'!$E$52+J$6)</f>
        <v>0.0</v>
      </c>
      <c r="K127" s="36">
        <f>K115*INDEX('Calendar_Seeds'!$H$20:$CX$20,1,'Inputs'!$E$52+K$6)</f>
        <v>0.0</v>
      </c>
      <c r="L127" s="36">
        <f>L115*INDEX('Calendar_Seeds'!$H$20:$CX$20,1,'Inputs'!$E$52+L$6)</f>
        <v>0.0021864698199777176</v>
      </c>
      <c r="M127" s="36">
        <f>M115*INDEX('Calendar_Seeds'!$H$20:$CX$20,1,'Inputs'!$E$52+M$6)</f>
        <v>0.0023221597800428596</v>
      </c>
      <c r="N127" s="36">
        <f>N115*INDEX('Calendar_Seeds'!$H$20:$CX$20,1,'Inputs'!$E$52+N$6)</f>
        <v>0.0022590406767542624</v>
      </c>
      <c r="O127" s="36">
        <f>O115*INDEX('Calendar_Seeds'!$H$20:$CX$20,1,'Inputs'!$E$52+O$6)</f>
        <v>0.0021537266148069804</v>
      </c>
      <c r="P127" s="36">
        <f>P115*INDEX('Calendar_Seeds'!$H$20:$CX$20,1,'Inputs'!$E$52+P$6)</f>
        <v>0.002001616118407013</v>
      </c>
      <c r="Q127" s="36">
        <f>Q115*INDEX('Calendar_Seeds'!$H$20:$CX$20,1,'Inputs'!$E$52+Q$6)</f>
        <v>0.0018522356965241773</v>
      </c>
      <c r="R127" s="36">
        <f>R115*INDEX('Calendar_Seeds'!$H$20:$CX$20,1,'Inputs'!$E$52+R$6)</f>
        <v>0.0017516597772588539</v>
      </c>
      <c r="S127" s="36">
        <f>S115*INDEX('Calendar_Seeds'!$H$20:$CX$20,1,'Inputs'!$E$52+S$6)</f>
        <v>0.0016658741098460397</v>
      </c>
      <c r="T127" s="36">
        <f>T115*INDEX('Calendar_Seeds'!$H$20:$CX$20,1,'Inputs'!$E$52+T$6)</f>
        <v>0.0015778333091668797</v>
      </c>
      <c r="U127" s="36">
        <f>U115*INDEX('Calendar_Seeds'!$H$20:$CX$20,1,'Inputs'!$E$52+U$6)</f>
        <v>0.0015209943003628762</v>
      </c>
      <c r="V127" s="36">
        <f>V115*INDEX('Calendar_Seeds'!$H$20:$CX$20,1,'Inputs'!$E$52+V$6)</f>
        <v>0.0014800430332859414</v>
      </c>
      <c r="W127" s="36">
        <f>W115*INDEX('Calendar_Seeds'!$H$20:$CX$20,1,'Inputs'!$E$52+W$6)</f>
        <v>0.0014061596039453448</v>
      </c>
      <c r="X127" s="36">
        <f>X115*INDEX('Calendar_Seeds'!$H$20:$CX$20,1,'Inputs'!$E$52+X$6)</f>
        <v>0.002649291219868331</v>
      </c>
      <c r="Y127" s="36">
        <f>Y115*INDEX('Calendar_Seeds'!$H$20:$CX$20,1,'Inputs'!$E$52+Y$6)</f>
        <v>0.0021779584410462484</v>
      </c>
      <c r="Z127" s="36">
        <f>Z115*INDEX('Calendar_Seeds'!$H$20:$CX$20,1,'Inputs'!$E$52+Z$6)</f>
        <v>0.002002884913635506</v>
      </c>
      <c r="AA127" s="36">
        <f>AA115*INDEX('Calendar_Seeds'!$H$20:$CX$20,1,'Inputs'!$E$52+AA$6)</f>
        <v>0.0018755929395747927</v>
      </c>
      <c r="AB127" s="36">
        <f>AB115*INDEX('Calendar_Seeds'!$H$20:$CX$20,1,'Inputs'!$E$52+AB$6)</f>
        <v>0.0017558607400584908</v>
      </c>
      <c r="AC127" s="36">
        <f>AC115*INDEX('Calendar_Seeds'!$H$20:$CX$20,1,'Inputs'!$E$52+AC$6)</f>
        <v>0.0016619667416709779</v>
      </c>
      <c r="AD127" s="36">
        <f>AD115*INDEX('Calendar_Seeds'!$H$20:$CX$20,1,'Inputs'!$E$52+AD$6)</f>
        <v>0.0015824041085406892</v>
      </c>
      <c r="AE127" s="36">
        <f>AE115*INDEX('Calendar_Seeds'!$H$20:$CX$20,1,'Inputs'!$E$52+AE$6)</f>
        <v>0.0015090383465024304</v>
      </c>
      <c r="AF127" s="36">
        <f>AF115*INDEX('Calendar_Seeds'!$H$20:$CX$20,1,'Inputs'!$E$52+AF$6)</f>
        <v>0.0014416491096379037</v>
      </c>
      <c r="AG127" s="36">
        <f>AG115*INDEX('Calendar_Seeds'!$H$20:$CX$20,1,'Inputs'!$E$52+AG$6)</f>
        <v>0.0013664277405821918</v>
      </c>
      <c r="AH127" s="36">
        <f>AH115*INDEX('Calendar_Seeds'!$H$20:$CX$20,1,'Inputs'!$E$52+AH$6)</f>
        <v>0.0013009930707967416</v>
      </c>
      <c r="AI127" s="36">
        <f>AI115*INDEX('Calendar_Seeds'!$H$20:$CX$20,1,'Inputs'!$E$52+AI$6)</f>
        <v>0.0012353353637252786</v>
      </c>
      <c r="AJ127" s="36">
        <f>AJ115*INDEX('Calendar_Seeds'!$H$20:$CX$20,1,'Inputs'!$E$52+AJ$6)</f>
        <v>0.0014551681331091398</v>
      </c>
      <c r="AK127" s="36">
        <f>AK115*INDEX('Calendar_Seeds'!$H$20:$CX$20,1,'Inputs'!$E$52+AK$6)</f>
        <v>0.001325534302611544</v>
      </c>
      <c r="AL127" s="36">
        <f>AL115*INDEX('Calendar_Seeds'!$H$20:$CX$20,1,'Inputs'!$E$52+AL$6)</f>
        <v>0.00126124501213314</v>
      </c>
      <c r="AM127" s="36">
        <f>AM115*INDEX('Calendar_Seeds'!$H$20:$CX$20,1,'Inputs'!$E$52+AM$6)</f>
        <v>0.0012080805353387608</v>
      </c>
      <c r="AN127" s="36">
        <f>AN115*INDEX('Calendar_Seeds'!$H$20:$CX$20,1,'Inputs'!$E$52+AN$6)</f>
        <v>0.0011573326779961049</v>
      </c>
      <c r="AO127" s="36">
        <f>AO115*INDEX('Calendar_Seeds'!$H$20:$CX$20,1,'Inputs'!$E$52+AO$6)</f>
        <v>0.0011136315945784244</v>
      </c>
      <c r="AP127" s="36">
        <f>AP115*INDEX('Calendar_Seeds'!$H$20:$CX$20,1,'Inputs'!$E$52+AP$6)</f>
        <v>0.0010740080997766058</v>
      </c>
      <c r="AQ127" s="36">
        <f>AQ115*INDEX('Calendar_Seeds'!$H$20:$CX$20,1,'Inputs'!$E$52+AQ$6)</f>
        <v>0.0010365471884048545</v>
      </c>
    </row>
    <row r="128" ht="22" customHeight="1">
      <c r="A128" s="2" t="str">
        <v>AT.UNRECOVERED_VAT</v>
      </c>
      <c r="B128" s="6" t="str">
        <v>Austria: non-recoverable input VAT</v>
      </c>
      <c r="C128" s="2" t="str">
        <v>EUR_per_user</v>
      </c>
      <c r="D128" s="2" t="str">
        <v>NA</v>
      </c>
      <c r="E128" s="2"/>
      <c r="F128" s="6" t="str"/>
      <c r="G128" s="2"/>
      <c r="H128" s="36">
        <f>SUM(H124,H127,H125)*'Inputs'!$E$43*(1-'Inputs'!$E$45)</f>
        <v>0.0</v>
      </c>
      <c r="I128" s="36">
        <f>SUM(I124,I127,I125)*'Inputs'!$E$43*(1-'Inputs'!$E$45)</f>
        <v>0.0</v>
      </c>
      <c r="J128" s="36">
        <f>SUM(J124,J127,J125)*'Inputs'!$E$43*(1-'Inputs'!$E$45)</f>
        <v>0.0</v>
      </c>
      <c r="K128" s="36">
        <f>SUM(K124,K127,K125)*'Inputs'!$E$43*(1-'Inputs'!$E$45)</f>
        <v>0.0</v>
      </c>
      <c r="L128" s="36">
        <f>SUM(L124,L127,L125)*'Inputs'!$E$43*(1-'Inputs'!$E$45)</f>
        <v>0.0</v>
      </c>
      <c r="M128" s="36">
        <f>SUM(M124,M127,M125)*'Inputs'!$E$43*(1-'Inputs'!$E$45)</f>
        <v>0.0</v>
      </c>
      <c r="N128" s="36">
        <f>SUM(N124,N127,N125)*'Inputs'!$E$43*(1-'Inputs'!$E$45)</f>
        <v>0.0</v>
      </c>
      <c r="O128" s="36">
        <f>SUM(O124,O127,O125)*'Inputs'!$E$43*(1-'Inputs'!$E$45)</f>
        <v>0.0</v>
      </c>
      <c r="P128" s="36">
        <f>SUM(P124,P127,P125)*'Inputs'!$E$43*(1-'Inputs'!$E$45)</f>
        <v>0.0</v>
      </c>
      <c r="Q128" s="36">
        <f>SUM(Q124,Q127,Q125)*'Inputs'!$E$43*(1-'Inputs'!$E$45)</f>
        <v>0.0</v>
      </c>
      <c r="R128" s="36">
        <f>SUM(R124,R127,R125)*'Inputs'!$E$43*(1-'Inputs'!$E$45)</f>
        <v>0.0</v>
      </c>
      <c r="S128" s="36">
        <f>SUM(S124,S127,S125)*'Inputs'!$E$43*(1-'Inputs'!$E$45)</f>
        <v>0.0</v>
      </c>
      <c r="T128" s="36">
        <f>SUM(T124,T127,T125)*'Inputs'!$E$43*(1-'Inputs'!$E$45)</f>
        <v>0.0</v>
      </c>
      <c r="U128" s="36">
        <f>SUM(U124,U127,U125)*'Inputs'!$E$43*(1-'Inputs'!$E$45)</f>
        <v>0.0</v>
      </c>
      <c r="V128" s="36">
        <f>SUM(V124,V127,V125)*'Inputs'!$E$43*(1-'Inputs'!$E$45)</f>
        <v>0.0</v>
      </c>
      <c r="W128" s="36">
        <f>SUM(W124,W127,W125)*'Inputs'!$E$43*(1-'Inputs'!$E$45)</f>
        <v>0.0</v>
      </c>
      <c r="X128" s="36">
        <f>SUM(X124,X127,X125)*'Inputs'!$E$43*(1-'Inputs'!$E$45)</f>
        <v>0.0</v>
      </c>
      <c r="Y128" s="36">
        <f>SUM(Y124,Y127,Y125)*'Inputs'!$E$43*(1-'Inputs'!$E$45)</f>
        <v>0.0</v>
      </c>
      <c r="Z128" s="36">
        <f>SUM(Z124,Z127,Z125)*'Inputs'!$E$43*(1-'Inputs'!$E$45)</f>
        <v>0.0</v>
      </c>
      <c r="AA128" s="36">
        <f>SUM(AA124,AA127,AA125)*'Inputs'!$E$43*(1-'Inputs'!$E$45)</f>
        <v>0.0</v>
      </c>
      <c r="AB128" s="36">
        <f>SUM(AB124,AB127,AB125)*'Inputs'!$E$43*(1-'Inputs'!$E$45)</f>
        <v>0.0</v>
      </c>
      <c r="AC128" s="36">
        <f>SUM(AC124,AC127,AC125)*'Inputs'!$E$43*(1-'Inputs'!$E$45)</f>
        <v>0.0</v>
      </c>
      <c r="AD128" s="36">
        <f>SUM(AD124,AD127,AD125)*'Inputs'!$E$43*(1-'Inputs'!$E$45)</f>
        <v>0.0</v>
      </c>
      <c r="AE128" s="36">
        <f>SUM(AE124,AE127,AE125)*'Inputs'!$E$43*(1-'Inputs'!$E$45)</f>
        <v>0.0</v>
      </c>
      <c r="AF128" s="36">
        <f>SUM(AF124,AF127,AF125)*'Inputs'!$E$43*(1-'Inputs'!$E$45)</f>
        <v>0.0</v>
      </c>
      <c r="AG128" s="36">
        <f>SUM(AG124,AG127,AG125)*'Inputs'!$E$43*(1-'Inputs'!$E$45)</f>
        <v>0.0</v>
      </c>
      <c r="AH128" s="36">
        <f>SUM(AH124,AH127,AH125)*'Inputs'!$E$43*(1-'Inputs'!$E$45)</f>
        <v>0.0</v>
      </c>
      <c r="AI128" s="36">
        <f>SUM(AI124,AI127,AI125)*'Inputs'!$E$43*(1-'Inputs'!$E$45)</f>
        <v>0.0</v>
      </c>
      <c r="AJ128" s="36">
        <f>SUM(AJ124,AJ127,AJ125)*'Inputs'!$E$43*(1-'Inputs'!$E$45)</f>
        <v>0.0</v>
      </c>
      <c r="AK128" s="36">
        <f>SUM(AK124,AK127,AK125)*'Inputs'!$E$43*(1-'Inputs'!$E$45)</f>
        <v>0.0</v>
      </c>
      <c r="AL128" s="36">
        <f>SUM(AL124,AL127,AL125)*'Inputs'!$E$43*(1-'Inputs'!$E$45)</f>
        <v>0.0</v>
      </c>
      <c r="AM128" s="36">
        <f>SUM(AM124,AM127,AM125)*'Inputs'!$E$43*(1-'Inputs'!$E$45)</f>
        <v>0.0</v>
      </c>
      <c r="AN128" s="36">
        <f>SUM(AN124,AN127,AN125)*'Inputs'!$E$43*(1-'Inputs'!$E$45)</f>
        <v>0.0</v>
      </c>
      <c r="AO128" s="36">
        <f>SUM(AO124,AO127,AO125)*'Inputs'!$E$43*(1-'Inputs'!$E$45)</f>
        <v>0.0</v>
      </c>
      <c r="AP128" s="36">
        <f>SUM(AP124,AP127,AP125)*'Inputs'!$E$43*(1-'Inputs'!$E$45)</f>
        <v>0.0</v>
      </c>
      <c r="AQ128" s="36">
        <f>SUM(AQ124,AQ127,AQ125)*'Inputs'!$E$43*(1-'Inputs'!$E$45)</f>
        <v>0.0</v>
      </c>
    </row>
    <row r="129" ht="22" customHeight="1">
      <c r="A129" s="2" t="str">
        <v>AT.VARIABLE</v>
      </c>
      <c r="B129" s="6" t="str">
        <v>Austria: variable costs</v>
      </c>
      <c r="C129" s="2" t="str">
        <v>EUR_per_user</v>
      </c>
      <c r="D129" s="2" t="str">
        <v>SUM</v>
      </c>
      <c r="E129" s="35">
        <f>SUM(H129:AQ129)</f>
        <v>31.325090597768536</v>
      </c>
      <c r="F129" s="6" t="str"/>
      <c r="G129" s="2"/>
      <c r="H129" s="35">
        <f>SUM(H118,H119,H120,H121,H122,H123,H124,H125,H126,H127,H128)</f>
        <v>0.48113742000000004</v>
      </c>
      <c r="I129" s="35">
        <f>SUM(I118,I119,I120,I121,I122,I123,I124,I125,I126,I127,I128)</f>
        <v>0.21827055624799999</v>
      </c>
      <c r="J129" s="35">
        <f>SUM(J118,J119,J120,J121,J122,J123,J124,J125,J126,J127,J128)</f>
        <v>0.194129024011296</v>
      </c>
      <c r="K129" s="35">
        <f>SUM(K118,K119,K120,K121,K122,K123,K124,K125,K126,K127,K128)</f>
        <v>0.18086379214489473</v>
      </c>
      <c r="L129" s="35">
        <f>SUM(L118,L119,L120,L121,L122,L123,L124,L125,L126,L127,L128)</f>
        <v>0.36209466139918023</v>
      </c>
      <c r="M129" s="35">
        <f>SUM(M118,M119,M120,M121,M122,M123,M124,M125,M126,M127,M128)</f>
        <v>0.45852454358548056</v>
      </c>
      <c r="N129" s="35">
        <f>SUM(N118,N119,N120,N121,N122,N123,N124,N125,N126,N127,N128)</f>
        <v>0.5542587163063855</v>
      </c>
      <c r="O129" s="35">
        <f>SUM(O118,O119,O120,O121,O122,O123,O124,O125,O126,O127,O128)</f>
        <v>0.6300317160515433</v>
      </c>
      <c r="P129" s="35">
        <f>SUM(P118,P119,P120,P121,P122,P123,P124,P125,P126,P127,P128)</f>
        <v>0.688123727255849</v>
      </c>
      <c r="Q129" s="35">
        <f>SUM(Q118,Q119,Q120,Q121,Q122,Q123,Q124,Q125,Q126,Q127,Q128)</f>
        <v>0.7305236833017964</v>
      </c>
      <c r="R129" s="35">
        <f>SUM(R118,R119,R120,R121,R122,R123,R124,R125,R126,R127,R128)</f>
        <v>0.7783156719991761</v>
      </c>
      <c r="S129" s="35">
        <f>SUM(S118,S119,S120,S121,S122,S123,S124,S125,S126,S127,S128)</f>
        <v>0.8170008595178548</v>
      </c>
      <c r="T129" s="35">
        <f>SUM(T118,T119,T120,T121,T122,T123,T124,T125,T126,T127,T128)</f>
        <v>0.9226146752702399</v>
      </c>
      <c r="U129" s="35">
        <f>SUM(U118,U119,U120,U121,U122,U123,U124,U125,U126,U127,U128)</f>
        <v>0.893357469862531</v>
      </c>
      <c r="V129" s="35">
        <f>SUM(V118,V119,V120,V121,V122,V123,V124,V125,V126,V127,V128)</f>
        <v>0.9290055339780803</v>
      </c>
      <c r="W129" s="35">
        <f>SUM(W118,W119,W120,W121,W122,W123,W124,W125,W126,W127,W128)</f>
        <v>0.9602847437628591</v>
      </c>
      <c r="X129" s="35">
        <f>SUM(X118,X119,X120,X121,X122,X123,X124,X125,X126,X127,X128)</f>
        <v>0.9890406654551305</v>
      </c>
      <c r="Y129" s="35">
        <f>SUM(Y118,Y119,Y120,Y121,Y122,Y123,Y124,Y125,Y126,Y127,Y128)</f>
        <v>1.014283970534421</v>
      </c>
      <c r="Z129" s="35">
        <f>SUM(Z118,Z119,Z120,Z121,Z122,Z123,Z124,Z125,Z126,Z127,Z128)</f>
        <v>1.0360420448725005</v>
      </c>
      <c r="AA129" s="35">
        <f>SUM(AA118,AA119,AA120,AA121,AA122,AA123,AA124,AA125,AA126,AA127,AA128)</f>
        <v>1.0547670586421374</v>
      </c>
      <c r="AB129" s="35">
        <f>SUM(AB118,AB119,AB120,AB121,AB122,AB123,AB124,AB125,AB126,AB127,AB128)</f>
        <v>1.0707557610512717</v>
      </c>
      <c r="AC129" s="35">
        <f>SUM(AC118,AC119,AC120,AC121,AC122,AC123,AC124,AC125,AC126,AC127,AC128)</f>
        <v>1.0842905809105507</v>
      </c>
      <c r="AD129" s="35">
        <f>SUM(AD118,AD119,AD120,AD121,AD122,AD123,AD124,AD125,AD126,AD127,AD128)</f>
        <v>1.0956954023718941</v>
      </c>
      <c r="AE129" s="35">
        <f>SUM(AE118,AE119,AE120,AE121,AE122,AE123,AE124,AE125,AE126,AE127,AE128)</f>
        <v>1.1051164324145606</v>
      </c>
      <c r="AF129" s="35">
        <f>SUM(AF118,AF119,AF120,AF121,AF122,AF123,AF124,AF125,AF126,AF127,AF128)</f>
        <v>1.1390251066318233</v>
      </c>
      <c r="AG129" s="35">
        <f>SUM(AG118,AG119,AG120,AG121,AG122,AG123,AG124,AG125,AG126,AG127,AG128)</f>
        <v>1.1105251372873903</v>
      </c>
      <c r="AH129" s="35">
        <f>SUM(AH118,AH119,AH120,AH121,AH122,AH123,AH124,AH125,AH126,AH127,AH128)</f>
        <v>1.1046101195472022</v>
      </c>
      <c r="AI129" s="35">
        <f>SUM(AI118,AI119,AI120,AI121,AI122,AI123,AI124,AI125,AI126,AI127,AI128)</f>
        <v>1.0971657500573435</v>
      </c>
      <c r="AJ129" s="35">
        <f>SUM(AJ118,AJ119,AJ120,AJ121,AJ122,AJ123,AJ124,AJ125,AJ126,AJ127,AJ128)</f>
        <v>1.0885888532044286</v>
      </c>
      <c r="AK129" s="35">
        <f>SUM(AK118,AK119,AK120,AK121,AK122,AK123,AK124,AK125,AK126,AK127,AK128)</f>
        <v>1.0874427509415086</v>
      </c>
      <c r="AL129" s="35">
        <f>SUM(AL118,AL119,AL120,AL121,AL122,AL123,AL124,AL125,AL126,AL127,AL128)</f>
        <v>1.085251869235975</v>
      </c>
      <c r="AM129" s="35">
        <f>SUM(AM118,AM119,AM120,AM121,AM122,AM123,AM124,AM125,AM126,AM127,AM128)</f>
        <v>1.0821315191494507</v>
      </c>
      <c r="AN129" s="35">
        <f>SUM(AN118,AN119,AN120,AN121,AN122,AN123,AN124,AN125,AN126,AN127,AN128)</f>
        <v>1.078170715235166</v>
      </c>
      <c r="AO129" s="35">
        <f>SUM(AO118,AO119,AO120,AO121,AO122,AO123,AO124,AO125,AO126,AO127,AO128)</f>
        <v>1.0734553836788803</v>
      </c>
      <c r="AP129" s="35">
        <f>SUM(AP118,AP119,AP120,AP121,AP122,AP123,AP124,AP125,AP126,AP127,AP128)</f>
        <v>1.0680868728049104</v>
      </c>
      <c r="AQ129" s="35">
        <f>SUM(AQ118,AQ119,AQ120,AQ121,AQ122,AQ123,AQ124,AQ125,AQ126,AQ127,AQ128)</f>
        <v>1.0621078090468226</v>
      </c>
    </row>
    <row r="130" ht="28" customHeight="1">
      <c r="A130" s="2" t="str">
        <v>AT.CONTRIBUTION</v>
      </c>
      <c r="B130" s="6" t="str">
        <v>Austria: contribution after variable costs</v>
      </c>
      <c r="C130" s="2" t="str">
        <v>EUR_per_user</v>
      </c>
      <c r="D130" s="2" t="str">
        <v>SUM</v>
      </c>
      <c r="E130" s="35">
        <f>SUM(H130:AQ130)</f>
        <v>36.99998416692609</v>
      </c>
      <c r="F130" s="6" t="str"/>
      <c r="G130" s="2"/>
      <c r="H130" s="35">
        <f>SUM(H114,H115)-H129</f>
        <v>0.4433792466666667</v>
      </c>
      <c r="I130" s="35">
        <f>SUM(I114,I115)-I129</f>
        <v>0.7028269837520001</v>
      </c>
      <c r="J130" s="35">
        <f>SUM(J114,J115)-J129</f>
        <v>0.716526868068704</v>
      </c>
      <c r="K130" s="35">
        <f>SUM(K114,K115)-K129</f>
        <v>0.7170465346353587</v>
      </c>
      <c r="L130" s="35">
        <f>SUM(L114,L115)-L129</f>
        <v>0.7915983932365396</v>
      </c>
      <c r="M130" s="35">
        <f>SUM(M114,M115)-M129</f>
        <v>0.8964756006529191</v>
      </c>
      <c r="N130" s="35">
        <f>SUM(N114,N115)-N129</f>
        <v>0.9691645816590049</v>
      </c>
      <c r="O130" s="35">
        <f>SUM(O114,O115)-O129</f>
        <v>1.0275105103311626</v>
      </c>
      <c r="P130" s="35">
        <f>SUM(P114,P115)-P129</f>
        <v>1.0728222951144204</v>
      </c>
      <c r="Q130" s="35">
        <f>SUM(Q114,Q115)-Q129</f>
        <v>1.1063354562532628</v>
      </c>
      <c r="R130" s="35">
        <f>SUM(R114,R115)-R129</f>
        <v>1.1401860860111284</v>
      </c>
      <c r="S130" s="35">
        <f>SUM(S114,S115)-S129</f>
        <v>1.1677342967558617</v>
      </c>
      <c r="T130" s="35">
        <f>SUM(T114,T115)-T129</f>
        <v>0.9682422875554212</v>
      </c>
      <c r="U130" s="35">
        <f>SUM(U114,U115)-U129</f>
        <v>1.057211133286113</v>
      </c>
      <c r="V130" s="35">
        <f>SUM(V114,V115)-V129</f>
        <v>1.0753222798220754</v>
      </c>
      <c r="W130" s="35">
        <f>SUM(W114,W115)-W129</f>
        <v>1.0918320582363776</v>
      </c>
      <c r="X130" s="35">
        <f>SUM(X114,X115)-X129</f>
        <v>1.1054904612135965</v>
      </c>
      <c r="Y130" s="35">
        <f>SUM(Y114,Y115)-Y129</f>
        <v>1.1175619490753266</v>
      </c>
      <c r="Z130" s="35">
        <f>SUM(Z114,Z115)-Z129</f>
        <v>1.128379940003828</v>
      </c>
      <c r="AA130" s="35">
        <f>SUM(AA114,AA115)-AA129</f>
        <v>1.1379418401898023</v>
      </c>
      <c r="AB130" s="35">
        <f>SUM(AB114,AB115)-AB129</f>
        <v>1.14635974301359</v>
      </c>
      <c r="AC130" s="35">
        <f>SUM(AC114,AC115)-AC129</f>
        <v>1.1537229956245667</v>
      </c>
      <c r="AD130" s="35">
        <f>SUM(AD114,AD115)-AD129</f>
        <v>1.159914148727336</v>
      </c>
      <c r="AE130" s="35">
        <f>SUM(AE114,AE115)-AE129</f>
        <v>1.1650949759531157</v>
      </c>
      <c r="AF130" s="35">
        <f>SUM(AF114,AF115)-AF129</f>
        <v>1.0918903840201668</v>
      </c>
      <c r="AG130" s="35">
        <f>SUM(AG114,AG115)-AG129</f>
        <v>1.1098559282771796</v>
      </c>
      <c r="AH130" s="35">
        <f>SUM(AH114,AH115)-AH129</f>
        <v>1.1026907263968118</v>
      </c>
      <c r="AI130" s="35">
        <f>SUM(AI114,AI115)-AI129</f>
        <v>1.094557687347437</v>
      </c>
      <c r="AJ130" s="35">
        <f>SUM(AJ114,AJ115)-AJ129</f>
        <v>1.0853168724441886</v>
      </c>
      <c r="AK130" s="35">
        <f>SUM(AK114,AK115)-AK129</f>
        <v>1.081095277972907</v>
      </c>
      <c r="AL130" s="35">
        <f>SUM(AL114,AL115)-AL129</f>
        <v>1.0764446447255078</v>
      </c>
      <c r="AM130" s="35">
        <f>SUM(AM114,AM115)-AM129</f>
        <v>1.0713928022831076</v>
      </c>
      <c r="AN130" s="35">
        <f>SUM(AN114,AN115)-AN129</f>
        <v>1.0659806487216914</v>
      </c>
      <c r="AO130" s="35">
        <f>SUM(AO114,AO115)-AO129</f>
        <v>1.060240153447935</v>
      </c>
      <c r="AP130" s="35">
        <f>SUM(AP114,AP115)-AP129</f>
        <v>1.0541308830015288</v>
      </c>
      <c r="AQ130" s="35">
        <f>SUM(AQ114,AQ115)-AQ129</f>
        <v>1.0477074924494545</v>
      </c>
    </row>
    <row r="131" ht="28" customHeight="1">
      <c r="A131" s="2" t="str">
        <v>CONTRIBUTION</v>
      </c>
      <c r="B131" s="6" t="str">
        <v>Contribution / original connected user</v>
      </c>
      <c r="C131" s="2" t="str">
        <v>EUR_per_user</v>
      </c>
      <c r="D131" s="2" t="str">
        <v>SUM</v>
      </c>
      <c r="E131" s="35">
        <f>SUM(H131:AQ131)</f>
        <v>38.26088526437821</v>
      </c>
      <c r="F131" s="6" t="str">
        <v>36 ages, no terminal value; fixed cloud, market data and KYC minimum excluded</v>
      </c>
      <c r="G131" s="2"/>
      <c r="H131" s="36">
        <f>H82*(1-'Inputs'!$E$14)+H130*'Inputs'!$E$14</f>
        <v>0.4488204443305323</v>
      </c>
      <c r="I131" s="36">
        <f>I82*(1-'Inputs'!$E$14)+I130*'Inputs'!$E$14</f>
        <v>0.7093967014919733</v>
      </c>
      <c r="J131" s="36">
        <f>J82*(1-'Inputs'!$E$14)+J130*'Inputs'!$E$14</f>
        <v>0.7230395113254952</v>
      </c>
      <c r="K131" s="36">
        <f>K82*(1-'Inputs'!$E$14)+K130*'Inputs'!$E$14</f>
        <v>0.799247920275095</v>
      </c>
      <c r="L131" s="36">
        <f>L82*(1-'Inputs'!$E$14)+L130*'Inputs'!$E$14</f>
        <v>0.9086940365561221</v>
      </c>
      <c r="M131" s="36">
        <f>M82*(1-'Inputs'!$E$14)+M130*'Inputs'!$E$14</f>
        <v>0.9869808445729469</v>
      </c>
      <c r="N131" s="36">
        <f>N82*(1-'Inputs'!$E$14)+N130*'Inputs'!$E$14</f>
        <v>1.050495792139863</v>
      </c>
      <c r="O131" s="36">
        <f>O82*(1-'Inputs'!$E$14)+O130*'Inputs'!$E$14</f>
        <v>1.10044461611861</v>
      </c>
      <c r="P131" s="36">
        <f>P82*(1-'Inputs'!$E$14)+P130*'Inputs'!$E$14</f>
        <v>1.1381452832253125</v>
      </c>
      <c r="Q131" s="36">
        <f>Q82*(1-'Inputs'!$E$14)+Q130*'Inputs'!$E$14</f>
        <v>1.1647881284053905</v>
      </c>
      <c r="R131" s="36">
        <f>R82*(1-'Inputs'!$E$14)+R130*'Inputs'!$E$14</f>
        <v>1.1937148565158484</v>
      </c>
      <c r="S131" s="36">
        <f>S82*(1-'Inputs'!$E$14)+S130*'Inputs'!$E$14</f>
        <v>1.2167958937364591</v>
      </c>
      <c r="T131" s="36">
        <f>T82*(1-'Inputs'!$E$14)+T130*'Inputs'!$E$14</f>
        <v>1.0117215787119032</v>
      </c>
      <c r="U131" s="36">
        <f>U82*(1-'Inputs'!$E$14)+U130*'Inputs'!$E$14</f>
        <v>1.0981297403046077</v>
      </c>
      <c r="V131" s="36">
        <f>V82*(1-'Inputs'!$E$14)+V130*'Inputs'!$E$14</f>
        <v>1.1135457142906737</v>
      </c>
      <c r="W131" s="36">
        <f>W82*(1-'Inputs'!$E$14)+W130*'Inputs'!$E$14</f>
        <v>1.1276167632467289</v>
      </c>
      <c r="X131" s="36">
        <f>X82*(1-'Inputs'!$E$14)+X130*'Inputs'!$E$14</f>
        <v>1.1389909318620728</v>
      </c>
      <c r="Y131" s="36">
        <f>Y82*(1-'Inputs'!$E$14)+Y130*'Inputs'!$E$14</f>
        <v>1.1489873933056214</v>
      </c>
      <c r="Z131" s="36">
        <f>Z82*(1-'Inputs'!$E$14)+Z130*'Inputs'!$E$14</f>
        <v>1.1579268576859838</v>
      </c>
      <c r="AA131" s="36">
        <f>AA82*(1-'Inputs'!$E$14)+AA130*'Inputs'!$E$14</f>
        <v>1.1657798501990366</v>
      </c>
      <c r="AB131" s="36">
        <f>AB82*(1-'Inputs'!$E$14)+AB130*'Inputs'!$E$14</f>
        <v>1.1726418758579895</v>
      </c>
      <c r="AC131" s="36">
        <f>AC82*(1-'Inputs'!$E$14)+AC130*'Inputs'!$E$14</f>
        <v>1.1785872581539316</v>
      </c>
      <c r="AD131" s="36">
        <f>AD82*(1-'Inputs'!$E$14)+AD130*'Inputs'!$E$14</f>
        <v>1.1834838950054156</v>
      </c>
      <c r="AE131" s="36">
        <f>AE82*(1-'Inputs'!$E$14)+AE130*'Inputs'!$E$14</f>
        <v>1.1874825759824692</v>
      </c>
      <c r="AF131" s="36">
        <f>AF82*(1-'Inputs'!$E$14)+AF130*'Inputs'!$E$14</f>
        <v>1.1126613286836748</v>
      </c>
      <c r="AG131" s="36">
        <f>AG82*(1-'Inputs'!$E$14)+AG130*'Inputs'!$E$14</f>
        <v>1.129600161733933</v>
      </c>
      <c r="AH131" s="36">
        <f>AH82*(1-'Inputs'!$E$14)+AH130*'Inputs'!$E$14</f>
        <v>1.121369283454309</v>
      </c>
      <c r="AI131" s="36">
        <f>AI82*(1-'Inputs'!$E$14)+AI130*'Inputs'!$E$14</f>
        <v>1.1122600649890226</v>
      </c>
      <c r="AJ131" s="36">
        <f>AJ82*(1-'Inputs'!$E$14)+AJ130*'Inputs'!$E$14</f>
        <v>1.1021185184144136</v>
      </c>
      <c r="AK131" s="36">
        <f>AK82*(1-'Inputs'!$E$14)+AK130*'Inputs'!$E$14</f>
        <v>1.0971774796099676</v>
      </c>
      <c r="AL131" s="36">
        <f>AL82*(1-'Inputs'!$E$14)+AL130*'Inputs'!$E$14</f>
        <v>1.091866950089327</v>
      </c>
      <c r="AM131" s="36">
        <f>AM82*(1-'Inputs'!$E$14)+AM130*'Inputs'!$E$14</f>
        <v>1.0862087508437785</v>
      </c>
      <c r="AN131" s="36">
        <f>AN82*(1-'Inputs'!$E$14)+AN130*'Inputs'!$E$14</f>
        <v>1.0802388466408255</v>
      </c>
      <c r="AO131" s="36">
        <f>AO82*(1-'Inputs'!$E$14)+AO130*'Inputs'!$E$14</f>
        <v>1.0739846670590985</v>
      </c>
      <c r="AP131" s="36">
        <f>AP82*(1-'Inputs'!$E$14)+AP130*'Inputs'!$E$14</f>
        <v>1.0674011936254342</v>
      </c>
      <c r="AQ131" s="36">
        <f>AQ82*(1-'Inputs'!$E$14)+AQ130*'Inputs'!$E$14</f>
        <v>1.0605395559343442</v>
      </c>
    </row>
    <row r="132" ht="28" customHeight="1">
      <c r="A132" s="2" t="str">
        <v>DISCOUNTED</v>
      </c>
      <c r="B132" s="6" t="str">
        <v>Discounted contribution; age 0 undiscounted</v>
      </c>
      <c r="C132" s="2" t="str">
        <v>EUR_per_user</v>
      </c>
      <c r="D132" s="2" t="str">
        <v>SUM</v>
      </c>
      <c r="E132" s="35">
        <f>SUM(H132:AQ132)</f>
        <v>32.33029911500752</v>
      </c>
      <c r="F132" s="6" t="str">
        <v>36 ages, no terminal value; fixed cloud, market data and KYC minimum excluded</v>
      </c>
      <c r="G132" s="2"/>
      <c r="H132" s="36">
        <f>H131/(1+'Inputs'!$E$50)^(H$6/12)</f>
        <v>0.4488204443305323</v>
      </c>
      <c r="I132" s="36">
        <f>I131/(1+'Inputs'!$E$50)^(I$6/12)</f>
        <v>0.7027286547974027</v>
      </c>
      <c r="J132" s="36">
        <f>J131/(1+'Inputs'!$E$50)^(J$6/12)</f>
        <v>0.7095108263316443</v>
      </c>
      <c r="K132" s="36">
        <f>K131/(1+'Inputs'!$E$50)^(K$6/12)</f>
        <v>0.7769212660312402</v>
      </c>
      <c r="L132" s="36">
        <f>L131/(1+'Inputs'!$E$50)^(L$6/12)</f>
        <v>0.8750072881471125</v>
      </c>
      <c r="M132" s="36">
        <f>M131/(1+'Inputs'!$E$50)^(M$6/12)</f>
        <v>0.9414585729115562</v>
      </c>
      <c r="N132" s="36">
        <f>N131/(1+'Inputs'!$E$50)^(N$6/12)</f>
        <v>0.992625221186385</v>
      </c>
      <c r="O132" s="36">
        <f>O131/(1+'Inputs'!$E$50)^(O$6/12)</f>
        <v>1.0300485065267706</v>
      </c>
      <c r="P132" s="36">
        <f>P131/(1+'Inputs'!$E$50)^(P$6/12)</f>
        <v>1.055323691106623</v>
      </c>
      <c r="Q132" s="36">
        <f>Q131/(1+'Inputs'!$E$50)^(Q$6/12)</f>
        <v>1.0698759342674669</v>
      </c>
      <c r="R132" s="36">
        <f>R131/(1+'Inputs'!$E$50)^(R$6/12)</f>
        <v>1.0861394298586042</v>
      </c>
      <c r="S132" s="36">
        <f>S131/(1+'Inputs'!$E$50)^(S$6/12)</f>
        <v>1.0967337660855137</v>
      </c>
      <c r="T132" s="36">
        <f>T131/(1+'Inputs'!$E$50)^(T$6/12)</f>
        <v>0.9033228381356277</v>
      </c>
      <c r="U132" s="36">
        <f>U131/(1+'Inputs'!$E$50)^(U$6/12)</f>
        <v>0.9712569265524922</v>
      </c>
      <c r="V132" s="36">
        <f>V131/(1+'Inputs'!$E$50)^(V$6/12)</f>
        <v>0.9756342193626344</v>
      </c>
      <c r="W132" s="36">
        <f>W131/(1+'Inputs'!$E$50)^(W$6/12)</f>
        <v>0.9786761282028571</v>
      </c>
      <c r="X132" s="36">
        <f>X131/(1+'Inputs'!$E$50)^(X$6/12)</f>
        <v>0.9792559887550223</v>
      </c>
      <c r="Y132" s="36">
        <f>Y131/(1+'Inputs'!$E$50)^(Y$6/12)</f>
        <v>0.978565119597243</v>
      </c>
      <c r="Z132" s="36">
        <f>Z131/(1+'Inputs'!$E$50)^(Z$6/12)</f>
        <v>0.9769089610457885</v>
      </c>
      <c r="AA132" s="36">
        <f>AA131/(1+'Inputs'!$E$50)^(AA$6/12)</f>
        <v>0.9742894696897839</v>
      </c>
      <c r="AB132" s="36">
        <f>AB131/(1+'Inputs'!$E$50)^(AB$6/12)</f>
        <v>0.9708125038227398</v>
      </c>
      <c r="AC132" s="36">
        <f>AC131/(1+'Inputs'!$E$50)^(AC$6/12)</f>
        <v>0.9665630791426597</v>
      </c>
      <c r="AD132" s="36">
        <f>AD131/(1+'Inputs'!$E$50)^(AD$6/12)</f>
        <v>0.9614557715350577</v>
      </c>
      <c r="AE132" s="36">
        <f>AE131/(1+'Inputs'!$E$50)^(AE$6/12)</f>
        <v>0.9556364415333162</v>
      </c>
      <c r="AF132" s="36">
        <f>AF131/(1+'Inputs'!$E$50)^(AF$6/12)</f>
        <v>0.887006799014409</v>
      </c>
      <c r="AG132" s="36">
        <f>AG131/(1+'Inputs'!$E$50)^(AG$6/12)</f>
        <v>0.8920458942363798</v>
      </c>
      <c r="AH132" s="36">
        <f>AH131/(1+'Inputs'!$E$50)^(AH$6/12)</f>
        <v>0.8772221852744105</v>
      </c>
      <c r="AI132" s="36">
        <f>AI131/(1+'Inputs'!$E$50)^(AI$6/12)</f>
        <v>0.8619176883223703</v>
      </c>
      <c r="AJ132" s="36">
        <f>AJ131/(1+'Inputs'!$E$50)^(AJ$6/12)</f>
        <v>0.8460309419536495</v>
      </c>
      <c r="AK132" s="36">
        <f>AK131/(1+'Inputs'!$E$50)^(AK$6/12)</f>
        <v>0.834321297830084</v>
      </c>
      <c r="AL132" s="36">
        <f>AL131/(1+'Inputs'!$E$50)^(AL$6/12)</f>
        <v>0.822478707722227</v>
      </c>
      <c r="AM132" s="36">
        <f>AM131/(1+'Inputs'!$E$50)^(AM$6/12)</f>
        <v>0.8105256044233458</v>
      </c>
      <c r="AN132" s="36">
        <f>AN131/(1+'Inputs'!$E$50)^(AN$6/12)</f>
        <v>0.7984941348984325</v>
      </c>
      <c r="AO132" s="36">
        <f>AO131/(1+'Inputs'!$E$50)^(AO$6/12)</f>
        <v>0.7864090790863334</v>
      </c>
      <c r="AP132" s="36">
        <f>AP131/(1+'Inputs'!$E$50)^(AP$6/12)</f>
        <v>0.7742418097153977</v>
      </c>
      <c r="AQ132" s="36">
        <f>AQ131/(1+'Inputs'!$E$50)^(AQ$6/12)</f>
        <v>0.7620339235744035</v>
      </c>
    </row>
    <row r="133" ht="28" customHeight="1">
      <c r="A133" s="2" t="str">
        <v>CUMULATIVE</v>
      </c>
      <c r="B133" s="6" t="str">
        <v>Cumulative discounted contribution</v>
      </c>
      <c r="C133" s="2" t="str">
        <v>EUR_per_user</v>
      </c>
      <c r="D133" s="2" t="str">
        <v>END</v>
      </c>
      <c r="E133" s="35">
        <f>AQ133</f>
        <v>32.33029911500752</v>
      </c>
      <c r="F133" s="6" t="str">
        <v>36 ages, no terminal value; fixed cloud, market data and KYC minimum excluded</v>
      </c>
      <c r="G133" s="2"/>
      <c r="H133" s="35">
        <f>SUM(H132:H132)</f>
        <v>0.4488204443305323</v>
      </c>
      <c r="I133" s="35">
        <f>SUM(H132:I132)</f>
        <v>1.151549099127935</v>
      </c>
      <c r="J133" s="35">
        <f>SUM(H132:J132)</f>
        <v>1.8610599254595792</v>
      </c>
      <c r="K133" s="35">
        <f>SUM(H132:K132)</f>
        <v>2.6379811914908196</v>
      </c>
      <c r="L133" s="35">
        <f>SUM(H132:L132)</f>
        <v>3.512988479637932</v>
      </c>
      <c r="M133" s="35">
        <f>SUM(H132:M132)</f>
        <v>4.454447052549488</v>
      </c>
      <c r="N133" s="35">
        <f>SUM(H132:N132)</f>
        <v>5.447072273735873</v>
      </c>
      <c r="O133" s="35">
        <f>SUM(H132:O132)</f>
        <v>6.477120780262644</v>
      </c>
      <c r="P133" s="35">
        <f>SUM(H132:P132)</f>
        <v>7.532444471369267</v>
      </c>
      <c r="Q133" s="35">
        <f>SUM(H132:Q132)</f>
        <v>8.602320405636734</v>
      </c>
      <c r="R133" s="35">
        <f>SUM(H132:R132)</f>
        <v>9.688459835495339</v>
      </c>
      <c r="S133" s="35">
        <f>SUM(H132:S132)</f>
        <v>10.785193601580852</v>
      </c>
      <c r="T133" s="35">
        <f>SUM(H132:T132)</f>
        <v>11.68851643971648</v>
      </c>
      <c r="U133" s="35">
        <f>SUM(H132:U132)</f>
        <v>12.659773366268972</v>
      </c>
      <c r="V133" s="35">
        <f>SUM(H132:V132)</f>
        <v>13.635407585631606</v>
      </c>
      <c r="W133" s="35">
        <f>SUM(H132:W132)</f>
        <v>14.614083713834463</v>
      </c>
      <c r="X133" s="35">
        <f>SUM(H132:X132)</f>
        <v>15.593339702589486</v>
      </c>
      <c r="Y133" s="35">
        <f>SUM(H132:Y132)</f>
        <v>16.571904822186728</v>
      </c>
      <c r="Z133" s="35">
        <f>SUM(H132:Z132)</f>
        <v>17.548813783232518</v>
      </c>
      <c r="AA133" s="35">
        <f>SUM(H132:AA132)</f>
        <v>18.5231032529223</v>
      </c>
      <c r="AB133" s="35">
        <f>SUM(H132:AB132)</f>
        <v>19.49391575674504</v>
      </c>
      <c r="AC133" s="35">
        <f>SUM(H132:AC132)</f>
        <v>20.4604788358877</v>
      </c>
      <c r="AD133" s="35">
        <f>SUM(H132:AD132)</f>
        <v>21.42193460742276</v>
      </c>
      <c r="AE133" s="35">
        <f>SUM(H132:AE132)</f>
        <v>22.377571048956074</v>
      </c>
      <c r="AF133" s="35">
        <f>SUM(H132:AF132)</f>
        <v>23.264577847970482</v>
      </c>
      <c r="AG133" s="35">
        <f>SUM(H132:AG132)</f>
        <v>24.156623742206865</v>
      </c>
      <c r="AH133" s="35">
        <f>SUM(H132:AH132)</f>
        <v>25.033845927481273</v>
      </c>
      <c r="AI133" s="35">
        <f>SUM(H132:AI132)</f>
        <v>25.895763615803645</v>
      </c>
      <c r="AJ133" s="35">
        <f>SUM(H132:AJ132)</f>
        <v>26.74179455775729</v>
      </c>
      <c r="AK133" s="35">
        <f>SUM(H132:AK132)</f>
        <v>27.57611585558738</v>
      </c>
      <c r="AL133" s="35">
        <f>SUM(H132:AL132)</f>
        <v>28.398594563309604</v>
      </c>
      <c r="AM133" s="35">
        <f>SUM(H132:AM132)</f>
        <v>29.20912016773295</v>
      </c>
      <c r="AN133" s="35">
        <f>SUM(H132:AN132)</f>
        <v>30.00761430263138</v>
      </c>
      <c r="AO133" s="35">
        <f>SUM(H132:AO132)</f>
        <v>30.794023381717714</v>
      </c>
      <c r="AP133" s="35">
        <f>SUM(H132:AP132)</f>
        <v>31.568265191433113</v>
      </c>
      <c r="AQ133" s="35">
        <f>SUM(H132:AQ132)</f>
        <v>32.33029911500752</v>
      </c>
    </row>
  </sheetData>
  <mergeCells>
    <mergeCell ref="B1:F1"/>
    <mergeCell ref="B2:F2"/>
    <mergeCell ref="B3:F3"/>
    <mergeCell ref="B4:F4"/>
    <mergeCell ref="B5:F5"/>
  </mergeCells>
  <pageMargins left="0.7" right="0.7" top="0.75" bottom="0.75" header="0.3" footer="0.3"/>
  <tableParts count="1">
    <tablePart ns1:id="R41465451ff9b4674"/>
  </tableParts>
</worksheet>
</file>

<file path=xl/worksheets/sheet6.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s>
  <sheetData>
    <row r="1" ht="28" customHeight="1">
      <c r="A1" s="2"/>
      <c r="B1" s="30" t="str">
        <v>Separate B2B client economics</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ht="22" customHeight="1">
      <c r="A6" s="2"/>
      <c r="B6" s="2"/>
      <c r="C6" s="2"/>
      <c r="D6" s="2"/>
      <c r="E6" s="2"/>
      <c r="F6" s="2"/>
      <c r="G6" s="2"/>
      <c r="H6" s="2" t="n">
        <v>0</v>
      </c>
      <c r="I6" s="2" t="n">
        <v>1</v>
      </c>
      <c r="J6" s="2" t="n">
        <v>2</v>
      </c>
      <c r="K6" s="2" t="n">
        <v>3</v>
      </c>
      <c r="L6" s="2" t="n">
        <v>4</v>
      </c>
      <c r="M6" s="2" t="n">
        <v>5</v>
      </c>
      <c r="N6" s="2" t="n">
        <v>6</v>
      </c>
      <c r="O6" s="2" t="n">
        <v>7</v>
      </c>
      <c r="P6" s="2" t="n">
        <v>8</v>
      </c>
      <c r="Q6" s="2" t="n">
        <v>9</v>
      </c>
      <c r="R6" s="2" t="n">
        <v>10</v>
      </c>
      <c r="S6" s="2" t="n">
        <v>11</v>
      </c>
      <c r="T6" s="2" t="n">
        <v>12</v>
      </c>
      <c r="U6" s="2" t="n">
        <v>13</v>
      </c>
      <c r="V6" s="2" t="n">
        <v>14</v>
      </c>
      <c r="W6" s="2" t="n">
        <v>15</v>
      </c>
      <c r="X6" s="2" t="n">
        <v>16</v>
      </c>
      <c r="Y6" s="2" t="n">
        <v>17</v>
      </c>
      <c r="Z6" s="2" t="n">
        <v>18</v>
      </c>
      <c r="AA6" s="2" t="n">
        <v>19</v>
      </c>
      <c r="AB6" s="2" t="n">
        <v>20</v>
      </c>
      <c r="AC6" s="2" t="n">
        <v>21</v>
      </c>
      <c r="AD6" s="2" t="n">
        <v>22</v>
      </c>
      <c r="AE6" s="2" t="n">
        <v>23</v>
      </c>
      <c r="AF6" s="2" t="n">
        <v>24</v>
      </c>
      <c r="AG6" s="2" t="n">
        <v>25</v>
      </c>
      <c r="AH6" s="2" t="n">
        <v>26</v>
      </c>
      <c r="AI6" s="2" t="n">
        <v>27</v>
      </c>
      <c r="AJ6" s="2" t="n">
        <v>28</v>
      </c>
      <c r="AK6" s="2" t="n">
        <v>29</v>
      </c>
      <c r="AL6" s="2" t="n">
        <v>30</v>
      </c>
      <c r="AM6" s="2" t="n">
        <v>31</v>
      </c>
      <c r="AN6" s="2" t="n">
        <v>32</v>
      </c>
      <c r="AO6" s="2" t="n">
        <v>33</v>
      </c>
      <c r="AP6" s="2" t="n">
        <v>34</v>
      </c>
      <c r="AQ6" s="2" t="n">
        <v>35</v>
      </c>
    </row>
    <row r="7" ht="22" customHeight="1">
      <c r="A7" s="2"/>
      <c r="B7" s="2"/>
      <c r="C7" s="2"/>
      <c r="D7" s="2"/>
      <c r="E7" s="2"/>
      <c r="F7" s="2"/>
      <c r="G7" s="2"/>
      <c r="H7" s="42">
        <f>EDATE('Inputs'!$E$73,'Inputs'!$E$13+H$6-1)</f>
        <v>47119.0</v>
      </c>
      <c r="I7" s="42">
        <f>EDATE('Inputs'!$E$73,'Inputs'!$E$13+I$6-1)</f>
        <v>47150.0</v>
      </c>
      <c r="J7" s="42">
        <f>EDATE('Inputs'!$E$73,'Inputs'!$E$13+J$6-1)</f>
        <v>47178.0</v>
      </c>
      <c r="K7" s="42">
        <f>EDATE('Inputs'!$E$73,'Inputs'!$E$13+K$6-1)</f>
        <v>47209.0</v>
      </c>
      <c r="L7" s="42">
        <f>EDATE('Inputs'!$E$73,'Inputs'!$E$13+L$6-1)</f>
        <v>47239.0</v>
      </c>
      <c r="M7" s="42">
        <f>EDATE('Inputs'!$E$73,'Inputs'!$E$13+M$6-1)</f>
        <v>47270.0</v>
      </c>
      <c r="N7" s="42">
        <f>EDATE('Inputs'!$E$73,'Inputs'!$E$13+N$6-1)</f>
        <v>47300.0</v>
      </c>
      <c r="O7" s="42">
        <f>EDATE('Inputs'!$E$73,'Inputs'!$E$13+O$6-1)</f>
        <v>47331.0</v>
      </c>
      <c r="P7" s="42">
        <f>EDATE('Inputs'!$E$73,'Inputs'!$E$13+P$6-1)</f>
        <v>47362.0</v>
      </c>
      <c r="Q7" s="42">
        <f>EDATE('Inputs'!$E$73,'Inputs'!$E$13+Q$6-1)</f>
        <v>47392.0</v>
      </c>
      <c r="R7" s="42">
        <f>EDATE('Inputs'!$E$73,'Inputs'!$E$13+R$6-1)</f>
        <v>47423.0</v>
      </c>
      <c r="S7" s="42">
        <f>EDATE('Inputs'!$E$73,'Inputs'!$E$13+S$6-1)</f>
        <v>47453.0</v>
      </c>
      <c r="T7" s="42">
        <f>EDATE('Inputs'!$E$73,'Inputs'!$E$13+T$6-1)</f>
        <v>47484.0</v>
      </c>
      <c r="U7" s="42">
        <f>EDATE('Inputs'!$E$73,'Inputs'!$E$13+U$6-1)</f>
        <v>47515.0</v>
      </c>
      <c r="V7" s="42">
        <f>EDATE('Inputs'!$E$73,'Inputs'!$E$13+V$6-1)</f>
        <v>47543.0</v>
      </c>
      <c r="W7" s="42">
        <f>EDATE('Inputs'!$E$73,'Inputs'!$E$13+W$6-1)</f>
        <v>47574.0</v>
      </c>
      <c r="X7" s="42">
        <f>EDATE('Inputs'!$E$73,'Inputs'!$E$13+X$6-1)</f>
        <v>47604.0</v>
      </c>
      <c r="Y7" s="42">
        <f>EDATE('Inputs'!$E$73,'Inputs'!$E$13+Y$6-1)</f>
        <v>47635.0</v>
      </c>
      <c r="Z7" s="42">
        <f>EDATE('Inputs'!$E$73,'Inputs'!$E$13+Z$6-1)</f>
        <v>47665.0</v>
      </c>
      <c r="AA7" s="42">
        <f>EDATE('Inputs'!$E$73,'Inputs'!$E$13+AA$6-1)</f>
        <v>47696.0</v>
      </c>
      <c r="AB7" s="42">
        <f>EDATE('Inputs'!$E$73,'Inputs'!$E$13+AB$6-1)</f>
        <v>47727.0</v>
      </c>
      <c r="AC7" s="42">
        <f>EDATE('Inputs'!$E$73,'Inputs'!$E$13+AC$6-1)</f>
        <v>47757.0</v>
      </c>
      <c r="AD7" s="42">
        <f>EDATE('Inputs'!$E$73,'Inputs'!$E$13+AD$6-1)</f>
        <v>47788.0</v>
      </c>
      <c r="AE7" s="42">
        <f>EDATE('Inputs'!$E$73,'Inputs'!$E$13+AE$6-1)</f>
        <v>47818.0</v>
      </c>
      <c r="AF7" s="42">
        <f>EDATE('Inputs'!$E$73,'Inputs'!$E$13+AF$6-1)</f>
        <v>47849.0</v>
      </c>
      <c r="AG7" s="42">
        <f>EDATE('Inputs'!$E$73,'Inputs'!$E$13+AG$6-1)</f>
        <v>47880.0</v>
      </c>
      <c r="AH7" s="42">
        <f>EDATE('Inputs'!$E$73,'Inputs'!$E$13+AH$6-1)</f>
        <v>47908.0</v>
      </c>
      <c r="AI7" s="42">
        <f>EDATE('Inputs'!$E$73,'Inputs'!$E$13+AI$6-1)</f>
        <v>47939.0</v>
      </c>
      <c r="AJ7" s="42">
        <f>EDATE('Inputs'!$E$73,'Inputs'!$E$13+AJ$6-1)</f>
        <v>47969.0</v>
      </c>
      <c r="AK7" s="42">
        <f>EDATE('Inputs'!$E$73,'Inputs'!$E$13+AK$6-1)</f>
        <v>48000.0</v>
      </c>
      <c r="AL7" s="42">
        <f>EDATE('Inputs'!$E$73,'Inputs'!$E$13+AL$6-1)</f>
        <v>48030.0</v>
      </c>
      <c r="AM7" s="42">
        <f>EDATE('Inputs'!$E$73,'Inputs'!$E$13+AM$6-1)</f>
        <v>48061.0</v>
      </c>
      <c r="AN7" s="42">
        <f>EDATE('Inputs'!$E$73,'Inputs'!$E$13+AN$6-1)</f>
        <v>48092.0</v>
      </c>
      <c r="AO7" s="42">
        <f>EDATE('Inputs'!$E$73,'Inputs'!$E$13+AO$6-1)</f>
        <v>48122.0</v>
      </c>
      <c r="AP7" s="42">
        <f>EDATE('Inputs'!$E$73,'Inputs'!$E$13+AP$6-1)</f>
        <v>48153.0</v>
      </c>
      <c r="AQ7" s="42">
        <f>EDATE('Inputs'!$E$73,'Inputs'!$E$13+AQ$6-1)</f>
        <v>48183.0</v>
      </c>
    </row>
    <row r="8" ht="22" customHeight="1">
      <c r="A8" s="2"/>
      <c r="B8" s="2"/>
      <c r="C8" s="2"/>
      <c r="D8" s="2"/>
      <c r="E8" s="2"/>
      <c r="F8" s="2"/>
      <c r="G8" s="2"/>
      <c r="H8" s="2">
        <f>YEAR(H7)</f>
        <v>2029</v>
      </c>
      <c r="I8" s="2">
        <f>YEAR(I7)</f>
        <v>2029</v>
      </c>
      <c r="J8" s="2">
        <f>YEAR(J7)</f>
        <v>2029</v>
      </c>
      <c r="K8" s="2">
        <f>YEAR(K7)</f>
        <v>2029</v>
      </c>
      <c r="L8" s="2">
        <f>YEAR(L7)</f>
        <v>2029</v>
      </c>
      <c r="M8" s="2">
        <f>YEAR(M7)</f>
        <v>2029</v>
      </c>
      <c r="N8" s="2">
        <f>YEAR(N7)</f>
        <v>2029</v>
      </c>
      <c r="O8" s="2">
        <f>YEAR(O7)</f>
        <v>2029</v>
      </c>
      <c r="P8" s="2">
        <f>YEAR(P7)</f>
        <v>2029</v>
      </c>
      <c r="Q8" s="2">
        <f>YEAR(Q7)</f>
        <v>2029</v>
      </c>
      <c r="R8" s="2">
        <f>YEAR(R7)</f>
        <v>2029</v>
      </c>
      <c r="S8" s="2">
        <f>YEAR(S7)</f>
        <v>2029</v>
      </c>
      <c r="T8" s="2">
        <f>YEAR(T7)</f>
        <v>2030</v>
      </c>
      <c r="U8" s="2">
        <f>YEAR(U7)</f>
        <v>2030</v>
      </c>
      <c r="V8" s="2">
        <f>YEAR(V7)</f>
        <v>2030</v>
      </c>
      <c r="W8" s="2">
        <f>YEAR(W7)</f>
        <v>2030</v>
      </c>
      <c r="X8" s="2">
        <f>YEAR(X7)</f>
        <v>2030</v>
      </c>
      <c r="Y8" s="2">
        <f>YEAR(Y7)</f>
        <v>2030</v>
      </c>
      <c r="Z8" s="2">
        <f>YEAR(Z7)</f>
        <v>2030</v>
      </c>
      <c r="AA8" s="2">
        <f>YEAR(AA7)</f>
        <v>2030</v>
      </c>
      <c r="AB8" s="2">
        <f>YEAR(AB7)</f>
        <v>2030</v>
      </c>
      <c r="AC8" s="2">
        <f>YEAR(AC7)</f>
        <v>2030</v>
      </c>
      <c r="AD8" s="2">
        <f>YEAR(AD7)</f>
        <v>2030</v>
      </c>
      <c r="AE8" s="2">
        <f>YEAR(AE7)</f>
        <v>2030</v>
      </c>
      <c r="AF8" s="2">
        <f>YEAR(AF7)</f>
        <v>2031</v>
      </c>
      <c r="AG8" s="2">
        <f>YEAR(AG7)</f>
        <v>2031</v>
      </c>
      <c r="AH8" s="2">
        <f>YEAR(AH7)</f>
        <v>2031</v>
      </c>
      <c r="AI8" s="2">
        <f>YEAR(AI7)</f>
        <v>2031</v>
      </c>
      <c r="AJ8" s="2">
        <f>YEAR(AJ7)</f>
        <v>2031</v>
      </c>
      <c r="AK8" s="2">
        <f>YEAR(AK7)</f>
        <v>2031</v>
      </c>
      <c r="AL8" s="2">
        <f>YEAR(AL7)</f>
        <v>2031</v>
      </c>
      <c r="AM8" s="2">
        <f>YEAR(AM7)</f>
        <v>2031</v>
      </c>
      <c r="AN8" s="2">
        <f>YEAR(AN7)</f>
        <v>2031</v>
      </c>
      <c r="AO8" s="2">
        <f>YEAR(AO7)</f>
        <v>2031</v>
      </c>
      <c r="AP8" s="2">
        <f>YEAR(AP7)</f>
        <v>2031</v>
      </c>
      <c r="AQ8" s="2">
        <f>YEAR(AQ7)</f>
        <v>2031</v>
      </c>
    </row>
    <row r="9" ht="22" customHeight="1">
      <c r="A9" s="2"/>
      <c r="B9" s="2"/>
      <c r="C9" s="2"/>
      <c r="D9" s="2"/>
      <c r="E9" s="2"/>
      <c r="F9" s="2"/>
      <c r="G9" s="2"/>
      <c r="H9" s="8">
        <f>ROUNDDOWN((MONTH(H7)-1)/'Inputs'!$E$68,0)+1</f>
        <v>1.0</v>
      </c>
      <c r="I9" s="8">
        <f>ROUNDDOWN((MONTH(I7)-1)/'Inputs'!$E$68,0)+1</f>
        <v>1.0</v>
      </c>
      <c r="J9" s="8">
        <f>ROUNDDOWN((MONTH(J7)-1)/'Inputs'!$E$68,0)+1</f>
        <v>1.0</v>
      </c>
      <c r="K9" s="8">
        <f>ROUNDDOWN((MONTH(K7)-1)/'Inputs'!$E$68,0)+1</f>
        <v>2.0</v>
      </c>
      <c r="L9" s="8">
        <f>ROUNDDOWN((MONTH(L7)-1)/'Inputs'!$E$68,0)+1</f>
        <v>2.0</v>
      </c>
      <c r="M9" s="8">
        <f>ROUNDDOWN((MONTH(M7)-1)/'Inputs'!$E$68,0)+1</f>
        <v>2.0</v>
      </c>
      <c r="N9" s="8">
        <f>ROUNDDOWN((MONTH(N7)-1)/'Inputs'!$E$68,0)+1</f>
        <v>3.0</v>
      </c>
      <c r="O9" s="8">
        <f>ROUNDDOWN((MONTH(O7)-1)/'Inputs'!$E$68,0)+1</f>
        <v>3.0</v>
      </c>
      <c r="P9" s="8">
        <f>ROUNDDOWN((MONTH(P7)-1)/'Inputs'!$E$68,0)+1</f>
        <v>3.0</v>
      </c>
      <c r="Q9" s="8">
        <f>ROUNDDOWN((MONTH(Q7)-1)/'Inputs'!$E$68,0)+1</f>
        <v>4.0</v>
      </c>
      <c r="R9" s="8">
        <f>ROUNDDOWN((MONTH(R7)-1)/'Inputs'!$E$68,0)+1</f>
        <v>4.0</v>
      </c>
      <c r="S9" s="8">
        <f>ROUNDDOWN((MONTH(S7)-1)/'Inputs'!$E$68,0)+1</f>
        <v>4.0</v>
      </c>
      <c r="T9" s="8">
        <f>ROUNDDOWN((MONTH(T7)-1)/'Inputs'!$E$68,0)+1</f>
        <v>1.0</v>
      </c>
      <c r="U9" s="8">
        <f>ROUNDDOWN((MONTH(U7)-1)/'Inputs'!$E$68,0)+1</f>
        <v>1.0</v>
      </c>
      <c r="V9" s="8">
        <f>ROUNDDOWN((MONTH(V7)-1)/'Inputs'!$E$68,0)+1</f>
        <v>1.0</v>
      </c>
      <c r="W9" s="8">
        <f>ROUNDDOWN((MONTH(W7)-1)/'Inputs'!$E$68,0)+1</f>
        <v>2.0</v>
      </c>
      <c r="X9" s="8">
        <f>ROUNDDOWN((MONTH(X7)-1)/'Inputs'!$E$68,0)+1</f>
        <v>2.0</v>
      </c>
      <c r="Y9" s="8">
        <f>ROUNDDOWN((MONTH(Y7)-1)/'Inputs'!$E$68,0)+1</f>
        <v>2.0</v>
      </c>
      <c r="Z9" s="8">
        <f>ROUNDDOWN((MONTH(Z7)-1)/'Inputs'!$E$68,0)+1</f>
        <v>3.0</v>
      </c>
      <c r="AA9" s="8">
        <f>ROUNDDOWN((MONTH(AA7)-1)/'Inputs'!$E$68,0)+1</f>
        <v>3.0</v>
      </c>
      <c r="AB9" s="8">
        <f>ROUNDDOWN((MONTH(AB7)-1)/'Inputs'!$E$68,0)+1</f>
        <v>3.0</v>
      </c>
      <c r="AC9" s="8">
        <f>ROUNDDOWN((MONTH(AC7)-1)/'Inputs'!$E$68,0)+1</f>
        <v>4.0</v>
      </c>
      <c r="AD9" s="8">
        <f>ROUNDDOWN((MONTH(AD7)-1)/'Inputs'!$E$68,0)+1</f>
        <v>4.0</v>
      </c>
      <c r="AE9" s="8">
        <f>ROUNDDOWN((MONTH(AE7)-1)/'Inputs'!$E$68,0)+1</f>
        <v>4.0</v>
      </c>
      <c r="AF9" s="8">
        <f>ROUNDDOWN((MONTH(AF7)-1)/'Inputs'!$E$68,0)+1</f>
        <v>1.0</v>
      </c>
      <c r="AG9" s="8">
        <f>ROUNDDOWN((MONTH(AG7)-1)/'Inputs'!$E$68,0)+1</f>
        <v>1.0</v>
      </c>
      <c r="AH9" s="8">
        <f>ROUNDDOWN((MONTH(AH7)-1)/'Inputs'!$E$68,0)+1</f>
        <v>1.0</v>
      </c>
      <c r="AI9" s="8">
        <f>ROUNDDOWN((MONTH(AI7)-1)/'Inputs'!$E$68,0)+1</f>
        <v>2.0</v>
      </c>
      <c r="AJ9" s="8">
        <f>ROUNDDOWN((MONTH(AJ7)-1)/'Inputs'!$E$68,0)+1</f>
        <v>2.0</v>
      </c>
      <c r="AK9" s="8">
        <f>ROUNDDOWN((MONTH(AK7)-1)/'Inputs'!$E$68,0)+1</f>
        <v>2.0</v>
      </c>
      <c r="AL9" s="8">
        <f>ROUNDDOWN((MONTH(AL7)-1)/'Inputs'!$E$68,0)+1</f>
        <v>3.0</v>
      </c>
      <c r="AM9" s="8">
        <f>ROUNDDOWN((MONTH(AM7)-1)/'Inputs'!$E$68,0)+1</f>
        <v>3.0</v>
      </c>
      <c r="AN9" s="8">
        <f>ROUNDDOWN((MONTH(AN7)-1)/'Inputs'!$E$68,0)+1</f>
        <v>3.0</v>
      </c>
      <c r="AO9" s="8">
        <f>ROUNDDOWN((MONTH(AO7)-1)/'Inputs'!$E$68,0)+1</f>
        <v>4.0</v>
      </c>
      <c r="AP9" s="8">
        <f>ROUNDDOWN((MONTH(AP7)-1)/'Inputs'!$E$68,0)+1</f>
        <v>4.0</v>
      </c>
      <c r="AQ9" s="8">
        <f>ROUNDDOWN((MONTH(AQ7)-1)/'Inputs'!$E$68,0)+1</f>
        <v>4.0</v>
      </c>
    </row>
    <row r="10" ht="34" customHeight="1">
      <c r="A10" s="34" t="str">
        <v>Row ID</v>
      </c>
      <c r="B10" s="34" t="str">
        <v>Label</v>
      </c>
      <c r="C10" s="34" t="str">
        <v>Unit</v>
      </c>
      <c r="D10" s="34" t="str">
        <v>Reducer</v>
      </c>
      <c r="E10" s="34" t="str">
        <v>Total / closing</v>
      </c>
      <c r="F10" s="34" t="str">
        <v>Note / source</v>
      </c>
      <c r="G10" s="34" t="str">
        <v>Spacer</v>
      </c>
      <c r="H10" s="34" t="str">
        <v>Age 0</v>
      </c>
      <c r="I10" s="34" t="str">
        <v>Age 1</v>
      </c>
      <c r="J10" s="34" t="str">
        <v>Age 2</v>
      </c>
      <c r="K10" s="34" t="str">
        <v>Age 3</v>
      </c>
      <c r="L10" s="34" t="str">
        <v>Age 4</v>
      </c>
      <c r="M10" s="34" t="str">
        <v>Age 5</v>
      </c>
      <c r="N10" s="34" t="str">
        <v>Age 6</v>
      </c>
      <c r="O10" s="34" t="str">
        <v>Age 7</v>
      </c>
      <c r="P10" s="34" t="str">
        <v>Age 8</v>
      </c>
      <c r="Q10" s="34" t="str">
        <v>Age 9</v>
      </c>
      <c r="R10" s="34" t="str">
        <v>Age 10</v>
      </c>
      <c r="S10" s="34" t="str">
        <v>Age 11</v>
      </c>
      <c r="T10" s="34" t="str">
        <v>Age 12</v>
      </c>
      <c r="U10" s="34" t="str">
        <v>Age 13</v>
      </c>
      <c r="V10" s="34" t="str">
        <v>Age 14</v>
      </c>
      <c r="W10" s="34" t="str">
        <v>Age 15</v>
      </c>
      <c r="X10" s="34" t="str">
        <v>Age 16</v>
      </c>
      <c r="Y10" s="34" t="str">
        <v>Age 17</v>
      </c>
      <c r="Z10" s="34" t="str">
        <v>Age 18</v>
      </c>
      <c r="AA10" s="34" t="str">
        <v>Age 19</v>
      </c>
      <c r="AB10" s="34" t="str">
        <v>Age 20</v>
      </c>
      <c r="AC10" s="34" t="str">
        <v>Age 21</v>
      </c>
      <c r="AD10" s="34" t="str">
        <v>Age 22</v>
      </c>
      <c r="AE10" s="34" t="str">
        <v>Age 23</v>
      </c>
      <c r="AF10" s="34" t="str">
        <v>Age 24</v>
      </c>
      <c r="AG10" s="34" t="str">
        <v>Age 25</v>
      </c>
      <c r="AH10" s="34" t="str">
        <v>Age 26</v>
      </c>
      <c r="AI10" s="34" t="str">
        <v>Age 27</v>
      </c>
      <c r="AJ10" s="34" t="str">
        <v>Age 28</v>
      </c>
      <c r="AK10" s="34" t="str">
        <v>Age 29</v>
      </c>
      <c r="AL10" s="34" t="str">
        <v>Age 30</v>
      </c>
      <c r="AM10" s="34" t="str">
        <v>Age 31</v>
      </c>
      <c r="AN10" s="34" t="str">
        <v>Age 32</v>
      </c>
      <c r="AO10" s="34" t="str">
        <v>Age 33</v>
      </c>
      <c r="AP10" s="34" t="str">
        <v>Age 34</v>
      </c>
      <c r="AQ10" s="34" t="str">
        <v>Age 35</v>
      </c>
    </row>
    <row r="11" ht="22" customHeight="1">
      <c r="A11" s="2" t="str">
        <v>CLIENTS</v>
      </c>
      <c r="B11" s="6" t="str">
        <v>Surviving clients / original client</v>
      </c>
      <c r="C11" s="2" t="str">
        <v>count</v>
      </c>
      <c r="D11" s="2" t="str">
        <v>NA</v>
      </c>
      <c r="E11" s="2"/>
      <c r="F11" s="6" t="str"/>
      <c r="G11" s="2"/>
      <c r="H11" s="38">
        <f>1</f>
        <v>1</v>
      </c>
      <c r="I11" s="38">
        <f>1</f>
        <v>1</v>
      </c>
      <c r="J11" s="38">
        <f>1</f>
        <v>1</v>
      </c>
      <c r="K11" s="38">
        <f>1</f>
        <v>1</v>
      </c>
      <c r="L11" s="38">
        <f>1</f>
        <v>1</v>
      </c>
      <c r="M11" s="38">
        <f>1</f>
        <v>1</v>
      </c>
      <c r="N11" s="38">
        <f>1</f>
        <v>1</v>
      </c>
      <c r="O11" s="38">
        <f>1</f>
        <v>1</v>
      </c>
      <c r="P11" s="38">
        <f>1</f>
        <v>1</v>
      </c>
      <c r="Q11" s="38">
        <f>1</f>
        <v>1</v>
      </c>
      <c r="R11" s="38">
        <f>1</f>
        <v>1</v>
      </c>
      <c r="S11" s="38">
        <f>1</f>
        <v>1</v>
      </c>
      <c r="T11" s="38">
        <f>(1-'Inputs'!$E$46)^(T$6-12+1)</f>
        <v>0.98</v>
      </c>
      <c r="U11" s="38">
        <f>(1-'Inputs'!$E$46)^(U$6-12+1)</f>
        <v>0.9603999999999999</v>
      </c>
      <c r="V11" s="38">
        <f>(1-'Inputs'!$E$46)^(V$6-12+1)</f>
        <v>0.9411919999999999</v>
      </c>
      <c r="W11" s="38">
        <f>(1-'Inputs'!$E$46)^(W$6-12+1)</f>
        <v>0.9223681599999999</v>
      </c>
      <c r="X11" s="38">
        <f>(1-'Inputs'!$E$46)^(X$6-12+1)</f>
        <v>0.9039207967999999</v>
      </c>
      <c r="Y11" s="38">
        <f>(1-'Inputs'!$E$46)^(Y$6-12+1)</f>
        <v>0.8858423808639999</v>
      </c>
      <c r="Z11" s="38">
        <f>(1-'Inputs'!$E$46)^(Z$6-12+1)</f>
        <v>0.8681255332467199</v>
      </c>
      <c r="AA11" s="38">
        <f>(1-'Inputs'!$E$46)^(AA$6-12+1)</f>
        <v>0.8507630225817855</v>
      </c>
      <c r="AB11" s="38">
        <f>(1-'Inputs'!$E$46)^(AB$6-12+1)</f>
        <v>0.8337477621301498</v>
      </c>
      <c r="AC11" s="38">
        <f>(1-'Inputs'!$E$46)^(AC$6-12+1)</f>
        <v>0.8170728068875467</v>
      </c>
      <c r="AD11" s="38">
        <f>(1-'Inputs'!$E$46)^(AD$6-12+1)</f>
        <v>0.8007313507497958</v>
      </c>
      <c r="AE11" s="38">
        <f>(1-'Inputs'!$E$46)^(AE$6-12+1)</f>
        <v>0.7847167237347998</v>
      </c>
      <c r="AF11" s="38">
        <f>(1-'Inputs'!$E$46)^(AF$6-12+1)</f>
        <v>0.7690223892601038</v>
      </c>
      <c r="AG11" s="38">
        <f>(1-'Inputs'!$E$46)^(AG$6-12+1)</f>
        <v>0.7536419414749017</v>
      </c>
      <c r="AH11" s="38">
        <f>(1-'Inputs'!$E$46)^(AH$6-12+1)</f>
        <v>0.7385691026454038</v>
      </c>
      <c r="AI11" s="38">
        <f>(1-'Inputs'!$E$46)^(AI$6-12+1)</f>
        <v>0.7237977205924956</v>
      </c>
      <c r="AJ11" s="38">
        <f>(1-'Inputs'!$E$46)^(AJ$6-12+1)</f>
        <v>0.7093217661806457</v>
      </c>
      <c r="AK11" s="38">
        <f>(1-'Inputs'!$E$46)^(AK$6-12+1)</f>
        <v>0.6951353308570327</v>
      </c>
      <c r="AL11" s="38">
        <f>(1-'Inputs'!$E$46)^(AL$6-12+1)</f>
        <v>0.6812326242398921</v>
      </c>
      <c r="AM11" s="38">
        <f>(1-'Inputs'!$E$46)^(AM$6-12+1)</f>
        <v>0.6676079717550942</v>
      </c>
      <c r="AN11" s="38">
        <f>(1-'Inputs'!$E$46)^(AN$6-12+1)</f>
        <v>0.6542558123199923</v>
      </c>
      <c r="AO11" s="38">
        <f>(1-'Inputs'!$E$46)^(AO$6-12+1)</f>
        <v>0.6411706960735924</v>
      </c>
      <c r="AP11" s="38">
        <f>(1-'Inputs'!$E$46)^(AP$6-12+1)</f>
        <v>0.6283472821521207</v>
      </c>
      <c r="AQ11" s="38">
        <f>(1-'Inputs'!$E$46)^(AQ$6-12+1)</f>
        <v>0.6157803365090783</v>
      </c>
    </row>
    <row r="12" ht="22" customHeight="1">
      <c r="A12" s="2" t="str">
        <v>REVENUE</v>
      </c>
      <c r="B12" s="6" t="str">
        <v>Seat and onboarding revenue</v>
      </c>
      <c r="C12" s="2" t="str">
        <v>EUR_per_client</v>
      </c>
      <c r="D12" s="2" t="str">
        <v>NA</v>
      </c>
      <c r="E12" s="2"/>
      <c r="F12" s="6" t="str"/>
      <c r="G12" s="2"/>
      <c r="H12" s="36">
        <f>(H11*'Inputs'!$E$47*'Inputs'!$E$48+IF(H$6&lt;12,'Inputs'!$E$49/12,0))*'Inputs'!$E$63/'Inputs'!$E$64</f>
        <v>2416.6666666666665</v>
      </c>
      <c r="I12" s="36">
        <f>(I11*'Inputs'!$E$47*'Inputs'!$E$48+IF(I$6&lt;12,'Inputs'!$E$49/12,0))*'Inputs'!$E$63/'Inputs'!$E$64</f>
        <v>2416.6666666666665</v>
      </c>
      <c r="J12" s="36">
        <f>(J11*'Inputs'!$E$47*'Inputs'!$E$48+IF(J$6&lt;12,'Inputs'!$E$49/12,0))*'Inputs'!$E$63/'Inputs'!$E$64</f>
        <v>2416.6666666666665</v>
      </c>
      <c r="K12" s="36">
        <f>(K11*'Inputs'!$E$47*'Inputs'!$E$48+IF(K$6&lt;12,'Inputs'!$E$49/12,0))*'Inputs'!$E$63/'Inputs'!$E$64</f>
        <v>2416.6666666666665</v>
      </c>
      <c r="L12" s="36">
        <f>(L11*'Inputs'!$E$47*'Inputs'!$E$48+IF(L$6&lt;12,'Inputs'!$E$49/12,0))*'Inputs'!$E$63/'Inputs'!$E$64</f>
        <v>2416.6666666666665</v>
      </c>
      <c r="M12" s="36">
        <f>(M11*'Inputs'!$E$47*'Inputs'!$E$48+IF(M$6&lt;12,'Inputs'!$E$49/12,0))*'Inputs'!$E$63/'Inputs'!$E$64</f>
        <v>2416.6666666666665</v>
      </c>
      <c r="N12" s="36">
        <f>(N11*'Inputs'!$E$47*'Inputs'!$E$48+IF(N$6&lt;12,'Inputs'!$E$49/12,0))*'Inputs'!$E$63/'Inputs'!$E$64</f>
        <v>2416.6666666666665</v>
      </c>
      <c r="O12" s="36">
        <f>(O11*'Inputs'!$E$47*'Inputs'!$E$48+IF(O$6&lt;12,'Inputs'!$E$49/12,0))*'Inputs'!$E$63/'Inputs'!$E$64</f>
        <v>2416.6666666666665</v>
      </c>
      <c r="P12" s="36">
        <f>(P11*'Inputs'!$E$47*'Inputs'!$E$48+IF(P$6&lt;12,'Inputs'!$E$49/12,0))*'Inputs'!$E$63/'Inputs'!$E$64</f>
        <v>2416.6666666666665</v>
      </c>
      <c r="Q12" s="36">
        <f>(Q11*'Inputs'!$E$47*'Inputs'!$E$48+IF(Q$6&lt;12,'Inputs'!$E$49/12,0))*'Inputs'!$E$63/'Inputs'!$E$64</f>
        <v>2416.6666666666665</v>
      </c>
      <c r="R12" s="36">
        <f>(R11*'Inputs'!$E$47*'Inputs'!$E$48+IF(R$6&lt;12,'Inputs'!$E$49/12,0))*'Inputs'!$E$63/'Inputs'!$E$64</f>
        <v>2416.6666666666665</v>
      </c>
      <c r="S12" s="36">
        <f>(S11*'Inputs'!$E$47*'Inputs'!$E$48+IF(S$6&lt;12,'Inputs'!$E$49/12,0))*'Inputs'!$E$63/'Inputs'!$E$64</f>
        <v>2416.6666666666665</v>
      </c>
      <c r="T12" s="36">
        <f>(T11*'Inputs'!$E$47*'Inputs'!$E$48+IF(T$6&lt;12,'Inputs'!$E$49/12,0))*'Inputs'!$E$63/'Inputs'!$E$64</f>
        <v>2205.0</v>
      </c>
      <c r="U12" s="36">
        <f>(U11*'Inputs'!$E$47*'Inputs'!$E$48+IF(U$6&lt;12,'Inputs'!$E$49/12,0))*'Inputs'!$E$63/'Inputs'!$E$64</f>
        <v>2160.8999999999996</v>
      </c>
      <c r="V12" s="36">
        <f>(V11*'Inputs'!$E$47*'Inputs'!$E$48+IF(V$6&lt;12,'Inputs'!$E$49/12,0))*'Inputs'!$E$63/'Inputs'!$E$64</f>
        <v>2117.682</v>
      </c>
      <c r="W12" s="36">
        <f>(W11*'Inputs'!$E$47*'Inputs'!$E$48+IF(W$6&lt;12,'Inputs'!$E$49/12,0))*'Inputs'!$E$63/'Inputs'!$E$64</f>
        <v>2075.32836</v>
      </c>
      <c r="X12" s="36">
        <f>(X11*'Inputs'!$E$47*'Inputs'!$E$48+IF(X$6&lt;12,'Inputs'!$E$49/12,0))*'Inputs'!$E$63/'Inputs'!$E$64</f>
        <v>2033.8217928</v>
      </c>
      <c r="Y12" s="36">
        <f>(Y11*'Inputs'!$E$47*'Inputs'!$E$48+IF(Y$6&lt;12,'Inputs'!$E$49/12,0))*'Inputs'!$E$63/'Inputs'!$E$64</f>
        <v>1993.1453569439998</v>
      </c>
      <c r="Z12" s="36">
        <f>(Z11*'Inputs'!$E$47*'Inputs'!$E$48+IF(Z$6&lt;12,'Inputs'!$E$49/12,0))*'Inputs'!$E$63/'Inputs'!$E$64</f>
        <v>1953.2824498051198</v>
      </c>
      <c r="AA12" s="36">
        <f>(AA11*'Inputs'!$E$47*'Inputs'!$E$48+IF(AA$6&lt;12,'Inputs'!$E$49/12,0))*'Inputs'!$E$63/'Inputs'!$E$64</f>
        <v>1914.2168008090173</v>
      </c>
      <c r="AB12" s="36">
        <f>(AB11*'Inputs'!$E$47*'Inputs'!$E$48+IF(AB$6&lt;12,'Inputs'!$E$49/12,0))*'Inputs'!$E$63/'Inputs'!$E$64</f>
        <v>1875.9324647928368</v>
      </c>
      <c r="AC12" s="36">
        <f>(AC11*'Inputs'!$E$47*'Inputs'!$E$48+IF(AC$6&lt;12,'Inputs'!$E$49/12,0))*'Inputs'!$E$63/'Inputs'!$E$64</f>
        <v>1838.41381549698</v>
      </c>
      <c r="AD12" s="36">
        <f>(AD11*'Inputs'!$E$47*'Inputs'!$E$48+IF(AD$6&lt;12,'Inputs'!$E$49/12,0))*'Inputs'!$E$63/'Inputs'!$E$64</f>
        <v>1801.6455391870406</v>
      </c>
      <c r="AE12" s="36">
        <f>(AE11*'Inputs'!$E$47*'Inputs'!$E$48+IF(AE$6&lt;12,'Inputs'!$E$49/12,0))*'Inputs'!$E$63/'Inputs'!$E$64</f>
        <v>1765.6126284032996</v>
      </c>
      <c r="AF12" s="36">
        <f>(AF11*'Inputs'!$E$47*'Inputs'!$E$48+IF(AF$6&lt;12,'Inputs'!$E$49/12,0))*'Inputs'!$E$63/'Inputs'!$E$64</f>
        <v>1730.3003758352334</v>
      </c>
      <c r="AG12" s="36">
        <f>(AG11*'Inputs'!$E$47*'Inputs'!$E$48+IF(AG$6&lt;12,'Inputs'!$E$49/12,0))*'Inputs'!$E$63/'Inputs'!$E$64</f>
        <v>1695.6943683185289</v>
      </c>
      <c r="AH12" s="36">
        <f>(AH11*'Inputs'!$E$47*'Inputs'!$E$48+IF(AH$6&lt;12,'Inputs'!$E$49/12,0))*'Inputs'!$E$63/'Inputs'!$E$64</f>
        <v>1661.7804809521585</v>
      </c>
      <c r="AI12" s="36">
        <f>(AI11*'Inputs'!$E$47*'Inputs'!$E$48+IF(AI$6&lt;12,'Inputs'!$E$49/12,0))*'Inputs'!$E$63/'Inputs'!$E$64</f>
        <v>1628.5448713331152</v>
      </c>
      <c r="AJ12" s="36">
        <f>(AJ11*'Inputs'!$E$47*'Inputs'!$E$48+IF(AJ$6&lt;12,'Inputs'!$E$49/12,0))*'Inputs'!$E$63/'Inputs'!$E$64</f>
        <v>1595.9739739064528</v>
      </c>
      <c r="AK12" s="36">
        <f>(AK11*'Inputs'!$E$47*'Inputs'!$E$48+IF(AK$6&lt;12,'Inputs'!$E$49/12,0))*'Inputs'!$E$63/'Inputs'!$E$64</f>
        <v>1564.0544944283236</v>
      </c>
      <c r="AL12" s="36">
        <f>(AL11*'Inputs'!$E$47*'Inputs'!$E$48+IF(AL$6&lt;12,'Inputs'!$E$49/12,0))*'Inputs'!$E$63/'Inputs'!$E$64</f>
        <v>1532.7734045397572</v>
      </c>
      <c r="AM12" s="36">
        <f>(AM11*'Inputs'!$E$47*'Inputs'!$E$48+IF(AM$6&lt;12,'Inputs'!$E$49/12,0))*'Inputs'!$E$63/'Inputs'!$E$64</f>
        <v>1502.117936448962</v>
      </c>
      <c r="AN12" s="36">
        <f>(AN11*'Inputs'!$E$47*'Inputs'!$E$48+IF(AN$6&lt;12,'Inputs'!$E$49/12,0))*'Inputs'!$E$63/'Inputs'!$E$64</f>
        <v>1472.0755777199827</v>
      </c>
      <c r="AO12" s="36">
        <f>(AO11*'Inputs'!$E$47*'Inputs'!$E$48+IF(AO$6&lt;12,'Inputs'!$E$49/12,0))*'Inputs'!$E$63/'Inputs'!$E$64</f>
        <v>1442.6340661655831</v>
      </c>
      <c r="AP12" s="36">
        <f>(AP11*'Inputs'!$E$47*'Inputs'!$E$48+IF(AP$6&lt;12,'Inputs'!$E$49/12,0))*'Inputs'!$E$63/'Inputs'!$E$64</f>
        <v>1413.7813848422716</v>
      </c>
      <c r="AQ12" s="36">
        <f>(AQ11*'Inputs'!$E$47*'Inputs'!$E$48+IF(AQ$6&lt;12,'Inputs'!$E$49/12,0))*'Inputs'!$E$63/'Inputs'!$E$64</f>
        <v>1385.5057571454263</v>
      </c>
    </row>
    <row r="13" ht="22" customHeight="1">
      <c r="A13" s="2" t="str">
        <v>VARIABLE</v>
      </c>
      <c r="B13" s="6" t="str">
        <v>Direct variable cost</v>
      </c>
      <c r="C13" s="2" t="str">
        <v>EUR_per_client</v>
      </c>
      <c r="D13" s="2" t="str">
        <v>NA</v>
      </c>
      <c r="E13" s="2"/>
      <c r="F13" s="6" t="str"/>
      <c r="G13" s="2"/>
      <c r="H13" s="36">
        <f>H11*'Inputs'!$E$67</f>
        <v>0</v>
      </c>
      <c r="I13" s="36">
        <f>I11*'Inputs'!$E$67</f>
        <v>0</v>
      </c>
      <c r="J13" s="36">
        <f>J11*'Inputs'!$E$67</f>
        <v>0</v>
      </c>
      <c r="K13" s="36">
        <f>K11*'Inputs'!$E$67</f>
        <v>0</v>
      </c>
      <c r="L13" s="36">
        <f>L11*'Inputs'!$E$67</f>
        <v>0</v>
      </c>
      <c r="M13" s="36">
        <f>M11*'Inputs'!$E$67</f>
        <v>0</v>
      </c>
      <c r="N13" s="36">
        <f>N11*'Inputs'!$E$67</f>
        <v>0</v>
      </c>
      <c r="O13" s="36">
        <f>O11*'Inputs'!$E$67</f>
        <v>0</v>
      </c>
      <c r="P13" s="36">
        <f>P11*'Inputs'!$E$67</f>
        <v>0</v>
      </c>
      <c r="Q13" s="36">
        <f>Q11*'Inputs'!$E$67</f>
        <v>0</v>
      </c>
      <c r="R13" s="36">
        <f>R11*'Inputs'!$E$67</f>
        <v>0</v>
      </c>
      <c r="S13" s="36">
        <f>S11*'Inputs'!$E$67</f>
        <v>0</v>
      </c>
      <c r="T13" s="36">
        <f>T11*'Inputs'!$E$67</f>
        <v>0.0</v>
      </c>
      <c r="U13" s="36">
        <f>U11*'Inputs'!$E$67</f>
        <v>0.0</v>
      </c>
      <c r="V13" s="36">
        <f>V11*'Inputs'!$E$67</f>
        <v>0.0</v>
      </c>
      <c r="W13" s="36">
        <f>W11*'Inputs'!$E$67</f>
        <v>0.0</v>
      </c>
      <c r="X13" s="36">
        <f>X11*'Inputs'!$E$67</f>
        <v>0.0</v>
      </c>
      <c r="Y13" s="36">
        <f>Y11*'Inputs'!$E$67</f>
        <v>0.0</v>
      </c>
      <c r="Z13" s="36">
        <f>Z11*'Inputs'!$E$67</f>
        <v>0.0</v>
      </c>
      <c r="AA13" s="36">
        <f>AA11*'Inputs'!$E$67</f>
        <v>0.0</v>
      </c>
      <c r="AB13" s="36">
        <f>AB11*'Inputs'!$E$67</f>
        <v>0.0</v>
      </c>
      <c r="AC13" s="36">
        <f>AC11*'Inputs'!$E$67</f>
        <v>0.0</v>
      </c>
      <c r="AD13" s="36">
        <f>AD11*'Inputs'!$E$67</f>
        <v>0.0</v>
      </c>
      <c r="AE13" s="36">
        <f>AE11*'Inputs'!$E$67</f>
        <v>0.0</v>
      </c>
      <c r="AF13" s="36">
        <f>AF11*'Inputs'!$E$67</f>
        <v>0.0</v>
      </c>
      <c r="AG13" s="36">
        <f>AG11*'Inputs'!$E$67</f>
        <v>0.0</v>
      </c>
      <c r="AH13" s="36">
        <f>AH11*'Inputs'!$E$67</f>
        <v>0.0</v>
      </c>
      <c r="AI13" s="36">
        <f>AI11*'Inputs'!$E$67</f>
        <v>0.0</v>
      </c>
      <c r="AJ13" s="36">
        <f>AJ11*'Inputs'!$E$67</f>
        <v>0.0</v>
      </c>
      <c r="AK13" s="36">
        <f>AK11*'Inputs'!$E$67</f>
        <v>0.0</v>
      </c>
      <c r="AL13" s="36">
        <f>AL11*'Inputs'!$E$67</f>
        <v>0.0</v>
      </c>
      <c r="AM13" s="36">
        <f>AM11*'Inputs'!$E$67</f>
        <v>0.0</v>
      </c>
      <c r="AN13" s="36">
        <f>AN11*'Inputs'!$E$67</f>
        <v>0.0</v>
      </c>
      <c r="AO13" s="36">
        <f>AO11*'Inputs'!$E$67</f>
        <v>0.0</v>
      </c>
      <c r="AP13" s="36">
        <f>AP11*'Inputs'!$E$67</f>
        <v>0.0</v>
      </c>
      <c r="AQ13" s="36">
        <f>AQ11*'Inputs'!$E$67</f>
        <v>0.0</v>
      </c>
    </row>
    <row r="14" ht="22" customHeight="1">
      <c r="A14" s="2" t="str">
        <v>CONTRIBUTION</v>
      </c>
      <c r="B14" s="6" t="str">
        <v>B2B contribution</v>
      </c>
      <c r="C14" s="2" t="str">
        <v>EUR_per_client</v>
      </c>
      <c r="D14" s="2" t="str">
        <v>SUM</v>
      </c>
      <c r="E14" s="35">
        <f>SUM(H14:AQ14)</f>
        <v>71360.21789987409</v>
      </c>
      <c r="F14" s="6" t="str"/>
      <c r="G14" s="2"/>
      <c r="H14" s="35">
        <f>H12-H13</f>
        <v>2416.6666666666665</v>
      </c>
      <c r="I14" s="35">
        <f>I12-I13</f>
        <v>2416.6666666666665</v>
      </c>
      <c r="J14" s="35">
        <f>J12-J13</f>
        <v>2416.6666666666665</v>
      </c>
      <c r="K14" s="35">
        <f>K12-K13</f>
        <v>2416.6666666666665</v>
      </c>
      <c r="L14" s="35">
        <f>L12-L13</f>
        <v>2416.6666666666665</v>
      </c>
      <c r="M14" s="35">
        <f>M12-M13</f>
        <v>2416.6666666666665</v>
      </c>
      <c r="N14" s="35">
        <f>N12-N13</f>
        <v>2416.6666666666665</v>
      </c>
      <c r="O14" s="35">
        <f>O12-O13</f>
        <v>2416.6666666666665</v>
      </c>
      <c r="P14" s="35">
        <f>P12-P13</f>
        <v>2416.6666666666665</v>
      </c>
      <c r="Q14" s="35">
        <f>Q12-Q13</f>
        <v>2416.6666666666665</v>
      </c>
      <c r="R14" s="35">
        <f>R12-R13</f>
        <v>2416.6666666666665</v>
      </c>
      <c r="S14" s="35">
        <f>S12-S13</f>
        <v>2416.6666666666665</v>
      </c>
      <c r="T14" s="35">
        <f>T12-T13</f>
        <v>2205.0</v>
      </c>
      <c r="U14" s="35">
        <f>U12-U13</f>
        <v>2160.8999999999996</v>
      </c>
      <c r="V14" s="35">
        <f>V12-V13</f>
        <v>2117.682</v>
      </c>
      <c r="W14" s="35">
        <f>W12-W13</f>
        <v>2075.32836</v>
      </c>
      <c r="X14" s="35">
        <f>X12-X13</f>
        <v>2033.8217928</v>
      </c>
      <c r="Y14" s="35">
        <f>Y12-Y13</f>
        <v>1993.1453569439998</v>
      </c>
      <c r="Z14" s="35">
        <f>Z12-Z13</f>
        <v>1953.2824498051198</v>
      </c>
      <c r="AA14" s="35">
        <f>AA12-AA13</f>
        <v>1914.2168008090173</v>
      </c>
      <c r="AB14" s="35">
        <f>AB12-AB13</f>
        <v>1875.9324647928368</v>
      </c>
      <c r="AC14" s="35">
        <f>AC12-AC13</f>
        <v>1838.41381549698</v>
      </c>
      <c r="AD14" s="35">
        <f>AD12-AD13</f>
        <v>1801.6455391870406</v>
      </c>
      <c r="AE14" s="35">
        <f>AE12-AE13</f>
        <v>1765.6126284032996</v>
      </c>
      <c r="AF14" s="35">
        <f>AF12-AF13</f>
        <v>1730.3003758352334</v>
      </c>
      <c r="AG14" s="35">
        <f>AG12-AG13</f>
        <v>1695.6943683185289</v>
      </c>
      <c r="AH14" s="35">
        <f>AH12-AH13</f>
        <v>1661.7804809521585</v>
      </c>
      <c r="AI14" s="35">
        <f>AI12-AI13</f>
        <v>1628.5448713331152</v>
      </c>
      <c r="AJ14" s="35">
        <f>AJ12-AJ13</f>
        <v>1595.9739739064528</v>
      </c>
      <c r="AK14" s="35">
        <f>AK12-AK13</f>
        <v>1564.0544944283236</v>
      </c>
      <c r="AL14" s="35">
        <f>AL12-AL13</f>
        <v>1532.7734045397572</v>
      </c>
      <c r="AM14" s="35">
        <f>AM12-AM13</f>
        <v>1502.117936448962</v>
      </c>
      <c r="AN14" s="35">
        <f>AN12-AN13</f>
        <v>1472.0755777199827</v>
      </c>
      <c r="AO14" s="35">
        <f>AO12-AO13</f>
        <v>1442.6340661655831</v>
      </c>
      <c r="AP14" s="35">
        <f>AP12-AP13</f>
        <v>1413.7813848422716</v>
      </c>
      <c r="AQ14" s="35">
        <f>AQ12-AQ13</f>
        <v>1385.5057571454263</v>
      </c>
    </row>
    <row r="15" ht="22" customHeight="1">
      <c r="A15" s="2" t="str">
        <v>DISCOUNTED</v>
      </c>
      <c r="B15" s="6" t="str">
        <v>Discounted B2B contribution</v>
      </c>
      <c r="C15" s="2" t="str">
        <v>EUR_per_client</v>
      </c>
      <c r="D15" s="2" t="str">
        <v>SUM</v>
      </c>
      <c r="E15" s="35">
        <f>SUM(H15:AQ15)</f>
        <v>61858.38637676009</v>
      </c>
      <c r="F15" s="6" t="str"/>
      <c r="G15" s="2"/>
      <c r="H15" s="36">
        <f>H14/(1+'Inputs'!$E$50)^(H$6/12)</f>
        <v>2416.6666666666665</v>
      </c>
      <c r="I15" s="36">
        <f>I14/(1+'Inputs'!$E$50)^(I$6/12)</f>
        <v>2393.950961695591</v>
      </c>
      <c r="J15" s="36">
        <f>J14/(1+'Inputs'!$E$50)^(J$6/12)</f>
        <v>2371.448775311688</v>
      </c>
      <c r="K15" s="36">
        <f>K14/(1+'Inputs'!$E$50)^(K$6/12)</f>
        <v>2349.1581005252065</v>
      </c>
      <c r="L15" s="36">
        <f>L14/(1+'Inputs'!$E$50)^(L$6/12)</f>
        <v>2327.0769492112995</v>
      </c>
      <c r="M15" s="36">
        <f>M14/(1+'Inputs'!$E$50)^(M$6/12)</f>
        <v>2305.2033519327033</v>
      </c>
      <c r="N15" s="36">
        <f>N14/(1+'Inputs'!$E$50)^(N$6/12)</f>
        <v>2283.535357764081</v>
      </c>
      <c r="O15" s="36">
        <f>O14/(1+'Inputs'!$E$50)^(O$6/12)</f>
        <v>2262.071034118017</v>
      </c>
      <c r="P15" s="36">
        <f>P14/(1+'Inputs'!$E$50)^(P$6/12)</f>
        <v>2240.8084665726487</v>
      </c>
      <c r="Q15" s="36">
        <f>Q14/(1+'Inputs'!$E$50)^(Q$6/12)</f>
        <v>2219.745758700917</v>
      </c>
      <c r="R15" s="36">
        <f>R14/(1+'Inputs'!$E$50)^(R$6/12)</f>
        <v>2198.881031901422</v>
      </c>
      <c r="S15" s="36">
        <f>S14/(1+'Inputs'!$E$50)^(S$6/12)</f>
        <v>2178.212425230871</v>
      </c>
      <c r="T15" s="36">
        <f>T14/(1+'Inputs'!$E$50)^(T$6/12)</f>
        <v>1968.7499999999998</v>
      </c>
      <c r="U15" s="36">
        <f>U14/(1+'Inputs'!$E$50)^(U$6/12)</f>
        <v>1911.2396427812814</v>
      </c>
      <c r="V15" s="36">
        <f>V14/(1+'Inputs'!$E$50)^(V$6/12)</f>
        <v>1855.4092556895096</v>
      </c>
      <c r="W15" s="36">
        <f>W14/(1+'Inputs'!$E$50)^(W$6/12)</f>
        <v>1801.2097640924967</v>
      </c>
      <c r="X15" s="36">
        <f>X14/(1+'Inputs'!$E$50)^(X$6/12)</f>
        <v>1748.5935269070733</v>
      </c>
      <c r="Y15" s="36">
        <f>Y14/(1+'Inputs'!$E$50)^(Y$6/12)</f>
        <v>1697.5142947228126</v>
      </c>
      <c r="Z15" s="36">
        <f>Z14/(1+'Inputs'!$E$50)^(Z$6/12)</f>
        <v>1647.9271691490276</v>
      </c>
      <c r="AA15" s="36">
        <f>AA14/(1+'Inputs'!$E$50)^(AA$6/12)</f>
        <v>1599.7885633493113</v>
      </c>
      <c r="AB15" s="36">
        <f>AB14/(1+'Inputs'!$E$50)^(AB$6/12)</f>
        <v>1553.0561637289231</v>
      </c>
      <c r="AC15" s="36">
        <f>AC14/(1+'Inputs'!$E$50)^(AC$6/12)</f>
        <v>1507.6888927413515</v>
      </c>
      <c r="AD15" s="36">
        <f>AD14/(1+'Inputs'!$E$50)^(AD$6/12)</f>
        <v>1463.6468727813526</v>
      </c>
      <c r="AE15" s="36">
        <f>AE14/(1+'Inputs'!$E$50)^(AE$6/12)</f>
        <v>1420.8913911327352</v>
      </c>
      <c r="AF15" s="36">
        <f>AF14/(1+'Inputs'!$E$50)^(AF$6/12)</f>
        <v>1379.3848659400774</v>
      </c>
      <c r="AG15" s="36">
        <f>AG14/(1+'Inputs'!$E$50)^(AG$6/12)</f>
        <v>1339.0908131744611</v>
      </c>
      <c r="AH15" s="36">
        <f>AH14/(1+'Inputs'!$E$50)^(AH$6/12)</f>
        <v>1299.9738145641927</v>
      </c>
      <c r="AI15" s="36">
        <f>AI14/(1+'Inputs'!$E$50)^(AI$6/12)</f>
        <v>1261.9994864623175</v>
      </c>
      <c r="AJ15" s="36">
        <f>AJ14/(1+'Inputs'!$E$50)^(AJ$6/12)</f>
        <v>1225.1344496235688</v>
      </c>
      <c r="AK15" s="36">
        <f>AK14/(1+'Inputs'!$E$50)^(AK$6/12)</f>
        <v>1189.3462998641737</v>
      </c>
      <c r="AL15" s="36">
        <f>AL14/(1+'Inputs'!$E$50)^(AL$6/12)</f>
        <v>1154.6035795787393</v>
      </c>
      <c r="AM15" s="36">
        <f>AM14/(1+'Inputs'!$E$50)^(AM$6/12)</f>
        <v>1120.8757500891727</v>
      </c>
      <c r="AN15" s="36">
        <f>AN14/(1+'Inputs'!$E$50)^(AN$6/12)</f>
        <v>1088.1331648013372</v>
      </c>
      <c r="AO15" s="36">
        <f>AO14/(1+'Inputs'!$E$50)^(AO$6/12)</f>
        <v>1056.3470431458406</v>
      </c>
      <c r="AP15" s="36">
        <f>AP14/(1+'Inputs'!$E$50)^(AP$6/12)</f>
        <v>1025.4894452800609</v>
      </c>
      <c r="AQ15" s="36">
        <f>AQ14/(1+'Inputs'!$E$50)^(AQ$6/12)</f>
        <v>995.5332475291626</v>
      </c>
    </row>
    <row r="16" ht="22" customHeight="1">
      <c r="A16" s="2" t="str">
        <v>LTV</v>
      </c>
      <c r="B16" s="6" t="str">
        <v>36-month B2B LTV</v>
      </c>
      <c r="C16" s="2" t="str">
        <v>EUR_per_client</v>
      </c>
      <c r="D16" s="2" t="str">
        <v>NA</v>
      </c>
      <c r="E16" s="35">
        <f>SUM(H15:AQ15)</f>
        <v>61858.38637676009</v>
      </c>
      <c r="F16" s="6" t="str"/>
      <c r="G16" s="2"/>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row>
    <row r="17" ht="22" customHeight="1">
      <c r="A17" s="2" t="str">
        <v>LTV_CAC</v>
      </c>
      <c r="B17" s="6" t="str">
        <v>B2B LTV / CAC</v>
      </c>
      <c r="C17" s="2" t="str">
        <v>ratio</v>
      </c>
      <c r="D17" s="2" t="str">
        <v>NA</v>
      </c>
      <c r="E17" s="36" t="str">
        <f>IF('Inputs'!$E$66&gt;0,E16/'Inputs'!$E$66,"n/m")</f>
        <v>n/m</v>
      </c>
      <c r="F17" s="6" t="str"/>
      <c r="G17" s="2"/>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row>
  </sheetData>
  <mergeCells>
    <mergeCell ref="B1:F1"/>
    <mergeCell ref="B2:F2"/>
    <mergeCell ref="B3:F3"/>
    <mergeCell ref="B4:F4"/>
    <mergeCell ref="B5:F5"/>
  </mergeCells>
  <pageMargins left="0.7" right="0.7" top="0.75" bottom="0.75" header="0.3" footer="0.3"/>
  <tableParts count="1">
    <tablePart ns1:id="R72175b256c3845d0"/>
  </tableParts>
</worksheet>
</file>

<file path=xl/worksheets/sheet7.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s>
  <sheetData>
    <row r="1" ht="28" customHeight="1">
      <c r="A1" s="2"/>
      <c r="B1" s="30" t="str">
        <v>Editable activity survival by cohort age</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ht="22" customHeight="1">
      <c r="A6" s="2"/>
      <c r="B6" s="2"/>
      <c r="C6" s="2"/>
      <c r="D6" s="2"/>
      <c r="E6" s="2"/>
      <c r="F6" s="2"/>
      <c r="G6" s="2"/>
      <c r="H6" s="2" t="n">
        <v>0</v>
      </c>
      <c r="I6" s="2" t="n">
        <v>1</v>
      </c>
      <c r="J6" s="2" t="n">
        <v>2</v>
      </c>
      <c r="K6" s="2" t="n">
        <v>3</v>
      </c>
      <c r="L6" s="2" t="n">
        <v>4</v>
      </c>
      <c r="M6" s="2" t="n">
        <v>5</v>
      </c>
      <c r="N6" s="2" t="n">
        <v>6</v>
      </c>
      <c r="O6" s="2" t="n">
        <v>7</v>
      </c>
      <c r="P6" s="2" t="n">
        <v>8</v>
      </c>
      <c r="Q6" s="2" t="n">
        <v>9</v>
      </c>
      <c r="R6" s="2" t="n">
        <v>10</v>
      </c>
      <c r="S6" s="2" t="n">
        <v>11</v>
      </c>
      <c r="T6" s="2" t="n">
        <v>12</v>
      </c>
      <c r="U6" s="2" t="n">
        <v>13</v>
      </c>
      <c r="V6" s="2" t="n">
        <v>14</v>
      </c>
      <c r="W6" s="2" t="n">
        <v>15</v>
      </c>
      <c r="X6" s="2" t="n">
        <v>16</v>
      </c>
      <c r="Y6" s="2" t="n">
        <v>17</v>
      </c>
      <c r="Z6" s="2" t="n">
        <v>18</v>
      </c>
      <c r="AA6" s="2" t="n">
        <v>19</v>
      </c>
      <c r="AB6" s="2" t="n">
        <v>20</v>
      </c>
      <c r="AC6" s="2" t="n">
        <v>21</v>
      </c>
      <c r="AD6" s="2" t="n">
        <v>22</v>
      </c>
      <c r="AE6" s="2" t="n">
        <v>23</v>
      </c>
      <c r="AF6" s="2" t="n">
        <v>24</v>
      </c>
      <c r="AG6" s="2" t="n">
        <v>25</v>
      </c>
      <c r="AH6" s="2" t="n">
        <v>26</v>
      </c>
      <c r="AI6" s="2" t="n">
        <v>27</v>
      </c>
      <c r="AJ6" s="2" t="n">
        <v>28</v>
      </c>
      <c r="AK6" s="2" t="n">
        <v>29</v>
      </c>
      <c r="AL6" s="2" t="n">
        <v>30</v>
      </c>
      <c r="AM6" s="2" t="n">
        <v>31</v>
      </c>
      <c r="AN6" s="2" t="n">
        <v>32</v>
      </c>
      <c r="AO6" s="2" t="n">
        <v>33</v>
      </c>
      <c r="AP6" s="2" t="n">
        <v>34</v>
      </c>
      <c r="AQ6" s="2" t="n">
        <v>35</v>
      </c>
      <c r="AR6" s="2" t="n">
        <v>36</v>
      </c>
      <c r="AS6" s="2" t="n">
        <v>37</v>
      </c>
      <c r="AT6" s="2" t="n">
        <v>38</v>
      </c>
      <c r="AU6" s="2" t="n">
        <v>39</v>
      </c>
      <c r="AV6" s="2" t="n">
        <v>40</v>
      </c>
      <c r="AW6" s="2" t="n">
        <v>41</v>
      </c>
      <c r="AX6" s="2" t="n">
        <v>42</v>
      </c>
      <c r="AY6" s="2" t="n">
        <v>43</v>
      </c>
      <c r="AZ6" s="2" t="n">
        <v>44</v>
      </c>
      <c r="BA6" s="2" t="n">
        <v>45</v>
      </c>
      <c r="BB6" s="2" t="n">
        <v>46</v>
      </c>
      <c r="BC6" s="2" t="n">
        <v>47</v>
      </c>
      <c r="BD6" s="2" t="n">
        <v>48</v>
      </c>
      <c r="BE6" s="2" t="n">
        <v>49</v>
      </c>
      <c r="BF6" s="2" t="n">
        <v>50</v>
      </c>
      <c r="BG6" s="2" t="n">
        <v>51</v>
      </c>
      <c r="BH6" s="2" t="n">
        <v>52</v>
      </c>
      <c r="BI6" s="2" t="n">
        <v>53</v>
      </c>
      <c r="BJ6" s="2" t="n">
        <v>54</v>
      </c>
      <c r="BK6" s="2" t="n">
        <v>55</v>
      </c>
      <c r="BL6" s="2" t="n">
        <v>56</v>
      </c>
      <c r="BM6" s="2" t="n">
        <v>57</v>
      </c>
      <c r="BN6" s="2" t="n">
        <v>58</v>
      </c>
      <c r="BO6" s="2" t="n">
        <v>59</v>
      </c>
    </row>
    <row r="7" ht="22" customHeight="1">
      <c r="A7" s="2"/>
      <c r="B7" s="2"/>
      <c r="C7" s="2"/>
      <c r="D7" s="2"/>
      <c r="E7" s="2"/>
      <c r="F7" s="2"/>
      <c r="G7" s="2"/>
      <c r="H7" s="52" t="n">
        <v>46388</v>
      </c>
      <c r="I7" s="52" t="n">
        <v>46419</v>
      </c>
      <c r="J7" s="52" t="n">
        <v>46447</v>
      </c>
      <c r="K7" s="52" t="n">
        <v>46478</v>
      </c>
      <c r="L7" s="52" t="n">
        <v>46508</v>
      </c>
      <c r="M7" s="52" t="n">
        <v>46539</v>
      </c>
      <c r="N7" s="52" t="n">
        <v>46569</v>
      </c>
      <c r="O7" s="52" t="n">
        <v>46600</v>
      </c>
      <c r="P7" s="52" t="n">
        <v>46631</v>
      </c>
      <c r="Q7" s="52" t="n">
        <v>46661</v>
      </c>
      <c r="R7" s="52" t="n">
        <v>46692</v>
      </c>
      <c r="S7" s="52" t="n">
        <v>46722</v>
      </c>
      <c r="T7" s="52" t="n">
        <v>46753</v>
      </c>
      <c r="U7" s="52" t="n">
        <v>46784</v>
      </c>
      <c r="V7" s="52" t="n">
        <v>46813</v>
      </c>
      <c r="W7" s="52" t="n">
        <v>46844</v>
      </c>
      <c r="X7" s="52" t="n">
        <v>46874</v>
      </c>
      <c r="Y7" s="52" t="n">
        <v>46905</v>
      </c>
      <c r="Z7" s="52" t="n">
        <v>46935</v>
      </c>
      <c r="AA7" s="52" t="n">
        <v>46966</v>
      </c>
      <c r="AB7" s="52" t="n">
        <v>46997</v>
      </c>
      <c r="AC7" s="52" t="n">
        <v>47027</v>
      </c>
      <c r="AD7" s="52" t="n">
        <v>47058</v>
      </c>
      <c r="AE7" s="52" t="n">
        <v>47088</v>
      </c>
      <c r="AF7" s="52" t="n">
        <v>47119</v>
      </c>
      <c r="AG7" s="52" t="n">
        <v>47150</v>
      </c>
      <c r="AH7" s="52" t="n">
        <v>47178</v>
      </c>
      <c r="AI7" s="52" t="n">
        <v>47209</v>
      </c>
      <c r="AJ7" s="52" t="n">
        <v>47239</v>
      </c>
      <c r="AK7" s="52" t="n">
        <v>47270</v>
      </c>
      <c r="AL7" s="52" t="n">
        <v>47300</v>
      </c>
      <c r="AM7" s="52" t="n">
        <v>47331</v>
      </c>
      <c r="AN7" s="52" t="n">
        <v>47362</v>
      </c>
      <c r="AO7" s="52" t="n">
        <v>47392</v>
      </c>
      <c r="AP7" s="52" t="n">
        <v>47423</v>
      </c>
      <c r="AQ7" s="52" t="n">
        <v>47453</v>
      </c>
      <c r="AR7" s="52" t="n">
        <v>47484</v>
      </c>
      <c r="AS7" s="52" t="n">
        <v>47515</v>
      </c>
      <c r="AT7" s="52" t="n">
        <v>47543</v>
      </c>
      <c r="AU7" s="52" t="n">
        <v>47574</v>
      </c>
      <c r="AV7" s="52" t="n">
        <v>47604</v>
      </c>
      <c r="AW7" s="52" t="n">
        <v>47635</v>
      </c>
      <c r="AX7" s="52" t="n">
        <v>47665</v>
      </c>
      <c r="AY7" s="52" t="n">
        <v>47696</v>
      </c>
      <c r="AZ7" s="52" t="n">
        <v>47727</v>
      </c>
      <c r="BA7" s="52" t="n">
        <v>47757</v>
      </c>
      <c r="BB7" s="52" t="n">
        <v>47788</v>
      </c>
      <c r="BC7" s="52" t="n">
        <v>47818</v>
      </c>
      <c r="BD7" s="52" t="n">
        <v>47849</v>
      </c>
      <c r="BE7" s="52" t="n">
        <v>47880</v>
      </c>
      <c r="BF7" s="52" t="n">
        <v>47908</v>
      </c>
      <c r="BG7" s="52" t="n">
        <v>47939</v>
      </c>
      <c r="BH7" s="52" t="n">
        <v>47969</v>
      </c>
      <c r="BI7" s="52" t="n">
        <v>48000</v>
      </c>
      <c r="BJ7" s="52" t="n">
        <v>48030</v>
      </c>
      <c r="BK7" s="52" t="n">
        <v>48061</v>
      </c>
      <c r="BL7" s="52" t="n">
        <v>48092</v>
      </c>
      <c r="BM7" s="52" t="n">
        <v>48122</v>
      </c>
      <c r="BN7" s="52" t="n">
        <v>48153</v>
      </c>
      <c r="BO7" s="52" t="n">
        <v>48183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row>
    <row r="9" ht="22" customHeight="1">
      <c r="A9" s="2"/>
      <c r="B9" s="2"/>
      <c r="C9" s="2"/>
      <c r="D9" s="2"/>
      <c r="E9" s="2"/>
      <c r="F9" s="2"/>
      <c r="G9" s="2"/>
      <c r="H9" s="8">
        <f>ROUNDDOWN((MONTH(H7)-1)/'Inputs'!$E$68,0)+1</f>
        <v>1.0</v>
      </c>
      <c r="I9" s="8">
        <f>ROUNDDOWN((MONTH(I7)-1)/'Inputs'!$E$68,0)+1</f>
        <v>1.0</v>
      </c>
      <c r="J9" s="8">
        <f>ROUNDDOWN((MONTH(J7)-1)/'Inputs'!$E$68,0)+1</f>
        <v>1.0</v>
      </c>
      <c r="K9" s="8">
        <f>ROUNDDOWN((MONTH(K7)-1)/'Inputs'!$E$68,0)+1</f>
        <v>2.0</v>
      </c>
      <c r="L9" s="8">
        <f>ROUNDDOWN((MONTH(L7)-1)/'Inputs'!$E$68,0)+1</f>
        <v>2.0</v>
      </c>
      <c r="M9" s="8">
        <f>ROUNDDOWN((MONTH(M7)-1)/'Inputs'!$E$68,0)+1</f>
        <v>2.0</v>
      </c>
      <c r="N9" s="8">
        <f>ROUNDDOWN((MONTH(N7)-1)/'Inputs'!$E$68,0)+1</f>
        <v>3.0</v>
      </c>
      <c r="O9" s="8">
        <f>ROUNDDOWN((MONTH(O7)-1)/'Inputs'!$E$68,0)+1</f>
        <v>3.0</v>
      </c>
      <c r="P9" s="8">
        <f>ROUNDDOWN((MONTH(P7)-1)/'Inputs'!$E$68,0)+1</f>
        <v>3.0</v>
      </c>
      <c r="Q9" s="8">
        <f>ROUNDDOWN((MONTH(Q7)-1)/'Inputs'!$E$68,0)+1</f>
        <v>4.0</v>
      </c>
      <c r="R9" s="8">
        <f>ROUNDDOWN((MONTH(R7)-1)/'Inputs'!$E$68,0)+1</f>
        <v>4.0</v>
      </c>
      <c r="S9" s="8">
        <f>ROUNDDOWN((MONTH(S7)-1)/'Inputs'!$E$68,0)+1</f>
        <v>4.0</v>
      </c>
      <c r="T9" s="8">
        <f>ROUNDDOWN((MONTH(T7)-1)/'Inputs'!$E$68,0)+1</f>
        <v>1.0</v>
      </c>
      <c r="U9" s="8">
        <f>ROUNDDOWN((MONTH(U7)-1)/'Inputs'!$E$68,0)+1</f>
        <v>1.0</v>
      </c>
      <c r="V9" s="8">
        <f>ROUNDDOWN((MONTH(V7)-1)/'Inputs'!$E$68,0)+1</f>
        <v>1.0</v>
      </c>
      <c r="W9" s="8">
        <f>ROUNDDOWN((MONTH(W7)-1)/'Inputs'!$E$68,0)+1</f>
        <v>2.0</v>
      </c>
      <c r="X9" s="8">
        <f>ROUNDDOWN((MONTH(X7)-1)/'Inputs'!$E$68,0)+1</f>
        <v>2.0</v>
      </c>
      <c r="Y9" s="8">
        <f>ROUNDDOWN((MONTH(Y7)-1)/'Inputs'!$E$68,0)+1</f>
        <v>2.0</v>
      </c>
      <c r="Z9" s="8">
        <f>ROUNDDOWN((MONTH(Z7)-1)/'Inputs'!$E$68,0)+1</f>
        <v>3.0</v>
      </c>
      <c r="AA9" s="8">
        <f>ROUNDDOWN((MONTH(AA7)-1)/'Inputs'!$E$68,0)+1</f>
        <v>3.0</v>
      </c>
      <c r="AB9" s="8">
        <f>ROUNDDOWN((MONTH(AB7)-1)/'Inputs'!$E$68,0)+1</f>
        <v>3.0</v>
      </c>
      <c r="AC9" s="8">
        <f>ROUNDDOWN((MONTH(AC7)-1)/'Inputs'!$E$68,0)+1</f>
        <v>4.0</v>
      </c>
      <c r="AD9" s="8">
        <f>ROUNDDOWN((MONTH(AD7)-1)/'Inputs'!$E$68,0)+1</f>
        <v>4.0</v>
      </c>
      <c r="AE9" s="8">
        <f>ROUNDDOWN((MONTH(AE7)-1)/'Inputs'!$E$68,0)+1</f>
        <v>4.0</v>
      </c>
      <c r="AF9" s="8">
        <f>ROUNDDOWN((MONTH(AF7)-1)/'Inputs'!$E$68,0)+1</f>
        <v>1.0</v>
      </c>
      <c r="AG9" s="8">
        <f>ROUNDDOWN((MONTH(AG7)-1)/'Inputs'!$E$68,0)+1</f>
        <v>1.0</v>
      </c>
      <c r="AH9" s="8">
        <f>ROUNDDOWN((MONTH(AH7)-1)/'Inputs'!$E$68,0)+1</f>
        <v>1.0</v>
      </c>
      <c r="AI9" s="8">
        <f>ROUNDDOWN((MONTH(AI7)-1)/'Inputs'!$E$68,0)+1</f>
        <v>2.0</v>
      </c>
      <c r="AJ9" s="8">
        <f>ROUNDDOWN((MONTH(AJ7)-1)/'Inputs'!$E$68,0)+1</f>
        <v>2.0</v>
      </c>
      <c r="AK9" s="8">
        <f>ROUNDDOWN((MONTH(AK7)-1)/'Inputs'!$E$68,0)+1</f>
        <v>2.0</v>
      </c>
      <c r="AL9" s="8">
        <f>ROUNDDOWN((MONTH(AL7)-1)/'Inputs'!$E$68,0)+1</f>
        <v>3.0</v>
      </c>
      <c r="AM9" s="8">
        <f>ROUNDDOWN((MONTH(AM7)-1)/'Inputs'!$E$68,0)+1</f>
        <v>3.0</v>
      </c>
      <c r="AN9" s="8">
        <f>ROUNDDOWN((MONTH(AN7)-1)/'Inputs'!$E$68,0)+1</f>
        <v>3.0</v>
      </c>
      <c r="AO9" s="8">
        <f>ROUNDDOWN((MONTH(AO7)-1)/'Inputs'!$E$68,0)+1</f>
        <v>4.0</v>
      </c>
      <c r="AP9" s="8">
        <f>ROUNDDOWN((MONTH(AP7)-1)/'Inputs'!$E$68,0)+1</f>
        <v>4.0</v>
      </c>
      <c r="AQ9" s="8">
        <f>ROUNDDOWN((MONTH(AQ7)-1)/'Inputs'!$E$68,0)+1</f>
        <v>4.0</v>
      </c>
      <c r="AR9" s="8">
        <f>ROUNDDOWN((MONTH(AR7)-1)/'Inputs'!$E$68,0)+1</f>
        <v>1.0</v>
      </c>
      <c r="AS9" s="8">
        <f>ROUNDDOWN((MONTH(AS7)-1)/'Inputs'!$E$68,0)+1</f>
        <v>1.0</v>
      </c>
      <c r="AT9" s="8">
        <f>ROUNDDOWN((MONTH(AT7)-1)/'Inputs'!$E$68,0)+1</f>
        <v>1.0</v>
      </c>
      <c r="AU9" s="8">
        <f>ROUNDDOWN((MONTH(AU7)-1)/'Inputs'!$E$68,0)+1</f>
        <v>2.0</v>
      </c>
      <c r="AV9" s="8">
        <f>ROUNDDOWN((MONTH(AV7)-1)/'Inputs'!$E$68,0)+1</f>
        <v>2.0</v>
      </c>
      <c r="AW9" s="8">
        <f>ROUNDDOWN((MONTH(AW7)-1)/'Inputs'!$E$68,0)+1</f>
        <v>2.0</v>
      </c>
      <c r="AX9" s="8">
        <f>ROUNDDOWN((MONTH(AX7)-1)/'Inputs'!$E$68,0)+1</f>
        <v>3.0</v>
      </c>
      <c r="AY9" s="8">
        <f>ROUNDDOWN((MONTH(AY7)-1)/'Inputs'!$E$68,0)+1</f>
        <v>3.0</v>
      </c>
      <c r="AZ9" s="8">
        <f>ROUNDDOWN((MONTH(AZ7)-1)/'Inputs'!$E$68,0)+1</f>
        <v>3.0</v>
      </c>
      <c r="BA9" s="8">
        <f>ROUNDDOWN((MONTH(BA7)-1)/'Inputs'!$E$68,0)+1</f>
        <v>4.0</v>
      </c>
      <c r="BB9" s="8">
        <f>ROUNDDOWN((MONTH(BB7)-1)/'Inputs'!$E$68,0)+1</f>
        <v>4.0</v>
      </c>
      <c r="BC9" s="8">
        <f>ROUNDDOWN((MONTH(BC7)-1)/'Inputs'!$E$68,0)+1</f>
        <v>4.0</v>
      </c>
      <c r="BD9" s="8">
        <f>ROUNDDOWN((MONTH(BD7)-1)/'Inputs'!$E$68,0)+1</f>
        <v>1.0</v>
      </c>
      <c r="BE9" s="8">
        <f>ROUNDDOWN((MONTH(BE7)-1)/'Inputs'!$E$68,0)+1</f>
        <v>1.0</v>
      </c>
      <c r="BF9" s="8">
        <f>ROUNDDOWN((MONTH(BF7)-1)/'Inputs'!$E$68,0)+1</f>
        <v>1.0</v>
      </c>
      <c r="BG9" s="8">
        <f>ROUNDDOWN((MONTH(BG7)-1)/'Inputs'!$E$68,0)+1</f>
        <v>2.0</v>
      </c>
      <c r="BH9" s="8">
        <f>ROUNDDOWN((MONTH(BH7)-1)/'Inputs'!$E$68,0)+1</f>
        <v>2.0</v>
      </c>
      <c r="BI9" s="8">
        <f>ROUNDDOWN((MONTH(BI7)-1)/'Inputs'!$E$68,0)+1</f>
        <v>2.0</v>
      </c>
      <c r="BJ9" s="8">
        <f>ROUNDDOWN((MONTH(BJ7)-1)/'Inputs'!$E$68,0)+1</f>
        <v>3.0</v>
      </c>
      <c r="BK9" s="8">
        <f>ROUNDDOWN((MONTH(BK7)-1)/'Inputs'!$E$68,0)+1</f>
        <v>3.0</v>
      </c>
      <c r="BL9" s="8">
        <f>ROUNDDOWN((MONTH(BL7)-1)/'Inputs'!$E$68,0)+1</f>
        <v>3.0</v>
      </c>
      <c r="BM9" s="8">
        <f>ROUNDDOWN((MONTH(BM7)-1)/'Inputs'!$E$68,0)+1</f>
        <v>4.0</v>
      </c>
      <c r="BN9" s="8">
        <f>ROUNDDOWN((MONTH(BN7)-1)/'Inputs'!$E$68,0)+1</f>
        <v>4.0</v>
      </c>
      <c r="BO9" s="8">
        <f>ROUNDDOWN((MONTH(BO7)-1)/'Inputs'!$E$68,0)+1</f>
        <v>4.0</v>
      </c>
    </row>
    <row r="10" ht="34" customHeight="1">
      <c r="A10" s="34" t="str">
        <v>Row ID</v>
      </c>
      <c r="B10" s="34" t="str">
        <v>Label</v>
      </c>
      <c r="C10" s="34" t="str">
        <v>Unit</v>
      </c>
      <c r="D10" s="34" t="str">
        <v>Reducer</v>
      </c>
      <c r="E10" s="34" t="str">
        <v>Total / closing</v>
      </c>
      <c r="F10" s="34" t="str">
        <v>Note / source</v>
      </c>
      <c r="G10" s="34" t="str">
        <v>Spacer</v>
      </c>
      <c r="H10" s="34" t="str">
        <v>Age 0</v>
      </c>
      <c r="I10" s="34" t="str">
        <v>Age 1</v>
      </c>
      <c r="J10" s="34" t="str">
        <v>Age 2</v>
      </c>
      <c r="K10" s="34" t="str">
        <v>Age 3</v>
      </c>
      <c r="L10" s="34" t="str">
        <v>Age 4</v>
      </c>
      <c r="M10" s="34" t="str">
        <v>Age 5</v>
      </c>
      <c r="N10" s="34" t="str">
        <v>Age 6</v>
      </c>
      <c r="O10" s="34" t="str">
        <v>Age 7</v>
      </c>
      <c r="P10" s="34" t="str">
        <v>Age 8</v>
      </c>
      <c r="Q10" s="34" t="str">
        <v>Age 9</v>
      </c>
      <c r="R10" s="34" t="str">
        <v>Age 10</v>
      </c>
      <c r="S10" s="34" t="str">
        <v>Age 11</v>
      </c>
      <c r="T10" s="34" t="str">
        <v>Age 12</v>
      </c>
      <c r="U10" s="34" t="str">
        <v>Age 13</v>
      </c>
      <c r="V10" s="34" t="str">
        <v>Age 14</v>
      </c>
      <c r="W10" s="34" t="str">
        <v>Age 15</v>
      </c>
      <c r="X10" s="34" t="str">
        <v>Age 16</v>
      </c>
      <c r="Y10" s="34" t="str">
        <v>Age 17</v>
      </c>
      <c r="Z10" s="34" t="str">
        <v>Age 18</v>
      </c>
      <c r="AA10" s="34" t="str">
        <v>Age 19</v>
      </c>
      <c r="AB10" s="34" t="str">
        <v>Age 20</v>
      </c>
      <c r="AC10" s="34" t="str">
        <v>Age 21</v>
      </c>
      <c r="AD10" s="34" t="str">
        <v>Age 22</v>
      </c>
      <c r="AE10" s="34" t="str">
        <v>Age 23</v>
      </c>
      <c r="AF10" s="34" t="str">
        <v>Age 24</v>
      </c>
      <c r="AG10" s="34" t="str">
        <v>Age 25</v>
      </c>
      <c r="AH10" s="34" t="str">
        <v>Age 26</v>
      </c>
      <c r="AI10" s="34" t="str">
        <v>Age 27</v>
      </c>
      <c r="AJ10" s="34" t="str">
        <v>Age 28</v>
      </c>
      <c r="AK10" s="34" t="str">
        <v>Age 29</v>
      </c>
      <c r="AL10" s="34" t="str">
        <v>Age 30</v>
      </c>
      <c r="AM10" s="34" t="str">
        <v>Age 31</v>
      </c>
      <c r="AN10" s="34" t="str">
        <v>Age 32</v>
      </c>
      <c r="AO10" s="34" t="str">
        <v>Age 33</v>
      </c>
      <c r="AP10" s="34" t="str">
        <v>Age 34</v>
      </c>
      <c r="AQ10" s="34" t="str">
        <v>Age 35</v>
      </c>
      <c r="AR10" s="34" t="str">
        <v>Age 36</v>
      </c>
      <c r="AS10" s="34" t="str">
        <v>Age 37</v>
      </c>
      <c r="AT10" s="34" t="str">
        <v>Age 38</v>
      </c>
      <c r="AU10" s="34" t="str">
        <v>Age 39</v>
      </c>
      <c r="AV10" s="34" t="str">
        <v>Age 40</v>
      </c>
      <c r="AW10" s="34" t="str">
        <v>Age 41</v>
      </c>
      <c r="AX10" s="34" t="str">
        <v>Age 42</v>
      </c>
      <c r="AY10" s="34" t="str">
        <v>Age 43</v>
      </c>
      <c r="AZ10" s="34" t="str">
        <v>Age 44</v>
      </c>
      <c r="BA10" s="34" t="str">
        <v>Age 45</v>
      </c>
      <c r="BB10" s="34" t="str">
        <v>Age 46</v>
      </c>
      <c r="BC10" s="34" t="str">
        <v>Age 47</v>
      </c>
      <c r="BD10" s="34" t="str">
        <v>Age 48</v>
      </c>
      <c r="BE10" s="34" t="str">
        <v>Age 49</v>
      </c>
      <c r="BF10" s="34" t="str">
        <v>Age 50</v>
      </c>
      <c r="BG10" s="34" t="str">
        <v>Age 51</v>
      </c>
      <c r="BH10" s="34" t="str">
        <v>Age 52</v>
      </c>
      <c r="BI10" s="34" t="str">
        <v>Age 53</v>
      </c>
      <c r="BJ10" s="34" t="str">
        <v>Age 54</v>
      </c>
      <c r="BK10" s="34" t="str">
        <v>Age 55</v>
      </c>
      <c r="BL10" s="34" t="str">
        <v>Age 56</v>
      </c>
      <c r="BM10" s="34" t="str">
        <v>Age 57</v>
      </c>
      <c r="BN10" s="34" t="str">
        <v>Age 58</v>
      </c>
      <c r="BO10" s="34" t="str">
        <v>Age 59</v>
      </c>
    </row>
    <row r="11" ht="28" customHeight="1">
      <c r="A11" s="2" t="str">
        <v>RET.CURVE</v>
      </c>
      <c r="B11" s="6" t="str">
        <v>Active share / original connected user</v>
      </c>
      <c r="C11" s="2" t="str">
        <v>fraction</v>
      </c>
      <c r="D11" s="2" t="str">
        <v>END</v>
      </c>
      <c r="E11" s="40">
        <f>BO11</f>
        <v>0.215</v>
      </c>
      <c r="F11" s="6" t="str">
        <v>Retention table TBL.RET.CURVE (see D01); non-increasing, no reactivation</v>
      </c>
      <c r="G11" s="2"/>
      <c r="H11" s="46" t="n">
        <v>1</v>
      </c>
      <c r="I11" s="46" t="n">
        <v>0.7</v>
      </c>
      <c r="J11" s="46" t="n">
        <v>0.6</v>
      </c>
      <c r="K11" s="46" t="n">
        <v>0.55</v>
      </c>
      <c r="L11" s="46" t="n">
        <v>0.5</v>
      </c>
      <c r="M11" s="46" t="n">
        <v>0.47</v>
      </c>
      <c r="N11" s="46" t="n">
        <v>0.45</v>
      </c>
      <c r="O11" s="46" t="n">
        <v>0.43</v>
      </c>
      <c r="P11" s="46" t="n">
        <v>0.41</v>
      </c>
      <c r="Q11" s="46" t="n">
        <v>0.39</v>
      </c>
      <c r="R11" s="46" t="n">
        <v>0.38</v>
      </c>
      <c r="S11" s="46" t="n">
        <v>0.37</v>
      </c>
      <c r="T11" s="46" t="n">
        <v>0.36</v>
      </c>
      <c r="U11" s="46" t="n">
        <v>0.3575</v>
      </c>
      <c r="V11" s="46" t="n">
        <v>0.355</v>
      </c>
      <c r="W11" s="46" t="n">
        <v>0.3525</v>
      </c>
      <c r="X11" s="46" t="n">
        <v>0.35</v>
      </c>
      <c r="Y11" s="46" t="n">
        <v>0.3475</v>
      </c>
      <c r="Z11" s="46" t="n">
        <v>0.345</v>
      </c>
      <c r="AA11" s="46" t="n">
        <v>0.3425</v>
      </c>
      <c r="AB11" s="46" t="n">
        <v>0.34</v>
      </c>
      <c r="AC11" s="46" t="n">
        <v>0.3375</v>
      </c>
      <c r="AD11" s="46" t="n">
        <v>0.335</v>
      </c>
      <c r="AE11" s="46" t="n">
        <v>0.3325</v>
      </c>
      <c r="AF11" s="46" t="n">
        <v>0.33</v>
      </c>
      <c r="AG11" s="46" t="n">
        <v>0.3245</v>
      </c>
      <c r="AH11" s="46" t="n">
        <v>0.319</v>
      </c>
      <c r="AI11" s="46" t="n">
        <v>0.3135</v>
      </c>
      <c r="AJ11" s="46" t="n">
        <v>0.308</v>
      </c>
      <c r="AK11" s="46" t="n">
        <v>0.305</v>
      </c>
      <c r="AL11" s="46" t="n">
        <v>0.302</v>
      </c>
      <c r="AM11" s="46" t="n">
        <v>0.299</v>
      </c>
      <c r="AN11" s="46" t="n">
        <v>0.296</v>
      </c>
      <c r="AO11" s="46" t="n">
        <v>0.293</v>
      </c>
      <c r="AP11" s="46" t="n">
        <v>0.29</v>
      </c>
      <c r="AQ11" s="46" t="n">
        <v>0.287</v>
      </c>
      <c r="AR11" s="46" t="n">
        <v>0.284</v>
      </c>
      <c r="AS11" s="46" t="n">
        <v>0.281</v>
      </c>
      <c r="AT11" s="46" t="n">
        <v>0.278</v>
      </c>
      <c r="AU11" s="46" t="n">
        <v>0.275</v>
      </c>
      <c r="AV11" s="46" t="n">
        <v>0.272</v>
      </c>
      <c r="AW11" s="46" t="n">
        <v>0.269</v>
      </c>
      <c r="AX11" s="46" t="n">
        <v>0.266</v>
      </c>
      <c r="AY11" s="46" t="n">
        <v>0.263</v>
      </c>
      <c r="AZ11" s="46" t="n">
        <v>0.26</v>
      </c>
      <c r="BA11" s="46" t="n">
        <v>0.257</v>
      </c>
      <c r="BB11" s="46" t="n">
        <v>0.254</v>
      </c>
      <c r="BC11" s="46" t="n">
        <v>0.251</v>
      </c>
      <c r="BD11" s="46" t="n">
        <v>0.248</v>
      </c>
      <c r="BE11" s="46" t="n">
        <v>0.245</v>
      </c>
      <c r="BF11" s="46" t="n">
        <v>0.242</v>
      </c>
      <c r="BG11" s="46" t="n">
        <v>0.239</v>
      </c>
      <c r="BH11" s="46" t="n">
        <v>0.236</v>
      </c>
      <c r="BI11" s="46" t="n">
        <v>0.233</v>
      </c>
      <c r="BJ11" s="46" t="n">
        <v>0.23</v>
      </c>
      <c r="BK11" s="46" t="n">
        <v>0.227</v>
      </c>
      <c r="BL11" s="46" t="n">
        <v>0.224</v>
      </c>
      <c r="BM11" s="46" t="n">
        <v>0.221</v>
      </c>
      <c r="BN11" s="46" t="n">
        <v>0.218</v>
      </c>
      <c r="BO11" s="46" t="n">
        <v>0.215</v>
      </c>
    </row>
  </sheetData>
  <mergeCells>
    <mergeCell ref="B1:F1"/>
    <mergeCell ref="B2:F2"/>
    <mergeCell ref="B3:F3"/>
    <mergeCell ref="B4:F4"/>
    <mergeCell ref="B5:F5"/>
  </mergeCells>
  <dataValidations count="1">
    <dataValidation type="decimal" operator="between" sqref="H11:BO11">
      <formula1>0</formula1>
      <formula2>1</formula2>
    </dataValidation>
  </dataValidations>
  <pageMargins left="0.7" right="0.7" top="0.75" bottom="0.75" header="0.3" footer="0.3"/>
  <tableParts count="1">
    <tablePart ns1:id="R07e80588e33046c1"/>
  </tableParts>
</worksheet>
</file>

<file path=xl/worksheets/sheet8.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 min="68" max="68" width="17" hidden="0" customWidth="1"/>
    <col min="69" max="69" width="17" hidden="0" customWidth="1"/>
    <col min="70" max="70" width="17" hidden="0" customWidth="1"/>
    <col min="71" max="71" width="17" hidden="0" customWidth="1"/>
    <col min="72" max="72" width="17" hidden="0" customWidth="1"/>
    <col min="73" max="73" width="17" hidden="0" customWidth="1"/>
    <col min="74" max="74" width="17" hidden="0" customWidth="1"/>
    <col min="75" max="75" width="17" hidden="0" customWidth="1"/>
    <col min="76" max="76" width="17" hidden="0" customWidth="1"/>
    <col min="77" max="77" width="17" hidden="0" customWidth="1"/>
    <col min="78" max="78" width="17" hidden="0" customWidth="1"/>
    <col min="79" max="79" width="17" hidden="0" customWidth="1"/>
    <col min="80" max="80" width="17" hidden="0" customWidth="1"/>
    <col min="81" max="81" width="17" hidden="0" customWidth="1"/>
    <col min="82" max="82" width="17" hidden="0" customWidth="1"/>
    <col min="83" max="83" width="17" hidden="0" customWidth="1"/>
    <col min="84" max="84" width="17" hidden="0" customWidth="1"/>
    <col min="85" max="85" width="17" hidden="0" customWidth="1"/>
    <col min="86" max="86" width="17" hidden="0" customWidth="1"/>
    <col min="87" max="87" width="17" hidden="0" customWidth="1"/>
    <col min="88" max="88" width="17" hidden="0" customWidth="1"/>
    <col min="89" max="89" width="17" hidden="0" customWidth="1"/>
    <col min="90" max="90" width="17" hidden="0" customWidth="1"/>
    <col min="91" max="91" width="17" hidden="0" customWidth="1"/>
    <col min="92" max="92" width="17" hidden="0" customWidth="1"/>
    <col min="93" max="93" width="17" hidden="0" customWidth="1"/>
    <col min="94" max="94" width="17" hidden="0" customWidth="1"/>
    <col min="95" max="95" width="17" hidden="0" customWidth="1"/>
    <col min="96" max="96" width="17" hidden="0" customWidth="1"/>
    <col min="97" max="97" width="17" hidden="0" customWidth="1"/>
    <col min="98" max="98" width="17" hidden="0" customWidth="1"/>
    <col min="99" max="99" width="17" hidden="0" customWidth="1"/>
    <col min="100" max="100" width="17" hidden="0" customWidth="1"/>
    <col min="101" max="101" width="17" hidden="0" customWidth="1"/>
    <col min="102" max="102" width="17" hidden="0" customWidth="1"/>
  </cols>
  <sheetData>
    <row r="1" ht="28" customHeight="1">
      <c r="A1" s="2"/>
      <c r="B1" s="30" t="str">
        <v>Calendar acquisition and shared variable-cost seeds</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c r="AR6" s="2" t="n">
        <v>37</v>
      </c>
      <c r="AS6" s="2" t="n">
        <v>38</v>
      </c>
      <c r="AT6" s="2" t="n">
        <v>39</v>
      </c>
      <c r="AU6" s="2" t="n">
        <v>40</v>
      </c>
      <c r="AV6" s="2" t="n">
        <v>41</v>
      </c>
      <c r="AW6" s="2" t="n">
        <v>42</v>
      </c>
      <c r="AX6" s="2" t="n">
        <v>43</v>
      </c>
      <c r="AY6" s="2" t="n">
        <v>44</v>
      </c>
      <c r="AZ6" s="2" t="n">
        <v>45</v>
      </c>
      <c r="BA6" s="2" t="n">
        <v>46</v>
      </c>
      <c r="BB6" s="2" t="n">
        <v>47</v>
      </c>
      <c r="BC6" s="2" t="n">
        <v>48</v>
      </c>
      <c r="BD6" s="2" t="n">
        <v>49</v>
      </c>
      <c r="BE6" s="2" t="n">
        <v>50</v>
      </c>
      <c r="BF6" s="2" t="n">
        <v>51</v>
      </c>
      <c r="BG6" s="2" t="n">
        <v>52</v>
      </c>
      <c r="BH6" s="2" t="n">
        <v>53</v>
      </c>
      <c r="BI6" s="2" t="n">
        <v>54</v>
      </c>
      <c r="BJ6" s="2" t="n">
        <v>55</v>
      </c>
      <c r="BK6" s="2" t="n">
        <v>56</v>
      </c>
      <c r="BL6" s="2" t="n">
        <v>57</v>
      </c>
      <c r="BM6" s="2" t="n">
        <v>58</v>
      </c>
      <c r="BN6" s="2" t="n">
        <v>59</v>
      </c>
      <c r="BO6" s="2" t="n">
        <v>60</v>
      </c>
      <c r="BP6" s="2" t="n">
        <v>61</v>
      </c>
      <c r="BQ6" s="2" t="n">
        <v>62</v>
      </c>
      <c r="BR6" s="2" t="n">
        <v>63</v>
      </c>
      <c r="BS6" s="2" t="n">
        <v>64</v>
      </c>
      <c r="BT6" s="2" t="n">
        <v>65</v>
      </c>
      <c r="BU6" s="2" t="n">
        <v>66</v>
      </c>
      <c r="BV6" s="2" t="n">
        <v>67</v>
      </c>
      <c r="BW6" s="2" t="n">
        <v>68</v>
      </c>
      <c r="BX6" s="2" t="n">
        <v>69</v>
      </c>
      <c r="BY6" s="2" t="n">
        <v>70</v>
      </c>
      <c r="BZ6" s="2" t="n">
        <v>71</v>
      </c>
      <c r="CA6" s="2" t="n">
        <v>72</v>
      </c>
      <c r="CB6" s="2" t="n">
        <v>73</v>
      </c>
      <c r="CC6" s="2" t="n">
        <v>74</v>
      </c>
      <c r="CD6" s="2" t="n">
        <v>75</v>
      </c>
      <c r="CE6" s="2" t="n">
        <v>76</v>
      </c>
      <c r="CF6" s="2" t="n">
        <v>77</v>
      </c>
      <c r="CG6" s="2" t="n">
        <v>78</v>
      </c>
      <c r="CH6" s="2" t="n">
        <v>79</v>
      </c>
      <c r="CI6" s="2" t="n">
        <v>80</v>
      </c>
      <c r="CJ6" s="2" t="n">
        <v>81</v>
      </c>
      <c r="CK6" s="2" t="n">
        <v>82</v>
      </c>
      <c r="CL6" s="2" t="n">
        <v>83</v>
      </c>
      <c r="CM6" s="2" t="n">
        <v>84</v>
      </c>
      <c r="CN6" s="2" t="n">
        <v>85</v>
      </c>
      <c r="CO6" s="2" t="n">
        <v>86</v>
      </c>
      <c r="CP6" s="2" t="n">
        <v>87</v>
      </c>
      <c r="CQ6" s="2" t="n">
        <v>88</v>
      </c>
      <c r="CR6" s="2" t="n">
        <v>89</v>
      </c>
      <c r="CS6" s="2" t="n">
        <v>90</v>
      </c>
      <c r="CT6" s="2" t="n">
        <v>91</v>
      </c>
      <c r="CU6" s="2" t="n">
        <v>92</v>
      </c>
      <c r="CV6" s="2" t="n">
        <v>93</v>
      </c>
      <c r="CW6" s="2" t="n">
        <v>94</v>
      </c>
      <c r="CX6" s="2" t="n">
        <v>95</v>
      </c>
    </row>
    <row r="7" ht="22" customHeight="1">
      <c r="A7" s="2"/>
      <c r="B7" s="2"/>
      <c r="C7" s="2"/>
      <c r="D7" s="2"/>
      <c r="E7" s="2"/>
      <c r="F7" s="2"/>
      <c r="G7" s="2"/>
      <c r="H7" s="52" t="n">
        <v>46388</v>
      </c>
      <c r="I7" s="52" t="n">
        <v>46419</v>
      </c>
      <c r="J7" s="52" t="n">
        <v>46447</v>
      </c>
      <c r="K7" s="52" t="n">
        <v>46478</v>
      </c>
      <c r="L7" s="52" t="n">
        <v>46508</v>
      </c>
      <c r="M7" s="52" t="n">
        <v>46539</v>
      </c>
      <c r="N7" s="52" t="n">
        <v>46569</v>
      </c>
      <c r="O7" s="52" t="n">
        <v>46600</v>
      </c>
      <c r="P7" s="52" t="n">
        <v>46631</v>
      </c>
      <c r="Q7" s="52" t="n">
        <v>46661</v>
      </c>
      <c r="R7" s="52" t="n">
        <v>46692</v>
      </c>
      <c r="S7" s="52" t="n">
        <v>46722</v>
      </c>
      <c r="T7" s="52" t="n">
        <v>46753</v>
      </c>
      <c r="U7" s="52" t="n">
        <v>46784</v>
      </c>
      <c r="V7" s="52" t="n">
        <v>46813</v>
      </c>
      <c r="W7" s="52" t="n">
        <v>46844</v>
      </c>
      <c r="X7" s="52" t="n">
        <v>46874</v>
      </c>
      <c r="Y7" s="52" t="n">
        <v>46905</v>
      </c>
      <c r="Z7" s="52" t="n">
        <v>46935</v>
      </c>
      <c r="AA7" s="52" t="n">
        <v>46966</v>
      </c>
      <c r="AB7" s="52" t="n">
        <v>46997</v>
      </c>
      <c r="AC7" s="52" t="n">
        <v>47027</v>
      </c>
      <c r="AD7" s="52" t="n">
        <v>47058</v>
      </c>
      <c r="AE7" s="52" t="n">
        <v>47088</v>
      </c>
      <c r="AF7" s="52" t="n">
        <v>47119</v>
      </c>
      <c r="AG7" s="52" t="n">
        <v>47150</v>
      </c>
      <c r="AH7" s="52" t="n">
        <v>47178</v>
      </c>
      <c r="AI7" s="52" t="n">
        <v>47209</v>
      </c>
      <c r="AJ7" s="52" t="n">
        <v>47239</v>
      </c>
      <c r="AK7" s="52" t="n">
        <v>47270</v>
      </c>
      <c r="AL7" s="52" t="n">
        <v>47300</v>
      </c>
      <c r="AM7" s="52" t="n">
        <v>47331</v>
      </c>
      <c r="AN7" s="52" t="n">
        <v>47362</v>
      </c>
      <c r="AO7" s="52" t="n">
        <v>47392</v>
      </c>
      <c r="AP7" s="52" t="n">
        <v>47423</v>
      </c>
      <c r="AQ7" s="52" t="n">
        <v>47453</v>
      </c>
      <c r="AR7" s="52" t="n">
        <v>47484</v>
      </c>
      <c r="AS7" s="52" t="n">
        <v>47515</v>
      </c>
      <c r="AT7" s="52" t="n">
        <v>47543</v>
      </c>
      <c r="AU7" s="52" t="n">
        <v>47574</v>
      </c>
      <c r="AV7" s="52" t="n">
        <v>47604</v>
      </c>
      <c r="AW7" s="52" t="n">
        <v>47635</v>
      </c>
      <c r="AX7" s="52" t="n">
        <v>47665</v>
      </c>
      <c r="AY7" s="52" t="n">
        <v>47696</v>
      </c>
      <c r="AZ7" s="52" t="n">
        <v>47727</v>
      </c>
      <c r="BA7" s="52" t="n">
        <v>47757</v>
      </c>
      <c r="BB7" s="52" t="n">
        <v>47788</v>
      </c>
      <c r="BC7" s="52" t="n">
        <v>47818</v>
      </c>
      <c r="BD7" s="52" t="n">
        <v>47849</v>
      </c>
      <c r="BE7" s="52" t="n">
        <v>47880</v>
      </c>
      <c r="BF7" s="52" t="n">
        <v>47908</v>
      </c>
      <c r="BG7" s="52" t="n">
        <v>47939</v>
      </c>
      <c r="BH7" s="52" t="n">
        <v>47969</v>
      </c>
      <c r="BI7" s="52" t="n">
        <v>48000</v>
      </c>
      <c r="BJ7" s="52" t="n">
        <v>48030</v>
      </c>
      <c r="BK7" s="52" t="n">
        <v>48061</v>
      </c>
      <c r="BL7" s="52" t="n">
        <v>48092</v>
      </c>
      <c r="BM7" s="52" t="n">
        <v>48122</v>
      </c>
      <c r="BN7" s="52" t="n">
        <v>48153</v>
      </c>
      <c r="BO7" s="52" t="n">
        <v>48183</v>
      </c>
      <c r="BP7" s="52" t="n">
        <v>48214</v>
      </c>
      <c r="BQ7" s="52" t="n">
        <v>48245</v>
      </c>
      <c r="BR7" s="52" t="n">
        <v>48274</v>
      </c>
      <c r="BS7" s="52" t="n">
        <v>48305</v>
      </c>
      <c r="BT7" s="52" t="n">
        <v>48335</v>
      </c>
      <c r="BU7" s="52" t="n">
        <v>48366</v>
      </c>
      <c r="BV7" s="52" t="n">
        <v>48396</v>
      </c>
      <c r="BW7" s="52" t="n">
        <v>48427</v>
      </c>
      <c r="BX7" s="52" t="n">
        <v>48458</v>
      </c>
      <c r="BY7" s="52" t="n">
        <v>48488</v>
      </c>
      <c r="BZ7" s="52" t="n">
        <v>48519</v>
      </c>
      <c r="CA7" s="52" t="n">
        <v>48549</v>
      </c>
      <c r="CB7" s="52" t="n">
        <v>48580</v>
      </c>
      <c r="CC7" s="52" t="n">
        <v>48611</v>
      </c>
      <c r="CD7" s="52" t="n">
        <v>48639</v>
      </c>
      <c r="CE7" s="52" t="n">
        <v>48670</v>
      </c>
      <c r="CF7" s="52" t="n">
        <v>48700</v>
      </c>
      <c r="CG7" s="52" t="n">
        <v>48731</v>
      </c>
      <c r="CH7" s="52" t="n">
        <v>48761</v>
      </c>
      <c r="CI7" s="52" t="n">
        <v>48792</v>
      </c>
      <c r="CJ7" s="52" t="n">
        <v>48823</v>
      </c>
      <c r="CK7" s="52" t="n">
        <v>48853</v>
      </c>
      <c r="CL7" s="52" t="n">
        <v>48884</v>
      </c>
      <c r="CM7" s="52" t="n">
        <v>48914</v>
      </c>
      <c r="CN7" s="52" t="n">
        <v>48945</v>
      </c>
      <c r="CO7" s="52" t="n">
        <v>48976</v>
      </c>
      <c r="CP7" s="52" t="n">
        <v>49004</v>
      </c>
      <c r="CQ7" s="52" t="n">
        <v>49035</v>
      </c>
      <c r="CR7" s="52" t="n">
        <v>49065</v>
      </c>
      <c r="CS7" s="52" t="n">
        <v>49096</v>
      </c>
      <c r="CT7" s="52" t="n">
        <v>49126</v>
      </c>
      <c r="CU7" s="52" t="n">
        <v>49157</v>
      </c>
      <c r="CV7" s="52" t="n">
        <v>49188</v>
      </c>
      <c r="CW7" s="52" t="n">
        <v>49218</v>
      </c>
      <c r="CX7" s="52" t="n">
        <v>49249</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c r="BP8" s="2">
        <f>YEAR(BP7)</f>
        <v>2032</v>
      </c>
      <c r="BQ8" s="2">
        <f>YEAR(BQ7)</f>
        <v>2032</v>
      </c>
      <c r="BR8" s="2">
        <f>YEAR(BR7)</f>
        <v>2032</v>
      </c>
      <c r="BS8" s="2">
        <f>YEAR(BS7)</f>
        <v>2032</v>
      </c>
      <c r="BT8" s="2">
        <f>YEAR(BT7)</f>
        <v>2032</v>
      </c>
      <c r="BU8" s="2">
        <f>YEAR(BU7)</f>
        <v>2032</v>
      </c>
      <c r="BV8" s="2">
        <f>YEAR(BV7)</f>
        <v>2032</v>
      </c>
      <c r="BW8" s="2">
        <f>YEAR(BW7)</f>
        <v>2032</v>
      </c>
      <c r="BX8" s="2">
        <f>YEAR(BX7)</f>
        <v>2032</v>
      </c>
      <c r="BY8" s="2">
        <f>YEAR(BY7)</f>
        <v>2032</v>
      </c>
      <c r="BZ8" s="2">
        <f>YEAR(BZ7)</f>
        <v>2032</v>
      </c>
      <c r="CA8" s="2">
        <f>YEAR(CA7)</f>
        <v>2032</v>
      </c>
      <c r="CB8" s="2">
        <f>YEAR(CB7)</f>
        <v>2033</v>
      </c>
      <c r="CC8" s="2">
        <f>YEAR(CC7)</f>
        <v>2033</v>
      </c>
      <c r="CD8" s="2">
        <f>YEAR(CD7)</f>
        <v>2033</v>
      </c>
      <c r="CE8" s="2">
        <f>YEAR(CE7)</f>
        <v>2033</v>
      </c>
      <c r="CF8" s="2">
        <f>YEAR(CF7)</f>
        <v>2033</v>
      </c>
      <c r="CG8" s="2">
        <f>YEAR(CG7)</f>
        <v>2033</v>
      </c>
      <c r="CH8" s="2">
        <f>YEAR(CH7)</f>
        <v>2033</v>
      </c>
      <c r="CI8" s="2">
        <f>YEAR(CI7)</f>
        <v>2033</v>
      </c>
      <c r="CJ8" s="2">
        <f>YEAR(CJ7)</f>
        <v>2033</v>
      </c>
      <c r="CK8" s="2">
        <f>YEAR(CK7)</f>
        <v>2033</v>
      </c>
      <c r="CL8" s="2">
        <f>YEAR(CL7)</f>
        <v>2033</v>
      </c>
      <c r="CM8" s="2">
        <f>YEAR(CM7)</f>
        <v>2033</v>
      </c>
      <c r="CN8" s="2">
        <f>YEAR(CN7)</f>
        <v>2034</v>
      </c>
      <c r="CO8" s="2">
        <f>YEAR(CO7)</f>
        <v>2034</v>
      </c>
      <c r="CP8" s="2">
        <f>YEAR(CP7)</f>
        <v>2034</v>
      </c>
      <c r="CQ8" s="2">
        <f>YEAR(CQ7)</f>
        <v>2034</v>
      </c>
      <c r="CR8" s="2">
        <f>YEAR(CR7)</f>
        <v>2034</v>
      </c>
      <c r="CS8" s="2">
        <f>YEAR(CS7)</f>
        <v>2034</v>
      </c>
      <c r="CT8" s="2">
        <f>YEAR(CT7)</f>
        <v>2034</v>
      </c>
      <c r="CU8" s="2">
        <f>YEAR(CU7)</f>
        <v>2034</v>
      </c>
      <c r="CV8" s="2">
        <f>YEAR(CV7)</f>
        <v>2034</v>
      </c>
      <c r="CW8" s="2">
        <f>YEAR(CW7)</f>
        <v>2034</v>
      </c>
      <c r="CX8" s="2">
        <f>YEAR(CX7)</f>
        <v>2034</v>
      </c>
    </row>
    <row r="9" ht="22" customHeight="1">
      <c r="A9" s="2"/>
      <c r="B9" s="2"/>
      <c r="C9" s="2"/>
      <c r="D9" s="2"/>
      <c r="E9" s="2"/>
      <c r="F9" s="2"/>
      <c r="G9" s="2"/>
      <c r="H9" s="8">
        <f>ROUNDDOWN((MONTH(H7)-1)/'Inputs'!$E$68,0)+1</f>
        <v>1.0</v>
      </c>
      <c r="I9" s="8">
        <f>ROUNDDOWN((MONTH(I7)-1)/'Inputs'!$E$68,0)+1</f>
        <v>1.0</v>
      </c>
      <c r="J9" s="8">
        <f>ROUNDDOWN((MONTH(J7)-1)/'Inputs'!$E$68,0)+1</f>
        <v>1.0</v>
      </c>
      <c r="K9" s="8">
        <f>ROUNDDOWN((MONTH(K7)-1)/'Inputs'!$E$68,0)+1</f>
        <v>2.0</v>
      </c>
      <c r="L9" s="8">
        <f>ROUNDDOWN((MONTH(L7)-1)/'Inputs'!$E$68,0)+1</f>
        <v>2.0</v>
      </c>
      <c r="M9" s="8">
        <f>ROUNDDOWN((MONTH(M7)-1)/'Inputs'!$E$68,0)+1</f>
        <v>2.0</v>
      </c>
      <c r="N9" s="8">
        <f>ROUNDDOWN((MONTH(N7)-1)/'Inputs'!$E$68,0)+1</f>
        <v>3.0</v>
      </c>
      <c r="O9" s="8">
        <f>ROUNDDOWN((MONTH(O7)-1)/'Inputs'!$E$68,0)+1</f>
        <v>3.0</v>
      </c>
      <c r="P9" s="8">
        <f>ROUNDDOWN((MONTH(P7)-1)/'Inputs'!$E$68,0)+1</f>
        <v>3.0</v>
      </c>
      <c r="Q9" s="8">
        <f>ROUNDDOWN((MONTH(Q7)-1)/'Inputs'!$E$68,0)+1</f>
        <v>4.0</v>
      </c>
      <c r="R9" s="8">
        <f>ROUNDDOWN((MONTH(R7)-1)/'Inputs'!$E$68,0)+1</f>
        <v>4.0</v>
      </c>
      <c r="S9" s="8">
        <f>ROUNDDOWN((MONTH(S7)-1)/'Inputs'!$E$68,0)+1</f>
        <v>4.0</v>
      </c>
      <c r="T9" s="8">
        <f>ROUNDDOWN((MONTH(T7)-1)/'Inputs'!$E$68,0)+1</f>
        <v>1.0</v>
      </c>
      <c r="U9" s="8">
        <f>ROUNDDOWN((MONTH(U7)-1)/'Inputs'!$E$68,0)+1</f>
        <v>1.0</v>
      </c>
      <c r="V9" s="8">
        <f>ROUNDDOWN((MONTH(V7)-1)/'Inputs'!$E$68,0)+1</f>
        <v>1.0</v>
      </c>
      <c r="W9" s="8">
        <f>ROUNDDOWN((MONTH(W7)-1)/'Inputs'!$E$68,0)+1</f>
        <v>2.0</v>
      </c>
      <c r="X9" s="8">
        <f>ROUNDDOWN((MONTH(X7)-1)/'Inputs'!$E$68,0)+1</f>
        <v>2.0</v>
      </c>
      <c r="Y9" s="8">
        <f>ROUNDDOWN((MONTH(Y7)-1)/'Inputs'!$E$68,0)+1</f>
        <v>2.0</v>
      </c>
      <c r="Z9" s="8">
        <f>ROUNDDOWN((MONTH(Z7)-1)/'Inputs'!$E$68,0)+1</f>
        <v>3.0</v>
      </c>
      <c r="AA9" s="8">
        <f>ROUNDDOWN((MONTH(AA7)-1)/'Inputs'!$E$68,0)+1</f>
        <v>3.0</v>
      </c>
      <c r="AB9" s="8">
        <f>ROUNDDOWN((MONTH(AB7)-1)/'Inputs'!$E$68,0)+1</f>
        <v>3.0</v>
      </c>
      <c r="AC9" s="8">
        <f>ROUNDDOWN((MONTH(AC7)-1)/'Inputs'!$E$68,0)+1</f>
        <v>4.0</v>
      </c>
      <c r="AD9" s="8">
        <f>ROUNDDOWN((MONTH(AD7)-1)/'Inputs'!$E$68,0)+1</f>
        <v>4.0</v>
      </c>
      <c r="AE9" s="8">
        <f>ROUNDDOWN((MONTH(AE7)-1)/'Inputs'!$E$68,0)+1</f>
        <v>4.0</v>
      </c>
      <c r="AF9" s="8">
        <f>ROUNDDOWN((MONTH(AF7)-1)/'Inputs'!$E$68,0)+1</f>
        <v>1.0</v>
      </c>
      <c r="AG9" s="8">
        <f>ROUNDDOWN((MONTH(AG7)-1)/'Inputs'!$E$68,0)+1</f>
        <v>1.0</v>
      </c>
      <c r="AH9" s="8">
        <f>ROUNDDOWN((MONTH(AH7)-1)/'Inputs'!$E$68,0)+1</f>
        <v>1.0</v>
      </c>
      <c r="AI9" s="8">
        <f>ROUNDDOWN((MONTH(AI7)-1)/'Inputs'!$E$68,0)+1</f>
        <v>2.0</v>
      </c>
      <c r="AJ9" s="8">
        <f>ROUNDDOWN((MONTH(AJ7)-1)/'Inputs'!$E$68,0)+1</f>
        <v>2.0</v>
      </c>
      <c r="AK9" s="8">
        <f>ROUNDDOWN((MONTH(AK7)-1)/'Inputs'!$E$68,0)+1</f>
        <v>2.0</v>
      </c>
      <c r="AL9" s="8">
        <f>ROUNDDOWN((MONTH(AL7)-1)/'Inputs'!$E$68,0)+1</f>
        <v>3.0</v>
      </c>
      <c r="AM9" s="8">
        <f>ROUNDDOWN((MONTH(AM7)-1)/'Inputs'!$E$68,0)+1</f>
        <v>3.0</v>
      </c>
      <c r="AN9" s="8">
        <f>ROUNDDOWN((MONTH(AN7)-1)/'Inputs'!$E$68,0)+1</f>
        <v>3.0</v>
      </c>
      <c r="AO9" s="8">
        <f>ROUNDDOWN((MONTH(AO7)-1)/'Inputs'!$E$68,0)+1</f>
        <v>4.0</v>
      </c>
      <c r="AP9" s="8">
        <f>ROUNDDOWN((MONTH(AP7)-1)/'Inputs'!$E$68,0)+1</f>
        <v>4.0</v>
      </c>
      <c r="AQ9" s="8">
        <f>ROUNDDOWN((MONTH(AQ7)-1)/'Inputs'!$E$68,0)+1</f>
        <v>4.0</v>
      </c>
      <c r="AR9" s="8">
        <f>ROUNDDOWN((MONTH(AR7)-1)/'Inputs'!$E$68,0)+1</f>
        <v>1.0</v>
      </c>
      <c r="AS9" s="8">
        <f>ROUNDDOWN((MONTH(AS7)-1)/'Inputs'!$E$68,0)+1</f>
        <v>1.0</v>
      </c>
      <c r="AT9" s="8">
        <f>ROUNDDOWN((MONTH(AT7)-1)/'Inputs'!$E$68,0)+1</f>
        <v>1.0</v>
      </c>
      <c r="AU9" s="8">
        <f>ROUNDDOWN((MONTH(AU7)-1)/'Inputs'!$E$68,0)+1</f>
        <v>2.0</v>
      </c>
      <c r="AV9" s="8">
        <f>ROUNDDOWN((MONTH(AV7)-1)/'Inputs'!$E$68,0)+1</f>
        <v>2.0</v>
      </c>
      <c r="AW9" s="8">
        <f>ROUNDDOWN((MONTH(AW7)-1)/'Inputs'!$E$68,0)+1</f>
        <v>2.0</v>
      </c>
      <c r="AX9" s="8">
        <f>ROUNDDOWN((MONTH(AX7)-1)/'Inputs'!$E$68,0)+1</f>
        <v>3.0</v>
      </c>
      <c r="AY9" s="8">
        <f>ROUNDDOWN((MONTH(AY7)-1)/'Inputs'!$E$68,0)+1</f>
        <v>3.0</v>
      </c>
      <c r="AZ9" s="8">
        <f>ROUNDDOWN((MONTH(AZ7)-1)/'Inputs'!$E$68,0)+1</f>
        <v>3.0</v>
      </c>
      <c r="BA9" s="8">
        <f>ROUNDDOWN((MONTH(BA7)-1)/'Inputs'!$E$68,0)+1</f>
        <v>4.0</v>
      </c>
      <c r="BB9" s="8">
        <f>ROUNDDOWN((MONTH(BB7)-1)/'Inputs'!$E$68,0)+1</f>
        <v>4.0</v>
      </c>
      <c r="BC9" s="8">
        <f>ROUNDDOWN((MONTH(BC7)-1)/'Inputs'!$E$68,0)+1</f>
        <v>4.0</v>
      </c>
      <c r="BD9" s="8">
        <f>ROUNDDOWN((MONTH(BD7)-1)/'Inputs'!$E$68,0)+1</f>
        <v>1.0</v>
      </c>
      <c r="BE9" s="8">
        <f>ROUNDDOWN((MONTH(BE7)-1)/'Inputs'!$E$68,0)+1</f>
        <v>1.0</v>
      </c>
      <c r="BF9" s="8">
        <f>ROUNDDOWN((MONTH(BF7)-1)/'Inputs'!$E$68,0)+1</f>
        <v>1.0</v>
      </c>
      <c r="BG9" s="8">
        <f>ROUNDDOWN((MONTH(BG7)-1)/'Inputs'!$E$68,0)+1</f>
        <v>2.0</v>
      </c>
      <c r="BH9" s="8">
        <f>ROUNDDOWN((MONTH(BH7)-1)/'Inputs'!$E$68,0)+1</f>
        <v>2.0</v>
      </c>
      <c r="BI9" s="8">
        <f>ROUNDDOWN((MONTH(BI7)-1)/'Inputs'!$E$68,0)+1</f>
        <v>2.0</v>
      </c>
      <c r="BJ9" s="8">
        <f>ROUNDDOWN((MONTH(BJ7)-1)/'Inputs'!$E$68,0)+1</f>
        <v>3.0</v>
      </c>
      <c r="BK9" s="8">
        <f>ROUNDDOWN((MONTH(BK7)-1)/'Inputs'!$E$68,0)+1</f>
        <v>3.0</v>
      </c>
      <c r="BL9" s="8">
        <f>ROUNDDOWN((MONTH(BL7)-1)/'Inputs'!$E$68,0)+1</f>
        <v>3.0</v>
      </c>
      <c r="BM9" s="8">
        <f>ROUNDDOWN((MONTH(BM7)-1)/'Inputs'!$E$68,0)+1</f>
        <v>4.0</v>
      </c>
      <c r="BN9" s="8">
        <f>ROUNDDOWN((MONTH(BN7)-1)/'Inputs'!$E$68,0)+1</f>
        <v>4.0</v>
      </c>
      <c r="BO9" s="8">
        <f>ROUNDDOWN((MONTH(BO7)-1)/'Inputs'!$E$68,0)+1</f>
        <v>4.0</v>
      </c>
      <c r="BP9" s="8">
        <f>ROUNDDOWN((MONTH(BP7)-1)/'Inputs'!$E$68,0)+1</f>
        <v>1.0</v>
      </c>
      <c r="BQ9" s="8">
        <f>ROUNDDOWN((MONTH(BQ7)-1)/'Inputs'!$E$68,0)+1</f>
        <v>1.0</v>
      </c>
      <c r="BR9" s="8">
        <f>ROUNDDOWN((MONTH(BR7)-1)/'Inputs'!$E$68,0)+1</f>
        <v>1.0</v>
      </c>
      <c r="BS9" s="8">
        <f>ROUNDDOWN((MONTH(BS7)-1)/'Inputs'!$E$68,0)+1</f>
        <v>2.0</v>
      </c>
      <c r="BT9" s="8">
        <f>ROUNDDOWN((MONTH(BT7)-1)/'Inputs'!$E$68,0)+1</f>
        <v>2.0</v>
      </c>
      <c r="BU9" s="8">
        <f>ROUNDDOWN((MONTH(BU7)-1)/'Inputs'!$E$68,0)+1</f>
        <v>2.0</v>
      </c>
      <c r="BV9" s="8">
        <f>ROUNDDOWN((MONTH(BV7)-1)/'Inputs'!$E$68,0)+1</f>
        <v>3.0</v>
      </c>
      <c r="BW9" s="8">
        <f>ROUNDDOWN((MONTH(BW7)-1)/'Inputs'!$E$68,0)+1</f>
        <v>3.0</v>
      </c>
      <c r="BX9" s="8">
        <f>ROUNDDOWN((MONTH(BX7)-1)/'Inputs'!$E$68,0)+1</f>
        <v>3.0</v>
      </c>
      <c r="BY9" s="8">
        <f>ROUNDDOWN((MONTH(BY7)-1)/'Inputs'!$E$68,0)+1</f>
        <v>4.0</v>
      </c>
      <c r="BZ9" s="8">
        <f>ROUNDDOWN((MONTH(BZ7)-1)/'Inputs'!$E$68,0)+1</f>
        <v>4.0</v>
      </c>
      <c r="CA9" s="8">
        <f>ROUNDDOWN((MONTH(CA7)-1)/'Inputs'!$E$68,0)+1</f>
        <v>4.0</v>
      </c>
      <c r="CB9" s="8">
        <f>ROUNDDOWN((MONTH(CB7)-1)/'Inputs'!$E$68,0)+1</f>
        <v>1.0</v>
      </c>
      <c r="CC9" s="8">
        <f>ROUNDDOWN((MONTH(CC7)-1)/'Inputs'!$E$68,0)+1</f>
        <v>1.0</v>
      </c>
      <c r="CD9" s="8">
        <f>ROUNDDOWN((MONTH(CD7)-1)/'Inputs'!$E$68,0)+1</f>
        <v>1.0</v>
      </c>
      <c r="CE9" s="8">
        <f>ROUNDDOWN((MONTH(CE7)-1)/'Inputs'!$E$68,0)+1</f>
        <v>2.0</v>
      </c>
      <c r="CF9" s="8">
        <f>ROUNDDOWN((MONTH(CF7)-1)/'Inputs'!$E$68,0)+1</f>
        <v>2.0</v>
      </c>
      <c r="CG9" s="8">
        <f>ROUNDDOWN((MONTH(CG7)-1)/'Inputs'!$E$68,0)+1</f>
        <v>2.0</v>
      </c>
      <c r="CH9" s="8">
        <f>ROUNDDOWN((MONTH(CH7)-1)/'Inputs'!$E$68,0)+1</f>
        <v>3.0</v>
      </c>
      <c r="CI9" s="8">
        <f>ROUNDDOWN((MONTH(CI7)-1)/'Inputs'!$E$68,0)+1</f>
        <v>3.0</v>
      </c>
      <c r="CJ9" s="8">
        <f>ROUNDDOWN((MONTH(CJ7)-1)/'Inputs'!$E$68,0)+1</f>
        <v>3.0</v>
      </c>
      <c r="CK9" s="8">
        <f>ROUNDDOWN((MONTH(CK7)-1)/'Inputs'!$E$68,0)+1</f>
        <v>4.0</v>
      </c>
      <c r="CL9" s="8">
        <f>ROUNDDOWN((MONTH(CL7)-1)/'Inputs'!$E$68,0)+1</f>
        <v>4.0</v>
      </c>
      <c r="CM9" s="8">
        <f>ROUNDDOWN((MONTH(CM7)-1)/'Inputs'!$E$68,0)+1</f>
        <v>4.0</v>
      </c>
      <c r="CN9" s="8">
        <f>ROUNDDOWN((MONTH(CN7)-1)/'Inputs'!$E$68,0)+1</f>
        <v>1.0</v>
      </c>
      <c r="CO9" s="8">
        <f>ROUNDDOWN((MONTH(CO7)-1)/'Inputs'!$E$68,0)+1</f>
        <v>1.0</v>
      </c>
      <c r="CP9" s="8">
        <f>ROUNDDOWN((MONTH(CP7)-1)/'Inputs'!$E$68,0)+1</f>
        <v>1.0</v>
      </c>
      <c r="CQ9" s="8">
        <f>ROUNDDOWN((MONTH(CQ7)-1)/'Inputs'!$E$68,0)+1</f>
        <v>2.0</v>
      </c>
      <c r="CR9" s="8">
        <f>ROUNDDOWN((MONTH(CR7)-1)/'Inputs'!$E$68,0)+1</f>
        <v>2.0</v>
      </c>
      <c r="CS9" s="8">
        <f>ROUNDDOWN((MONTH(CS7)-1)/'Inputs'!$E$68,0)+1</f>
        <v>2.0</v>
      </c>
      <c r="CT9" s="8">
        <f>ROUNDDOWN((MONTH(CT7)-1)/'Inputs'!$E$68,0)+1</f>
        <v>3.0</v>
      </c>
      <c r="CU9" s="8">
        <f>ROUNDDOWN((MONTH(CU7)-1)/'Inputs'!$E$68,0)+1</f>
        <v>3.0</v>
      </c>
      <c r="CV9" s="8">
        <f>ROUNDDOWN((MONTH(CV7)-1)/'Inputs'!$E$68,0)+1</f>
        <v>3.0</v>
      </c>
      <c r="CW9" s="8">
        <f>ROUNDDOWN((MONTH(CW7)-1)/'Inputs'!$E$68,0)+1</f>
        <v>4.0</v>
      </c>
      <c r="CX9" s="8">
        <f>ROUNDDOWN((MONTH(CX7)-1)/'Inputs'!$E$68,0)+1</f>
        <v>4.0</v>
      </c>
    </row>
    <row r="10" ht="34" customHeight="1">
      <c r="A10" s="34" t="str">
        <v>Row ID</v>
      </c>
      <c r="B10" s="34" t="str">
        <v>Label</v>
      </c>
      <c r="C10" s="34" t="str">
        <v>Unit</v>
      </c>
      <c r="D10" s="34" t="str">
        <v>Reducer</v>
      </c>
      <c r="E10" s="34" t="str">
        <v>Total / closing</v>
      </c>
      <c r="F10" s="34" t="str">
        <v>Note / source</v>
      </c>
      <c r="G10" s="34" t="str">
        <v>Spacer</v>
      </c>
      <c r="H10" s="34" t="str">
        <v>M1</v>
      </c>
      <c r="I10" s="34" t="str">
        <v>M2</v>
      </c>
      <c r="J10" s="34" t="str">
        <v>M3</v>
      </c>
      <c r="K10" s="34" t="str">
        <v>M4</v>
      </c>
      <c r="L10" s="34" t="str">
        <v>M5</v>
      </c>
      <c r="M10" s="34" t="str">
        <v>M6</v>
      </c>
      <c r="N10" s="34" t="str">
        <v>M7</v>
      </c>
      <c r="O10" s="34" t="str">
        <v>M8</v>
      </c>
      <c r="P10" s="34" t="str">
        <v>M9</v>
      </c>
      <c r="Q10" s="34" t="str">
        <v>M10</v>
      </c>
      <c r="R10" s="34" t="str">
        <v>M11</v>
      </c>
      <c r="S10" s="34" t="str">
        <v>M12</v>
      </c>
      <c r="T10" s="34" t="str">
        <v>M13</v>
      </c>
      <c r="U10" s="34" t="str">
        <v>M14</v>
      </c>
      <c r="V10" s="34" t="str">
        <v>M15</v>
      </c>
      <c r="W10" s="34" t="str">
        <v>M16</v>
      </c>
      <c r="X10" s="34" t="str">
        <v>M17</v>
      </c>
      <c r="Y10" s="34" t="str">
        <v>M18</v>
      </c>
      <c r="Z10" s="34" t="str">
        <v>M19</v>
      </c>
      <c r="AA10" s="34" t="str">
        <v>M20</v>
      </c>
      <c r="AB10" s="34" t="str">
        <v>M21</v>
      </c>
      <c r="AC10" s="34" t="str">
        <v>M22</v>
      </c>
      <c r="AD10" s="34" t="str">
        <v>M23</v>
      </c>
      <c r="AE10" s="34" t="str">
        <v>M24</v>
      </c>
      <c r="AF10" s="34" t="str">
        <v>M25</v>
      </c>
      <c r="AG10" s="34" t="str">
        <v>M26</v>
      </c>
      <c r="AH10" s="34" t="str">
        <v>M27</v>
      </c>
      <c r="AI10" s="34" t="str">
        <v>M28</v>
      </c>
      <c r="AJ10" s="34" t="str">
        <v>M29</v>
      </c>
      <c r="AK10" s="34" t="str">
        <v>M30</v>
      </c>
      <c r="AL10" s="34" t="str">
        <v>M31</v>
      </c>
      <c r="AM10" s="34" t="str">
        <v>M32</v>
      </c>
      <c r="AN10" s="34" t="str">
        <v>M33</v>
      </c>
      <c r="AO10" s="34" t="str">
        <v>M34</v>
      </c>
      <c r="AP10" s="34" t="str">
        <v>M35</v>
      </c>
      <c r="AQ10" s="34" t="str">
        <v>M36</v>
      </c>
      <c r="AR10" s="34" t="str">
        <v>M37</v>
      </c>
      <c r="AS10" s="34" t="str">
        <v>M38</v>
      </c>
      <c r="AT10" s="34" t="str">
        <v>M39</v>
      </c>
      <c r="AU10" s="34" t="str">
        <v>M40</v>
      </c>
      <c r="AV10" s="34" t="str">
        <v>M41</v>
      </c>
      <c r="AW10" s="34" t="str">
        <v>M42</v>
      </c>
      <c r="AX10" s="34" t="str">
        <v>M43</v>
      </c>
      <c r="AY10" s="34" t="str">
        <v>M44</v>
      </c>
      <c r="AZ10" s="34" t="str">
        <v>M45</v>
      </c>
      <c r="BA10" s="34" t="str">
        <v>M46</v>
      </c>
      <c r="BB10" s="34" t="str">
        <v>M47</v>
      </c>
      <c r="BC10" s="34" t="str">
        <v>M48</v>
      </c>
      <c r="BD10" s="34" t="str">
        <v>M49</v>
      </c>
      <c r="BE10" s="34" t="str">
        <v>M50</v>
      </c>
      <c r="BF10" s="34" t="str">
        <v>M51</v>
      </c>
      <c r="BG10" s="34" t="str">
        <v>M52</v>
      </c>
      <c r="BH10" s="34" t="str">
        <v>M53</v>
      </c>
      <c r="BI10" s="34" t="str">
        <v>M54</v>
      </c>
      <c r="BJ10" s="34" t="str">
        <v>M55</v>
      </c>
      <c r="BK10" s="34" t="str">
        <v>M56</v>
      </c>
      <c r="BL10" s="34" t="str">
        <v>M57</v>
      </c>
      <c r="BM10" s="34" t="str">
        <v>M58</v>
      </c>
      <c r="BN10" s="34" t="str">
        <v>M59</v>
      </c>
      <c r="BO10" s="34" t="str">
        <v>M60</v>
      </c>
      <c r="BP10" s="34" t="str">
        <v>M61</v>
      </c>
      <c r="BQ10" s="34" t="str">
        <v>M62</v>
      </c>
      <c r="BR10" s="34" t="str">
        <v>M63</v>
      </c>
      <c r="BS10" s="34" t="str">
        <v>M64</v>
      </c>
      <c r="BT10" s="34" t="str">
        <v>M65</v>
      </c>
      <c r="BU10" s="34" t="str">
        <v>M66</v>
      </c>
      <c r="BV10" s="34" t="str">
        <v>M67</v>
      </c>
      <c r="BW10" s="34" t="str">
        <v>M68</v>
      </c>
      <c r="BX10" s="34" t="str">
        <v>M69</v>
      </c>
      <c r="BY10" s="34" t="str">
        <v>M70</v>
      </c>
      <c r="BZ10" s="34" t="str">
        <v>M71</v>
      </c>
      <c r="CA10" s="34" t="str">
        <v>M72</v>
      </c>
      <c r="CB10" s="34" t="str">
        <v>M73</v>
      </c>
      <c r="CC10" s="34" t="str">
        <v>M74</v>
      </c>
      <c r="CD10" s="34" t="str">
        <v>M75</v>
      </c>
      <c r="CE10" s="34" t="str">
        <v>M76</v>
      </c>
      <c r="CF10" s="34" t="str">
        <v>M77</v>
      </c>
      <c r="CG10" s="34" t="str">
        <v>M78</v>
      </c>
      <c r="CH10" s="34" t="str">
        <v>M79</v>
      </c>
      <c r="CI10" s="34" t="str">
        <v>M80</v>
      </c>
      <c r="CJ10" s="34" t="str">
        <v>M81</v>
      </c>
      <c r="CK10" s="34" t="str">
        <v>M82</v>
      </c>
      <c r="CL10" s="34" t="str">
        <v>M83</v>
      </c>
      <c r="CM10" s="34" t="str">
        <v>M84</v>
      </c>
      <c r="CN10" s="34" t="str">
        <v>M85</v>
      </c>
      <c r="CO10" s="34" t="str">
        <v>M86</v>
      </c>
      <c r="CP10" s="34" t="str">
        <v>M87</v>
      </c>
      <c r="CQ10" s="34" t="str">
        <v>M88</v>
      </c>
      <c r="CR10" s="34" t="str">
        <v>M89</v>
      </c>
      <c r="CS10" s="34" t="str">
        <v>M90</v>
      </c>
      <c r="CT10" s="34" t="str">
        <v>M91</v>
      </c>
      <c r="CU10" s="34" t="str">
        <v>M92</v>
      </c>
      <c r="CV10" s="34" t="str">
        <v>M93</v>
      </c>
      <c r="CW10" s="34" t="str">
        <v>M94</v>
      </c>
      <c r="CX10" s="34" t="str">
        <v>M95</v>
      </c>
    </row>
    <row r="11" ht="28" customHeight="1">
      <c r="A11" s="2" t="str">
        <v>CAC.PAID</v>
      </c>
      <c r="B11" s="6" t="str">
        <v>Paid cohort-attributed CAC</v>
      </c>
      <c r="C11" s="2" t="str">
        <v>EUR_per_user</v>
      </c>
      <c r="D11" s="2" t="str">
        <v>NA</v>
      </c>
      <c r="E11" s="2"/>
      <c r="F11" s="6" t="str">
        <v>D10 Unit_Economics!Q13 (UE.CAC.PAID), Base, frozen 13 October 2026</v>
      </c>
      <c r="G11" s="2"/>
      <c r="H11" s="35" t="n">
        <v>0</v>
      </c>
      <c r="I11" s="35" t="n">
        <v>0</v>
      </c>
      <c r="J11" s="35" t="n">
        <v>0</v>
      </c>
      <c r="K11" s="35" t="n">
        <v>0</v>
      </c>
      <c r="L11" s="35" t="n">
        <v>0</v>
      </c>
      <c r="M11" s="35" t="n">
        <v>0</v>
      </c>
      <c r="N11" s="35" t="n">
        <v>0</v>
      </c>
      <c r="O11" s="35" t="n">
        <v>0</v>
      </c>
      <c r="P11" s="35" t="n">
        <v>0</v>
      </c>
      <c r="Q11" s="35" t="n">
        <v>104.46343779677113</v>
      </c>
      <c r="R11" s="35" t="n">
        <v>104.46343779677113</v>
      </c>
      <c r="S11" s="35" t="n">
        <v>104.46343779677113</v>
      </c>
      <c r="T11" s="35" t="n">
        <v>104.46343779677112</v>
      </c>
      <c r="U11" s="35" t="n">
        <v>104.46343779677112</v>
      </c>
      <c r="V11" s="35" t="n">
        <v>104.46343779677112</v>
      </c>
      <c r="W11" s="35" t="n">
        <v>104.46343779677112</v>
      </c>
      <c r="X11" s="35" t="n">
        <v>104.46343779677112</v>
      </c>
      <c r="Y11" s="35" t="n">
        <v>104.46343779677112</v>
      </c>
      <c r="Z11" s="35" t="n">
        <v>104.46343779677112</v>
      </c>
      <c r="AA11" s="35" t="n">
        <v>104.46343779677112</v>
      </c>
      <c r="AB11" s="35" t="n">
        <v>104.46343779677112</v>
      </c>
      <c r="AC11" s="35" t="n">
        <v>104.46343779677112</v>
      </c>
      <c r="AD11" s="35" t="n">
        <v>104.46343779677112</v>
      </c>
      <c r="AE11" s="35" t="n">
        <v>104.46343779677112</v>
      </c>
      <c r="AF11" s="35" t="n">
        <v>104.4634377967711</v>
      </c>
      <c r="AG11" s="35" t="n">
        <v>104.4634377967711</v>
      </c>
      <c r="AH11" s="35" t="n">
        <v>104.4634377967711</v>
      </c>
      <c r="AI11" s="35" t="n">
        <v>104.4634377967711</v>
      </c>
      <c r="AJ11" s="35" t="n">
        <v>104.4634377967711</v>
      </c>
      <c r="AK11" s="35" t="n">
        <v>104.4634377967711</v>
      </c>
      <c r="AL11" s="35" t="n">
        <v>104.4634377967711</v>
      </c>
      <c r="AM11" s="35" t="n">
        <v>104.4634377967711</v>
      </c>
      <c r="AN11" s="35" t="n">
        <v>104.4634377967711</v>
      </c>
      <c r="AO11" s="35" t="n">
        <v>104.4634377967711</v>
      </c>
      <c r="AP11" s="35" t="n">
        <v>104.4634377967711</v>
      </c>
      <c r="AQ11" s="35" t="n">
        <v>104.4634377967711</v>
      </c>
      <c r="AR11" s="35" t="n">
        <v>104.46343779677112</v>
      </c>
      <c r="AS11" s="35" t="n">
        <v>104.46343779677112</v>
      </c>
      <c r="AT11" s="35" t="n">
        <v>104.46343779677112</v>
      </c>
      <c r="AU11" s="35" t="n">
        <v>104.46343779677112</v>
      </c>
      <c r="AV11" s="35" t="n">
        <v>104.46343779677112</v>
      </c>
      <c r="AW11" s="35" t="n">
        <v>104.46343779677112</v>
      </c>
      <c r="AX11" s="35" t="n">
        <v>104.46343779677112</v>
      </c>
      <c r="AY11" s="35" t="n">
        <v>104.46343779677112</v>
      </c>
      <c r="AZ11" s="35" t="n">
        <v>104.46343779677112</v>
      </c>
      <c r="BA11" s="35" t="n">
        <v>104.46343779677112</v>
      </c>
      <c r="BB11" s="35" t="n">
        <v>104.46343779677112</v>
      </c>
      <c r="BC11" s="35" t="n">
        <v>104.46343779677112</v>
      </c>
      <c r="BD11" s="35" t="n">
        <v>104.46343779677112</v>
      </c>
      <c r="BE11" s="35" t="n">
        <v>104.46343779677112</v>
      </c>
      <c r="BF11" s="35" t="n">
        <v>104.46343779677112</v>
      </c>
      <c r="BG11" s="35" t="n">
        <v>104.46343779677112</v>
      </c>
      <c r="BH11" s="35" t="n">
        <v>104.46343779677112</v>
      </c>
      <c r="BI11" s="35" t="n">
        <v>104.46343779677112</v>
      </c>
      <c r="BJ11" s="35" t="n">
        <v>104.46343779677112</v>
      </c>
      <c r="BK11" s="35" t="n">
        <v>104.46343779677112</v>
      </c>
      <c r="BL11" s="35" t="n">
        <v>104.46343779677112</v>
      </c>
      <c r="BM11" s="35" t="n">
        <v>104.46343779677112</v>
      </c>
      <c r="BN11" s="35" t="n">
        <v>104.46343779677112</v>
      </c>
      <c r="BO11" s="35" t="n">
        <v>104.46343779677112</v>
      </c>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row>
    <row r="12" ht="22" customHeight="1">
      <c r="A12" s="2" t="str">
        <v>ARRIVALS.PAID</v>
      </c>
      <c r="B12" s="6" t="str">
        <v>Paid original connected arrivals</v>
      </c>
      <c r="C12" s="2" t="str">
        <v>count</v>
      </c>
      <c r="D12" s="2" t="str">
        <v>NA</v>
      </c>
      <c r="E12" s="2"/>
      <c r="F12" s="6" t="str">
        <v>D10 Acquisition!Q16 (ACQ.NEW.PAID), Base, frozen 13 October 2026</v>
      </c>
      <c r="G12" s="2"/>
      <c r="H12" s="37" t="n">
        <v>0</v>
      </c>
      <c r="I12" s="37" t="n">
        <v>0</v>
      </c>
      <c r="J12" s="37" t="n">
        <v>0</v>
      </c>
      <c r="K12" s="37" t="n">
        <v>0</v>
      </c>
      <c r="L12" s="37" t="n">
        <v>0</v>
      </c>
      <c r="M12" s="37" t="n">
        <v>0</v>
      </c>
      <c r="N12" s="37" t="n">
        <v>0</v>
      </c>
      <c r="O12" s="37" t="n">
        <v>0</v>
      </c>
      <c r="P12" s="37" t="n">
        <v>0</v>
      </c>
      <c r="Q12" s="37" t="n">
        <v>574.3636363636364</v>
      </c>
      <c r="R12" s="37" t="n">
        <v>478.6363636363636</v>
      </c>
      <c r="S12" s="37" t="n">
        <v>478.6363636363636</v>
      </c>
      <c r="T12" s="37" t="n">
        <v>765.8181818181819</v>
      </c>
      <c r="U12" s="37" t="n">
        <v>765.8181818181819</v>
      </c>
      <c r="V12" s="37" t="n">
        <v>765.8181818181819</v>
      </c>
      <c r="W12" s="37" t="n">
        <v>765.8181818181819</v>
      </c>
      <c r="X12" s="37" t="n">
        <v>765.8181818181819</v>
      </c>
      <c r="Y12" s="37" t="n">
        <v>765.8181818181819</v>
      </c>
      <c r="Z12" s="37" t="n">
        <v>765.8181818181819</v>
      </c>
      <c r="AA12" s="37" t="n">
        <v>765.8181818181819</v>
      </c>
      <c r="AB12" s="37" t="n">
        <v>765.8181818181819</v>
      </c>
      <c r="AC12" s="37" t="n">
        <v>765.8181818181819</v>
      </c>
      <c r="AD12" s="37" t="n">
        <v>765.8181818181819</v>
      </c>
      <c r="AE12" s="37" t="n">
        <v>765.8181818181819</v>
      </c>
      <c r="AF12" s="37" t="n">
        <v>1148.727272727273</v>
      </c>
      <c r="AG12" s="37" t="n">
        <v>1148.727272727273</v>
      </c>
      <c r="AH12" s="37" t="n">
        <v>1148.727272727273</v>
      </c>
      <c r="AI12" s="37" t="n">
        <v>1148.727272727273</v>
      </c>
      <c r="AJ12" s="37" t="n">
        <v>1148.727272727273</v>
      </c>
      <c r="AK12" s="37" t="n">
        <v>1148.727272727273</v>
      </c>
      <c r="AL12" s="37" t="n">
        <v>1148.727272727273</v>
      </c>
      <c r="AM12" s="37" t="n">
        <v>1148.727272727273</v>
      </c>
      <c r="AN12" s="37" t="n">
        <v>1148.727272727273</v>
      </c>
      <c r="AO12" s="37" t="n">
        <v>1148.727272727273</v>
      </c>
      <c r="AP12" s="37" t="n">
        <v>1148.727272727273</v>
      </c>
      <c r="AQ12" s="37" t="n">
        <v>1148.727272727273</v>
      </c>
      <c r="AR12" s="37" t="n">
        <v>1435.909090909091</v>
      </c>
      <c r="AS12" s="37" t="n">
        <v>1435.909090909091</v>
      </c>
      <c r="AT12" s="37" t="n">
        <v>1435.909090909091</v>
      </c>
      <c r="AU12" s="37" t="n">
        <v>1435.909090909091</v>
      </c>
      <c r="AV12" s="37" t="n">
        <v>1435.909090909091</v>
      </c>
      <c r="AW12" s="37" t="n">
        <v>1435.909090909091</v>
      </c>
      <c r="AX12" s="37" t="n">
        <v>1435.909090909091</v>
      </c>
      <c r="AY12" s="37" t="n">
        <v>1435.909090909091</v>
      </c>
      <c r="AZ12" s="37" t="n">
        <v>1435.909090909091</v>
      </c>
      <c r="BA12" s="37" t="n">
        <v>1435.909090909091</v>
      </c>
      <c r="BB12" s="37" t="n">
        <v>1435.909090909091</v>
      </c>
      <c r="BC12" s="37" t="n">
        <v>1435.909090909091</v>
      </c>
      <c r="BD12" s="37" t="n">
        <v>1435.909090909091</v>
      </c>
      <c r="BE12" s="37" t="n">
        <v>1435.909090909091</v>
      </c>
      <c r="BF12" s="37" t="n">
        <v>1435.909090909091</v>
      </c>
      <c r="BG12" s="37" t="n">
        <v>1435.909090909091</v>
      </c>
      <c r="BH12" s="37" t="n">
        <v>1435.909090909091</v>
      </c>
      <c r="BI12" s="37" t="n">
        <v>1435.909090909091</v>
      </c>
      <c r="BJ12" s="37" t="n">
        <v>1435.909090909091</v>
      </c>
      <c r="BK12" s="37" t="n">
        <v>1435.909090909091</v>
      </c>
      <c r="BL12" s="37" t="n">
        <v>1435.909090909091</v>
      </c>
      <c r="BM12" s="37" t="n">
        <v>1435.909090909091</v>
      </c>
      <c r="BN12" s="37" t="n">
        <v>1435.909090909091</v>
      </c>
      <c r="BO12" s="37" t="n">
        <v>1435.909090909091</v>
      </c>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row>
    <row r="13" ht="28" customHeight="1">
      <c r="A13" s="2" t="str">
        <v>CAC.ORGANIC</v>
      </c>
      <c r="B13" s="6" t="str">
        <v>Organic cohort-attributed CAC</v>
      </c>
      <c r="C13" s="2" t="str">
        <v>EUR_per_user</v>
      </c>
      <c r="D13" s="2" t="str">
        <v>NA</v>
      </c>
      <c r="E13" s="2"/>
      <c r="F13" s="6" t="str">
        <v>D10 Unit_Economics!Q16 (UE.CAC.ORGANIC), Base, frozen 13 October 2026</v>
      </c>
      <c r="G13" s="2"/>
      <c r="H13" s="35" t="n">
        <v>0</v>
      </c>
      <c r="I13" s="35" t="n">
        <v>0</v>
      </c>
      <c r="J13" s="35" t="n">
        <v>0</v>
      </c>
      <c r="K13" s="35" t="n">
        <v>0</v>
      </c>
      <c r="L13" s="35" t="n">
        <v>0</v>
      </c>
      <c r="M13" s="35" t="n">
        <v>0</v>
      </c>
      <c r="N13" s="35" t="n">
        <v>0</v>
      </c>
      <c r="O13" s="35" t="n">
        <v>0</v>
      </c>
      <c r="P13" s="35" t="n">
        <v>0</v>
      </c>
      <c r="Q13" s="35" t="n">
        <v>8.705286483064262</v>
      </c>
      <c r="R13" s="35" t="n">
        <v>10.446343779677113</v>
      </c>
      <c r="S13" s="35" t="n">
        <v>10.446343779677113</v>
      </c>
      <c r="T13" s="35" t="n">
        <v>13.05792972459639</v>
      </c>
      <c r="U13" s="35" t="n">
        <v>13.05792972459639</v>
      </c>
      <c r="V13" s="35" t="n">
        <v>13.05792972459639</v>
      </c>
      <c r="W13" s="35" t="n">
        <v>13.05792972459639</v>
      </c>
      <c r="X13" s="35" t="n">
        <v>13.05792972459639</v>
      </c>
      <c r="Y13" s="35" t="n">
        <v>13.05792972459639</v>
      </c>
      <c r="Z13" s="35" t="n">
        <v>13.05792972459639</v>
      </c>
      <c r="AA13" s="35" t="n">
        <v>13.05792972459639</v>
      </c>
      <c r="AB13" s="35" t="n">
        <v>13.05792972459639</v>
      </c>
      <c r="AC13" s="35" t="n">
        <v>13.05792972459639</v>
      </c>
      <c r="AD13" s="35" t="n">
        <v>13.05792972459639</v>
      </c>
      <c r="AE13" s="35" t="n">
        <v>13.05792972459639</v>
      </c>
      <c r="AF13" s="35" t="n">
        <v>11.607048644085678</v>
      </c>
      <c r="AG13" s="35" t="n">
        <v>11.607048644085678</v>
      </c>
      <c r="AH13" s="35" t="n">
        <v>11.607048644085678</v>
      </c>
      <c r="AI13" s="35" t="n">
        <v>11.607048644085678</v>
      </c>
      <c r="AJ13" s="35" t="n">
        <v>11.607048644085678</v>
      </c>
      <c r="AK13" s="35" t="n">
        <v>11.607048644085678</v>
      </c>
      <c r="AL13" s="35" t="n">
        <v>11.607048644085678</v>
      </c>
      <c r="AM13" s="35" t="n">
        <v>11.607048644085678</v>
      </c>
      <c r="AN13" s="35" t="n">
        <v>11.607048644085678</v>
      </c>
      <c r="AO13" s="35" t="n">
        <v>11.607048644085678</v>
      </c>
      <c r="AP13" s="35" t="n">
        <v>11.607048644085678</v>
      </c>
      <c r="AQ13" s="35" t="n">
        <v>11.607048644085678</v>
      </c>
      <c r="AR13" s="35" t="n">
        <v>11.60704864408568</v>
      </c>
      <c r="AS13" s="35" t="n">
        <v>11.60704864408568</v>
      </c>
      <c r="AT13" s="35" t="n">
        <v>11.60704864408568</v>
      </c>
      <c r="AU13" s="35" t="n">
        <v>11.60704864408568</v>
      </c>
      <c r="AV13" s="35" t="n">
        <v>11.60704864408568</v>
      </c>
      <c r="AW13" s="35" t="n">
        <v>11.60704864408568</v>
      </c>
      <c r="AX13" s="35" t="n">
        <v>11.60704864408568</v>
      </c>
      <c r="AY13" s="35" t="n">
        <v>11.60704864408568</v>
      </c>
      <c r="AZ13" s="35" t="n">
        <v>11.60704864408568</v>
      </c>
      <c r="BA13" s="35" t="n">
        <v>11.60704864408568</v>
      </c>
      <c r="BB13" s="35" t="n">
        <v>11.60704864408568</v>
      </c>
      <c r="BC13" s="35" t="n">
        <v>11.60704864408568</v>
      </c>
      <c r="BD13" s="35" t="n">
        <v>11.60704864408568</v>
      </c>
      <c r="BE13" s="35" t="n">
        <v>11.60704864408568</v>
      </c>
      <c r="BF13" s="35" t="n">
        <v>11.60704864408568</v>
      </c>
      <c r="BG13" s="35" t="n">
        <v>11.60704864408568</v>
      </c>
      <c r="BH13" s="35" t="n">
        <v>11.60704864408568</v>
      </c>
      <c r="BI13" s="35" t="n">
        <v>11.60704864408568</v>
      </c>
      <c r="BJ13" s="35" t="n">
        <v>11.60704864408568</v>
      </c>
      <c r="BK13" s="35" t="n">
        <v>11.60704864408568</v>
      </c>
      <c r="BL13" s="35" t="n">
        <v>11.60704864408568</v>
      </c>
      <c r="BM13" s="35" t="n">
        <v>11.60704864408568</v>
      </c>
      <c r="BN13" s="35" t="n">
        <v>11.60704864408568</v>
      </c>
      <c r="BO13" s="35" t="n">
        <v>11.60704864408568</v>
      </c>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row>
    <row r="14" ht="28" customHeight="1">
      <c r="A14" s="2" t="str">
        <v>ARRIVALS.ORGANIC</v>
      </c>
      <c r="B14" s="6" t="str">
        <v>Organic original connected arrivals</v>
      </c>
      <c r="C14" s="2" t="str">
        <v>count</v>
      </c>
      <c r="D14" s="2" t="str">
        <v>NA</v>
      </c>
      <c r="E14" s="2"/>
      <c r="F14" s="6" t="str">
        <v>D10 Acquisition!Q17 (ACQ.NEW.ORGANIC), Base, frozen 13 October 2026</v>
      </c>
      <c r="G14" s="2"/>
      <c r="H14" s="37" t="n">
        <v>0</v>
      </c>
      <c r="I14" s="37" t="n">
        <v>0</v>
      </c>
      <c r="J14" s="37" t="n">
        <v>0</v>
      </c>
      <c r="K14" s="37" t="n">
        <v>0</v>
      </c>
      <c r="L14" s="37" t="n">
        <v>0</v>
      </c>
      <c r="M14" s="37" t="n">
        <v>0</v>
      </c>
      <c r="N14" s="37" t="n">
        <v>0</v>
      </c>
      <c r="O14" s="37" t="n">
        <v>0</v>
      </c>
      <c r="P14" s="37" t="n">
        <v>0</v>
      </c>
      <c r="Q14" s="37" t="n">
        <v>574.3636363636364</v>
      </c>
      <c r="R14" s="37" t="n">
        <v>478.6363636363636</v>
      </c>
      <c r="S14" s="37" t="n">
        <v>478.6363636363636</v>
      </c>
      <c r="T14" s="37" t="n">
        <v>765.8181818181819</v>
      </c>
      <c r="U14" s="37" t="n">
        <v>765.8181818181819</v>
      </c>
      <c r="V14" s="37" t="n">
        <v>765.8181818181819</v>
      </c>
      <c r="W14" s="37" t="n">
        <v>765.8181818181819</v>
      </c>
      <c r="X14" s="37" t="n">
        <v>765.8181818181819</v>
      </c>
      <c r="Y14" s="37" t="n">
        <v>765.8181818181819</v>
      </c>
      <c r="Z14" s="37" t="n">
        <v>765.8181818181819</v>
      </c>
      <c r="AA14" s="37" t="n">
        <v>765.8181818181819</v>
      </c>
      <c r="AB14" s="37" t="n">
        <v>765.8181818181819</v>
      </c>
      <c r="AC14" s="37" t="n">
        <v>765.8181818181819</v>
      </c>
      <c r="AD14" s="37" t="n">
        <v>765.8181818181819</v>
      </c>
      <c r="AE14" s="37" t="n">
        <v>765.8181818181819</v>
      </c>
      <c r="AF14" s="37" t="n">
        <v>1723.0909090909095</v>
      </c>
      <c r="AG14" s="37" t="n">
        <v>1723.0909090909095</v>
      </c>
      <c r="AH14" s="37" t="n">
        <v>1723.0909090909095</v>
      </c>
      <c r="AI14" s="37" t="n">
        <v>1723.0909090909095</v>
      </c>
      <c r="AJ14" s="37" t="n">
        <v>1723.0909090909095</v>
      </c>
      <c r="AK14" s="37" t="n">
        <v>1723.0909090909095</v>
      </c>
      <c r="AL14" s="37" t="n">
        <v>1723.0909090909095</v>
      </c>
      <c r="AM14" s="37" t="n">
        <v>1723.0909090909095</v>
      </c>
      <c r="AN14" s="37" t="n">
        <v>1723.0909090909095</v>
      </c>
      <c r="AO14" s="37" t="n">
        <v>1723.0909090909095</v>
      </c>
      <c r="AP14" s="37" t="n">
        <v>1723.0909090909095</v>
      </c>
      <c r="AQ14" s="37" t="n">
        <v>1723.0909090909095</v>
      </c>
      <c r="AR14" s="37" t="n">
        <v>2153.8636363636365</v>
      </c>
      <c r="AS14" s="37" t="n">
        <v>2153.8636363636365</v>
      </c>
      <c r="AT14" s="37" t="n">
        <v>2153.8636363636365</v>
      </c>
      <c r="AU14" s="37" t="n">
        <v>2153.8636363636365</v>
      </c>
      <c r="AV14" s="37" t="n">
        <v>2153.8636363636365</v>
      </c>
      <c r="AW14" s="37" t="n">
        <v>2153.8636363636365</v>
      </c>
      <c r="AX14" s="37" t="n">
        <v>2153.8636363636365</v>
      </c>
      <c r="AY14" s="37" t="n">
        <v>2153.8636363636365</v>
      </c>
      <c r="AZ14" s="37" t="n">
        <v>2153.8636363636365</v>
      </c>
      <c r="BA14" s="37" t="n">
        <v>2153.8636363636365</v>
      </c>
      <c r="BB14" s="37" t="n">
        <v>2153.8636363636365</v>
      </c>
      <c r="BC14" s="37" t="n">
        <v>2153.8636363636365</v>
      </c>
      <c r="BD14" s="37" t="n">
        <v>2153.8636363636365</v>
      </c>
      <c r="BE14" s="37" t="n">
        <v>2153.8636363636365</v>
      </c>
      <c r="BF14" s="37" t="n">
        <v>2153.8636363636365</v>
      </c>
      <c r="BG14" s="37" t="n">
        <v>2153.8636363636365</v>
      </c>
      <c r="BH14" s="37" t="n">
        <v>2153.8636363636365</v>
      </c>
      <c r="BI14" s="37" t="n">
        <v>2153.8636363636365</v>
      </c>
      <c r="BJ14" s="37" t="n">
        <v>2153.8636363636365</v>
      </c>
      <c r="BK14" s="37" t="n">
        <v>2153.8636363636365</v>
      </c>
      <c r="BL14" s="37" t="n">
        <v>2153.8636363636365</v>
      </c>
      <c r="BM14" s="37" t="n">
        <v>2153.8636363636365</v>
      </c>
      <c r="BN14" s="37" t="n">
        <v>2153.8636363636365</v>
      </c>
      <c r="BO14" s="37" t="n">
        <v>2153.8636363636365</v>
      </c>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row>
    <row r="15" ht="28" customHeight="1">
      <c r="A15" s="2" t="str">
        <v>CAC.REFERRAL</v>
      </c>
      <c r="B15" s="6" t="str">
        <v>Referral cohort-attributed CAC</v>
      </c>
      <c r="C15" s="2" t="str">
        <v>EUR_per_user</v>
      </c>
      <c r="D15" s="2" t="str">
        <v>NA</v>
      </c>
      <c r="E15" s="2"/>
      <c r="F15" s="6" t="str">
        <v>D10 Unit_Economics!Q19 (UE.CAC.REFERRAL), Base, frozen 13 October 2026</v>
      </c>
      <c r="G15" s="2"/>
      <c r="H15" s="35" t="n">
        <v>0</v>
      </c>
      <c r="I15" s="35" t="n">
        <v>0</v>
      </c>
      <c r="J15" s="35" t="n">
        <v>0</v>
      </c>
      <c r="K15" s="35" t="n">
        <v>0</v>
      </c>
      <c r="L15" s="35" t="n">
        <v>0</v>
      </c>
      <c r="M15" s="35" t="n">
        <v>0</v>
      </c>
      <c r="N15" s="35" t="n">
        <v>0</v>
      </c>
      <c r="O15" s="35" t="n">
        <v>0</v>
      </c>
      <c r="P15" s="35" t="n">
        <v>0</v>
      </c>
      <c r="Q15" s="35" t="n">
        <v>0</v>
      </c>
      <c r="R15" s="35" t="n">
        <v>20</v>
      </c>
      <c r="S15" s="35" t="n">
        <v>20</v>
      </c>
      <c r="T15" s="35" t="n">
        <v>20</v>
      </c>
      <c r="U15" s="35" t="n">
        <v>20</v>
      </c>
      <c r="V15" s="35" t="n">
        <v>20</v>
      </c>
      <c r="W15" s="35" t="n">
        <v>20</v>
      </c>
      <c r="X15" s="35" t="n">
        <v>19.999999999999996</v>
      </c>
      <c r="Y15" s="35" t="n">
        <v>20</v>
      </c>
      <c r="Z15" s="35" t="n">
        <v>20</v>
      </c>
      <c r="AA15" s="35" t="n">
        <v>20</v>
      </c>
      <c r="AB15" s="35" t="n">
        <v>20</v>
      </c>
      <c r="AC15" s="35" t="n">
        <v>20</v>
      </c>
      <c r="AD15" s="35" t="n">
        <v>20.000000000000004</v>
      </c>
      <c r="AE15" s="35" t="n">
        <v>20</v>
      </c>
      <c r="AF15" s="35" t="n">
        <v>20</v>
      </c>
      <c r="AG15" s="35" t="n">
        <v>20</v>
      </c>
      <c r="AH15" s="35" t="n">
        <v>20</v>
      </c>
      <c r="AI15" s="35" t="n">
        <v>20</v>
      </c>
      <c r="AJ15" s="35" t="n">
        <v>20</v>
      </c>
      <c r="AK15" s="35" t="n">
        <v>20</v>
      </c>
      <c r="AL15" s="35" t="n">
        <v>20</v>
      </c>
      <c r="AM15" s="35" t="n">
        <v>19.999999999999996</v>
      </c>
      <c r="AN15" s="35" t="n">
        <v>20</v>
      </c>
      <c r="AO15" s="35" t="n">
        <v>20</v>
      </c>
      <c r="AP15" s="35" t="n">
        <v>20</v>
      </c>
      <c r="AQ15" s="35" t="n">
        <v>20</v>
      </c>
      <c r="AR15" s="35" t="n">
        <v>20</v>
      </c>
      <c r="AS15" s="35" t="n">
        <v>20</v>
      </c>
      <c r="AT15" s="35" t="n">
        <v>20</v>
      </c>
      <c r="AU15" s="35" t="n">
        <v>20</v>
      </c>
      <c r="AV15" s="35" t="n">
        <v>20</v>
      </c>
      <c r="AW15" s="35" t="n">
        <v>20</v>
      </c>
      <c r="AX15" s="35" t="n">
        <v>20.000000000000004</v>
      </c>
      <c r="AY15" s="35" t="n">
        <v>20</v>
      </c>
      <c r="AZ15" s="35" t="n">
        <v>20</v>
      </c>
      <c r="BA15" s="35" t="n">
        <v>20</v>
      </c>
      <c r="BB15" s="35" t="n">
        <v>20</v>
      </c>
      <c r="BC15" s="35" t="n">
        <v>20</v>
      </c>
      <c r="BD15" s="35" t="n">
        <v>20</v>
      </c>
      <c r="BE15" s="35" t="n">
        <v>20</v>
      </c>
      <c r="BF15" s="35" t="n">
        <v>20</v>
      </c>
      <c r="BG15" s="35" t="n">
        <v>20</v>
      </c>
      <c r="BH15" s="35" t="n">
        <v>20</v>
      </c>
      <c r="BI15" s="35" t="n">
        <v>20</v>
      </c>
      <c r="BJ15" s="35" t="n">
        <v>20</v>
      </c>
      <c r="BK15" s="35" t="n">
        <v>20</v>
      </c>
      <c r="BL15" s="35" t="n">
        <v>20</v>
      </c>
      <c r="BM15" s="35" t="n">
        <v>20</v>
      </c>
      <c r="BN15" s="35" t="n">
        <v>20</v>
      </c>
      <c r="BO15" s="35" t="n">
        <v>20</v>
      </c>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row>
    <row r="16" ht="28" customHeight="1">
      <c r="A16" s="2" t="str">
        <v>ARRIVALS.REFERRAL</v>
      </c>
      <c r="B16" s="6" t="str">
        <v>Referral original connected arrivals</v>
      </c>
      <c r="C16" s="2" t="str">
        <v>count</v>
      </c>
      <c r="D16" s="2" t="str">
        <v>NA</v>
      </c>
      <c r="E16" s="2"/>
      <c r="F16" s="6" t="str">
        <v>D10 Acquisition!Q18 (ACQ.NEW.REFERRAL), Base, frozen 13 October 2026</v>
      </c>
      <c r="G16" s="2"/>
      <c r="H16" s="37" t="n">
        <v>0</v>
      </c>
      <c r="I16" s="37" t="n">
        <v>0</v>
      </c>
      <c r="J16" s="37" t="n">
        <v>0</v>
      </c>
      <c r="K16" s="37" t="n">
        <v>0</v>
      </c>
      <c r="L16" s="37" t="n">
        <v>0</v>
      </c>
      <c r="M16" s="37" t="n">
        <v>0</v>
      </c>
      <c r="N16" s="37" t="n">
        <v>0</v>
      </c>
      <c r="O16" s="37" t="n">
        <v>0</v>
      </c>
      <c r="P16" s="37" t="n">
        <v>0</v>
      </c>
      <c r="Q16" s="37" t="n">
        <v>0</v>
      </c>
      <c r="R16" s="37" t="n">
        <v>5.743636363636364</v>
      </c>
      <c r="S16" s="37" t="n">
        <v>8.835627272727272</v>
      </c>
      <c r="T16" s="37" t="n">
        <v>11.647280863636363</v>
      </c>
      <c r="U16" s="37" t="n">
        <v>17.145846554318183</v>
      </c>
      <c r="V16" s="37" t="n">
        <v>21.913260478067045</v>
      </c>
      <c r="W16" s="37" t="n">
        <v>26.34115305950545</v>
      </c>
      <c r="X16" s="37" t="n">
        <v>30.607795272900503</v>
      </c>
      <c r="Y16" s="37" t="n">
        <v>34.7002746863791</v>
      </c>
      <c r="Z16" s="37" t="n">
        <v>38.66697618502913</v>
      </c>
      <c r="AA16" s="37" t="n">
        <v>42.53299657755617</v>
      </c>
      <c r="AB16" s="37" t="n">
        <v>46.35365894312157</v>
      </c>
      <c r="AC16" s="37" t="n">
        <v>50.116067008044446</v>
      </c>
      <c r="AD16" s="37" t="n">
        <v>53.8177298249328</v>
      </c>
      <c r="AE16" s="37" t="n">
        <v>57.526946777586</v>
      </c>
      <c r="AF16" s="37" t="n">
        <v>61.237101418756104</v>
      </c>
      <c r="AG16" s="37" t="n">
        <v>71.64959965975763</v>
      </c>
      <c r="AH16" s="37" t="n">
        <v>80.10772025030415</v>
      </c>
      <c r="AI16" s="37" t="n">
        <v>88.13476655576343</v>
      </c>
      <c r="AJ16" s="37" t="n">
        <v>95.94462495703509</v>
      </c>
      <c r="AK16" s="37" t="n">
        <v>103.52078561578034</v>
      </c>
      <c r="AL16" s="37" t="n">
        <v>110.98856552269741</v>
      </c>
      <c r="AM16" s="37" t="n">
        <v>118.40346396189585</v>
      </c>
      <c r="AN16" s="37" t="n">
        <v>125.76213719341318</v>
      </c>
      <c r="AO16" s="37" t="n">
        <v>133.06269437363332</v>
      </c>
      <c r="AP16" s="37" t="n">
        <v>140.3016839253504</v>
      </c>
      <c r="AQ16" s="37" t="n">
        <v>147.52509842425494</v>
      </c>
      <c r="AR16" s="37" t="n">
        <v>154.73228300886456</v>
      </c>
      <c r="AS16" s="37" t="n">
        <v>165.51272209974633</v>
      </c>
      <c r="AT16" s="37" t="n">
        <v>175.25799452136778</v>
      </c>
      <c r="AU16" s="37" t="n">
        <v>184.79524319094403</v>
      </c>
      <c r="AV16" s="37" t="n">
        <v>194.23705108183017</v>
      </c>
      <c r="AW16" s="37" t="n">
        <v>203.57463209100845</v>
      </c>
      <c r="AX16" s="37" t="n">
        <v>212.88206507524353</v>
      </c>
      <c r="AY16" s="37" t="n">
        <v>222.18971545215115</v>
      </c>
      <c r="AZ16" s="37" t="n">
        <v>231.49608067990002</v>
      </c>
      <c r="BA16" s="37" t="n">
        <v>240.8002931289602</v>
      </c>
      <c r="BB16" s="37" t="n">
        <v>250.10058487510852</v>
      </c>
      <c r="BC16" s="37" t="n">
        <v>259.43085600478486</v>
      </c>
      <c r="BD16" s="37" t="n">
        <v>268.7892912710286</v>
      </c>
      <c r="BE16" s="37" t="n">
        <v>278.17600396779386</v>
      </c>
      <c r="BF16" s="37" t="n">
        <v>287.5972213436331</v>
      </c>
      <c r="BG16" s="37" t="n">
        <v>297.05225580599785</v>
      </c>
      <c r="BH16" s="37" t="n">
        <v>306.54069627966675</v>
      </c>
      <c r="BI16" s="37" t="n">
        <v>316.0619054367761</v>
      </c>
      <c r="BJ16" s="37" t="n">
        <v>325.63192446965076</v>
      </c>
      <c r="BK16" s="37" t="n">
        <v>335.25016174523057</v>
      </c>
      <c r="BL16" s="37" t="n">
        <v>344.91693416679266</v>
      </c>
      <c r="BM16" s="37" t="n">
        <v>354.63221983675135</v>
      </c>
      <c r="BN16" s="37" t="n">
        <v>364.3959084750986</v>
      </c>
      <c r="BO16" s="37" t="n">
        <v>374.2078340110202</v>
      </c>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row>
    <row r="17" ht="28" customHeight="1">
      <c r="A17" s="2" t="str">
        <v>CAC.TRADER</v>
      </c>
      <c r="B17" s="6" t="str">
        <v>Trader cohort-attributed CAC</v>
      </c>
      <c r="C17" s="2" t="str">
        <v>EUR_per_user</v>
      </c>
      <c r="D17" s="2" t="str">
        <v>NA</v>
      </c>
      <c r="E17" s="2"/>
      <c r="F17" s="6" t="str">
        <v>D10 Unit_Economics!Q22 (UE.CAC.TRADER), Base, frozen 13 October 2026</v>
      </c>
      <c r="G17" s="2"/>
      <c r="H17" s="35" t="n">
        <v>0</v>
      </c>
      <c r="I17" s="35" t="n">
        <v>0</v>
      </c>
      <c r="J17" s="35" t="n">
        <v>0</v>
      </c>
      <c r="K17" s="35" t="n">
        <v>0</v>
      </c>
      <c r="L17" s="35" t="n">
        <v>0</v>
      </c>
      <c r="M17" s="35" t="n">
        <v>0</v>
      </c>
      <c r="N17" s="35" t="n">
        <v>0</v>
      </c>
      <c r="O17" s="35" t="n">
        <v>0</v>
      </c>
      <c r="P17" s="35" t="n">
        <v>0</v>
      </c>
      <c r="Q17" s="35" t="n">
        <v>0</v>
      </c>
      <c r="R17" s="35" t="n">
        <v>0</v>
      </c>
      <c r="S17" s="35" t="n">
        <v>0</v>
      </c>
      <c r="T17" s="35" t="n">
        <v>0</v>
      </c>
      <c r="U17" s="35" t="n">
        <v>357.73728782271365</v>
      </c>
      <c r="V17" s="35" t="n">
        <v>48.60263567000478</v>
      </c>
      <c r="W17" s="35" t="n">
        <v>38.028723939434556</v>
      </c>
      <c r="X17" s="35" t="n">
        <v>31.63617520656019</v>
      </c>
      <c r="Y17" s="35" t="n">
        <v>27.226179667738077</v>
      </c>
      <c r="Z17" s="35" t="n">
        <v>24.015179731716696</v>
      </c>
      <c r="AA17" s="35" t="n">
        <v>21.551551622388793</v>
      </c>
      <c r="AB17" s="35" t="n">
        <v>19.592631612818625</v>
      </c>
      <c r="AC17" s="35" t="n">
        <v>17.977725002375283</v>
      </c>
      <c r="AD17" s="35" t="n">
        <v>16.628067266323388</v>
      </c>
      <c r="AE17" s="35" t="n">
        <v>15.484364280027007</v>
      </c>
      <c r="AF17" s="35" t="n">
        <v>14.485964926232132</v>
      </c>
      <c r="AG17" s="35" t="n">
        <v>13.608307937940618</v>
      </c>
      <c r="AH17" s="35" t="n">
        <v>11.630676755914653</v>
      </c>
      <c r="AI17" s="35" t="n">
        <v>10.40265945316512</v>
      </c>
      <c r="AJ17" s="35" t="n">
        <v>9.455216889989469</v>
      </c>
      <c r="AK17" s="35" t="n">
        <v>8.685565592720884</v>
      </c>
      <c r="AL17" s="35" t="n">
        <v>8.049913149097113</v>
      </c>
      <c r="AM17" s="35" t="n">
        <v>7.508280960374381</v>
      </c>
      <c r="AN17" s="35" t="n">
        <v>7.038082379089124</v>
      </c>
      <c r="AO17" s="35" t="n">
        <v>6.626265678450791</v>
      </c>
      <c r="AP17" s="35" t="n">
        <v>6.262712003962399</v>
      </c>
      <c r="AQ17" s="35" t="n">
        <v>5.939581835501851</v>
      </c>
      <c r="AR17" s="35" t="n">
        <v>5.648756328477888</v>
      </c>
      <c r="AS17" s="35" t="n">
        <v>5.38564620859108</v>
      </c>
      <c r="AT17" s="35" t="n">
        <v>5.03485969393413</v>
      </c>
      <c r="AU17" s="35" t="n">
        <v>4.754894837232272</v>
      </c>
      <c r="AV17" s="35" t="n">
        <v>4.509495585188154</v>
      </c>
      <c r="AW17" s="35" t="n">
        <v>4.290290285462881</v>
      </c>
      <c r="AX17" s="35" t="n">
        <v>4.093502833696832</v>
      </c>
      <c r="AY17" s="35" t="n">
        <v>3.9145304844670235</v>
      </c>
      <c r="AZ17" s="35" t="n">
        <v>3.7505486319990937</v>
      </c>
      <c r="BA17" s="35" t="n">
        <v>3.5997729675847974</v>
      </c>
      <c r="BB17" s="35" t="n">
        <v>3.4606823874879717</v>
      </c>
      <c r="BC17" s="35" t="n">
        <v>3.331992741038454</v>
      </c>
      <c r="BD17" s="35" t="n">
        <v>3.2121596720089594</v>
      </c>
      <c r="BE17" s="35" t="n">
        <v>3.1003219264902087</v>
      </c>
      <c r="BF17" s="35" t="n">
        <v>2.99570531407092</v>
      </c>
      <c r="BG17" s="35" t="n">
        <v>2.897570878606063</v>
      </c>
      <c r="BH17" s="35" t="n">
        <v>2.8053425518423802</v>
      </c>
      <c r="BI17" s="35" t="n">
        <v>2.718507994035014</v>
      </c>
      <c r="BJ17" s="35" t="n">
        <v>2.6366142802996877</v>
      </c>
      <c r="BK17" s="35" t="n">
        <v>2.559126641807508</v>
      </c>
      <c r="BL17" s="35" t="n">
        <v>2.485705984436229</v>
      </c>
      <c r="BM17" s="35" t="n">
        <v>2.4160406485880324</v>
      </c>
      <c r="BN17" s="35" t="n">
        <v>2.3498522884269897</v>
      </c>
      <c r="BO17" s="35" t="n">
        <v>2.28688992919985</v>
      </c>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row>
    <row r="18" ht="28" customHeight="1">
      <c r="A18" s="2" t="str">
        <v>ARRIVALS.TRADER</v>
      </c>
      <c r="B18" s="6" t="str">
        <v>Trader original connected arrivals</v>
      </c>
      <c r="C18" s="2" t="str">
        <v>count</v>
      </c>
      <c r="D18" s="2" t="str">
        <v>NA</v>
      </c>
      <c r="E18" s="2"/>
      <c r="F18" s="6" t="str">
        <v>D10 Acquisition!Q19 (ACQ.NEW.TRADER), Base, frozen 13 October 2026</v>
      </c>
      <c r="G18" s="2"/>
      <c r="H18" s="37" t="n">
        <v>0</v>
      </c>
      <c r="I18" s="37" t="n">
        <v>0</v>
      </c>
      <c r="J18" s="37" t="n">
        <v>0</v>
      </c>
      <c r="K18" s="37" t="n">
        <v>0</v>
      </c>
      <c r="L18" s="37" t="n">
        <v>0</v>
      </c>
      <c r="M18" s="37" t="n">
        <v>0</v>
      </c>
      <c r="N18" s="37" t="n">
        <v>0</v>
      </c>
      <c r="O18" s="37" t="n">
        <v>0</v>
      </c>
      <c r="P18" s="37" t="n">
        <v>0</v>
      </c>
      <c r="Q18" s="37" t="n">
        <v>0</v>
      </c>
      <c r="R18" s="37" t="n">
        <v>0</v>
      </c>
      <c r="S18" s="37" t="n">
        <v>0</v>
      </c>
      <c r="T18" s="37" t="n">
        <v>0</v>
      </c>
      <c r="U18" s="37" t="n">
        <v>69.88368518181818</v>
      </c>
      <c r="V18" s="37" t="n">
        <v>102.87507932590908</v>
      </c>
      <c r="W18" s="37" t="n">
        <v>131.47956286840227</v>
      </c>
      <c r="X18" s="37" t="n">
        <v>158.0469183570327</v>
      </c>
      <c r="Y18" s="37" t="n">
        <v>183.64677163740302</v>
      </c>
      <c r="Z18" s="37" t="n">
        <v>208.20164811827462</v>
      </c>
      <c r="AA18" s="37" t="n">
        <v>232.00185711017477</v>
      </c>
      <c r="AB18" s="37" t="n">
        <v>255.197979465337</v>
      </c>
      <c r="AC18" s="37" t="n">
        <v>278.1219536587294</v>
      </c>
      <c r="AD18" s="37" t="n">
        <v>300.6964020482667</v>
      </c>
      <c r="AE18" s="37" t="n">
        <v>322.90637894959673</v>
      </c>
      <c r="AF18" s="37" t="n">
        <v>345.161680665516</v>
      </c>
      <c r="AG18" s="37" t="n">
        <v>367.4226085125366</v>
      </c>
      <c r="AH18" s="37" t="n">
        <v>429.8975979585457</v>
      </c>
      <c r="AI18" s="37" t="n">
        <v>480.6463215018249</v>
      </c>
      <c r="AJ18" s="37" t="n">
        <v>528.8085993345805</v>
      </c>
      <c r="AK18" s="37" t="n">
        <v>575.6677497422105</v>
      </c>
      <c r="AL18" s="37" t="n">
        <v>621.124713694682</v>
      </c>
      <c r="AM18" s="37" t="n">
        <v>665.9313931361844</v>
      </c>
      <c r="AN18" s="37" t="n">
        <v>710.4207837713751</v>
      </c>
      <c r="AO18" s="37" t="n">
        <v>754.5728231604791</v>
      </c>
      <c r="AP18" s="37" t="n">
        <v>798.3761662417999</v>
      </c>
      <c r="AQ18" s="37" t="n">
        <v>841.8101035521024</v>
      </c>
      <c r="AR18" s="37" t="n">
        <v>885.1505905455296</v>
      </c>
      <c r="AS18" s="37" t="n">
        <v>928.3936980531872</v>
      </c>
      <c r="AT18" s="37" t="n">
        <v>993.0763325984778</v>
      </c>
      <c r="AU18" s="37" t="n">
        <v>1051.5479671282064</v>
      </c>
      <c r="AV18" s="37" t="n">
        <v>1108.771459145664</v>
      </c>
      <c r="AW18" s="37" t="n">
        <v>1165.422306490981</v>
      </c>
      <c r="AX18" s="37" t="n">
        <v>1221.4477925460508</v>
      </c>
      <c r="AY18" s="37" t="n">
        <v>1277.292390451461</v>
      </c>
      <c r="AZ18" s="37" t="n">
        <v>1333.1382927129068</v>
      </c>
      <c r="BA18" s="37" t="n">
        <v>1388.9764840794</v>
      </c>
      <c r="BB18" s="37" t="n">
        <v>1444.801758773761</v>
      </c>
      <c r="BC18" s="37" t="n">
        <v>1500.603509250651</v>
      </c>
      <c r="BD18" s="37" t="n">
        <v>1556.5851360287093</v>
      </c>
      <c r="BE18" s="37" t="n">
        <v>1612.7357476261718</v>
      </c>
      <c r="BF18" s="37" t="n">
        <v>1669.056023806763</v>
      </c>
      <c r="BG18" s="37" t="n">
        <v>1725.5833280617985</v>
      </c>
      <c r="BH18" s="37" t="n">
        <v>1782.3135348359867</v>
      </c>
      <c r="BI18" s="37" t="n">
        <v>1839.2441776780004</v>
      </c>
      <c r="BJ18" s="37" t="n">
        <v>1896.3714326206566</v>
      </c>
      <c r="BK18" s="37" t="n">
        <v>1953.7915468179044</v>
      </c>
      <c r="BL18" s="37" t="n">
        <v>2011.5009704713834</v>
      </c>
      <c r="BM18" s="37" t="n">
        <v>2069.5016050007557</v>
      </c>
      <c r="BN18" s="37" t="n">
        <v>2127.7933190205076</v>
      </c>
      <c r="BO18" s="37" t="n">
        <v>2186.3754508505917</v>
      </c>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row>
    <row r="19" ht="42" customHeight="1">
      <c r="A19" s="2" t="str">
        <v>CONNECT_RATE</v>
      </c>
      <c r="B19" s="6" t="str">
        <v>Connect / net R2 revenue</v>
      </c>
      <c r="C19" s="2" t="str">
        <v>fraction</v>
      </c>
      <c r="D19" s="2" t="str">
        <v>NA</v>
      </c>
      <c r="E19" s="2"/>
      <c r="F19" s="6" t="str">
        <v>D10 calendar numerator / COPY.REVENUE, allocated by cohort net R2 revenue. M1–M60 from the D10 plan; M61–M95 from the D10 extended model, for cohort ages that run past M60.</v>
      </c>
      <c r="G19" s="2"/>
      <c r="H19" s="40" t="n">
        <v>0</v>
      </c>
      <c r="I19" s="40" t="n">
        <v>0</v>
      </c>
      <c r="J19" s="40" t="n">
        <v>0</v>
      </c>
      <c r="K19" s="40" t="n">
        <v>0</v>
      </c>
      <c r="L19" s="40" t="n">
        <v>0</v>
      </c>
      <c r="M19" s="40" t="n">
        <v>0</v>
      </c>
      <c r="N19" s="40" t="n">
        <v>0</v>
      </c>
      <c r="O19" s="40" t="n">
        <v>0</v>
      </c>
      <c r="P19" s="40" t="n">
        <v>0</v>
      </c>
      <c r="Q19" s="40" t="n">
        <v>0</v>
      </c>
      <c r="R19" s="40" t="n">
        <v>0</v>
      </c>
      <c r="S19" s="40" t="n">
        <v>0</v>
      </c>
      <c r="T19" s="40" t="n">
        <v>0</v>
      </c>
      <c r="U19" s="40" t="n">
        <v>0.021355031640218177</v>
      </c>
      <c r="V19" s="40" t="n">
        <v>0.020557987440162014</v>
      </c>
      <c r="W19" s="40" t="n">
        <v>0.019247824751744358</v>
      </c>
      <c r="X19" s="40" t="n">
        <v>0.018123446997758454</v>
      </c>
      <c r="Y19" s="40" t="n">
        <v>0.01720465842256248</v>
      </c>
      <c r="Z19" s="40" t="n">
        <v>0.016420327742155356</v>
      </c>
      <c r="AA19" s="40" t="n">
        <v>0.015732500961760966</v>
      </c>
      <c r="AB19" s="40" t="n">
        <v>0.015140857370992047</v>
      </c>
      <c r="AC19" s="40" t="n">
        <v>0.01464142053451931</v>
      </c>
      <c r="AD19" s="40" t="n">
        <v>0.014181999923675493</v>
      </c>
      <c r="AE19" s="40" t="n">
        <v>0.013764576122318233</v>
      </c>
      <c r="AF19" s="40" t="n">
        <v>0.013102664586065892</v>
      </c>
      <c r="AG19" s="40" t="n">
        <v>0.012514173680898369</v>
      </c>
      <c r="AH19" s="40" t="n">
        <v>0.012970036416786818</v>
      </c>
      <c r="AI19" s="40" t="n">
        <v>0.013000475016169888</v>
      </c>
      <c r="AJ19" s="40" t="n">
        <v>0.012927611368614854</v>
      </c>
      <c r="AK19" s="40" t="n">
        <v>0.0128003257596411</v>
      </c>
      <c r="AL19" s="40" t="n">
        <v>0.012634204193269952</v>
      </c>
      <c r="AM19" s="40" t="n">
        <v>0.012457931671344888</v>
      </c>
      <c r="AN19" s="40" t="n">
        <v>0.01228395814674297</v>
      </c>
      <c r="AO19" s="40" t="n">
        <v>0.012115986466239445</v>
      </c>
      <c r="AP19" s="40" t="n">
        <v>0.011951522039250005</v>
      </c>
      <c r="AQ19" s="40" t="n">
        <v>0.011792660886669557</v>
      </c>
      <c r="AR19" s="40" t="n">
        <v>0.011597856772020833</v>
      </c>
      <c r="AS19" s="40" t="n">
        <v>0.01141037142564971</v>
      </c>
      <c r="AT19" s="40" t="n">
        <v>0.011421500715073333</v>
      </c>
      <c r="AU19" s="40" t="n">
        <v>0.011360176225508056</v>
      </c>
      <c r="AV19" s="40" t="n">
        <v>0.011283323321331596</v>
      </c>
      <c r="AW19" s="40" t="n">
        <v>0.011197943505800946</v>
      </c>
      <c r="AX19" s="40" t="n">
        <v>0.011106122948065953</v>
      </c>
      <c r="AY19" s="40" t="n">
        <v>0.01101371428487528</v>
      </c>
      <c r="AZ19" s="40" t="n">
        <v>0.01092328389353044</v>
      </c>
      <c r="BA19" s="40" t="n">
        <v>0.010835607342707809</v>
      </c>
      <c r="BB19" s="40" t="n">
        <v>0.010749509291571214</v>
      </c>
      <c r="BC19" s="40" t="n">
        <v>0.010665771573177357</v>
      </c>
      <c r="BD19" s="40" t="n">
        <v>0.010585730067389972</v>
      </c>
      <c r="BE19" s="40" t="n">
        <v>0.010509297722791302</v>
      </c>
      <c r="BF19" s="40" t="n">
        <v>0.01043642292023182</v>
      </c>
      <c r="BG19" s="40" t="n">
        <v>0.010367189663768029</v>
      </c>
      <c r="BH19" s="40" t="n">
        <v>0.010301449288721865</v>
      </c>
      <c r="BI19" s="40" t="n">
        <v>0.010238220387818306</v>
      </c>
      <c r="BJ19" s="40" t="n">
        <v>0.010177631832190394</v>
      </c>
      <c r="BK19" s="40" t="n">
        <v>0.010119958534673942</v>
      </c>
      <c r="BL19" s="40" t="n">
        <v>0.010065048543791965</v>
      </c>
      <c r="BM19" s="40" t="n">
        <v>0.010012773213360747</v>
      </c>
      <c r="BN19" s="40" t="n">
        <v>0.009962998987387511</v>
      </c>
      <c r="BO19" s="40" t="n">
        <v>0.009915595365807465</v>
      </c>
      <c r="BP19" s="40" t="n">
        <v>0.009870436041667074</v>
      </c>
      <c r="BQ19" s="40" t="n">
        <v>0.009827773860539736</v>
      </c>
      <c r="BR19" s="40" t="n">
        <v>0.009787370019943118</v>
      </c>
      <c r="BS19" s="40" t="n">
        <v>0.009748908625216655</v>
      </c>
      <c r="BT19" s="40" t="n">
        <v>0.009712285592191098</v>
      </c>
      <c r="BU19" s="40" t="n">
        <v>0.009677110587468538</v>
      </c>
      <c r="BV19" s="40" t="n">
        <v>0.009643376643322503</v>
      </c>
      <c r="BW19" s="40" t="n">
        <v>0.009611142884395383</v>
      </c>
      <c r="BX19" s="40" t="n">
        <v>0.009580322714172055</v>
      </c>
      <c r="BY19" s="40" t="n">
        <v>0.009550332072540956</v>
      </c>
      <c r="BZ19" s="40" t="n">
        <v>0.009521353008841337</v>
      </c>
      <c r="CA19" s="40" t="n">
        <v>0.009493568440299855</v>
      </c>
      <c r="CB19" s="40" t="n">
        <v>0.009466643212057564</v>
      </c>
      <c r="CC19" s="40" t="n">
        <v>0.009440580046821287</v>
      </c>
      <c r="CD19" s="40" t="n">
        <v>0.009415454956385242</v>
      </c>
      <c r="CE19" s="40" t="n">
        <v>0.009391233781567372</v>
      </c>
      <c r="CF19" s="40" t="n">
        <v>0.009367879542202386</v>
      </c>
      <c r="CG19" s="40" t="n">
        <v>0.009345355132542388</v>
      </c>
      <c r="CH19" s="40" t="n">
        <v>0.009323624676808973</v>
      </c>
      <c r="CI19" s="40" t="n">
        <v>0.009302653799320706</v>
      </c>
      <c r="CJ19" s="40" t="n">
        <v>0.009282409512513164</v>
      </c>
      <c r="CK19" s="40" t="n">
        <v>0.009262860168120874</v>
      </c>
      <c r="CL19" s="40" t="n">
        <v>0.009243975588934495</v>
      </c>
      <c r="CM19" s="40" t="n">
        <v>0.009225727079979361</v>
      </c>
      <c r="CN19" s="40" t="n">
        <v>0.009207680505272056</v>
      </c>
      <c r="CO19" s="40" t="n">
        <v>0.009189942205676772</v>
      </c>
      <c r="CP19" s="40" t="n">
        <v>0.00917270107161453</v>
      </c>
      <c r="CQ19" s="40" t="n">
        <v>0.009155933980057153</v>
      </c>
      <c r="CR19" s="40" t="n">
        <v>0.009139629945077318</v>
      </c>
      <c r="CS19" s="40" t="n">
        <v>0.0091237746310208</v>
      </c>
      <c r="CT19" s="40" t="n">
        <v>0.009108353715329599</v>
      </c>
      <c r="CU19" s="40" t="n">
        <v>0.009093352942142613</v>
      </c>
      <c r="CV19" s="40" t="n">
        <v>0.009078758157988582</v>
      </c>
      <c r="CW19" s="40" t="n">
        <v>0.00906455560385619</v>
      </c>
      <c r="CX19" s="40" t="n">
        <v>0.00905073200285024</v>
      </c>
    </row>
    <row r="20" ht="42" customHeight="1">
      <c r="A20" s="2" t="str">
        <v>TRADER_KYC_RATE</v>
      </c>
      <c r="B20" s="6" t="str">
        <v>Trader-entry KYC / net R2 revenue</v>
      </c>
      <c r="C20" s="2" t="str">
        <v>fraction</v>
      </c>
      <c r="D20" s="2" t="str">
        <v>NA</v>
      </c>
      <c r="E20" s="2"/>
      <c r="F20" s="6" t="str">
        <v>D10 calendar numerator / COPY.REVENUE, allocated by cohort net R2 revenue. M1–M60 from the D10 plan; M61–M95 from the D10 extended model, for cohort ages that run past M60.</v>
      </c>
      <c r="G20" s="2"/>
      <c r="H20" s="40" t="n">
        <v>0</v>
      </c>
      <c r="I20" s="40" t="n">
        <v>0</v>
      </c>
      <c r="J20" s="40" t="n">
        <v>0</v>
      </c>
      <c r="K20" s="40" t="n">
        <v>0</v>
      </c>
      <c r="L20" s="40" t="n">
        <v>0</v>
      </c>
      <c r="M20" s="40" t="n">
        <v>0</v>
      </c>
      <c r="N20" s="40" t="n">
        <v>0</v>
      </c>
      <c r="O20" s="40" t="n">
        <v>0</v>
      </c>
      <c r="P20" s="40" t="n">
        <v>0</v>
      </c>
      <c r="Q20" s="40" t="n">
        <v>0</v>
      </c>
      <c r="R20" s="40" t="n">
        <v>0</v>
      </c>
      <c r="S20" s="40" t="n">
        <v>0</v>
      </c>
      <c r="T20" s="40" t="n">
        <v>0.03336099994392977</v>
      </c>
      <c r="U20" s="40" t="n">
        <v>0.00807715791425947</v>
      </c>
      <c r="V20" s="40" t="n">
        <v>0.0047655228195286415</v>
      </c>
      <c r="W20" s="40" t="n">
        <v>0.0033690906210071324</v>
      </c>
      <c r="X20" s="40" t="n">
        <v>0.0026295176214094808</v>
      </c>
      <c r="Y20" s="40" t="n">
        <v>0.0021372172027907853</v>
      </c>
      <c r="Z20" s="40" t="n">
        <v>0.0018047918819204985</v>
      </c>
      <c r="AA20" s="40" t="n">
        <v>0.0015629975800745656</v>
      </c>
      <c r="AB20" s="40" t="n">
        <v>0.0013896453258118305</v>
      </c>
      <c r="AC20" s="40" t="n">
        <v>0.001250127859245247</v>
      </c>
      <c r="AD20" s="40" t="n">
        <v>0.0011347443180041118</v>
      </c>
      <c r="AE20" s="40" t="n">
        <v>0.001049622880605018</v>
      </c>
      <c r="AF20" s="40" t="n">
        <v>0.0009552901667662823</v>
      </c>
      <c r="AG20" s="40" t="n">
        <v>0.0017352033824643356</v>
      </c>
      <c r="AH20" s="40" t="n">
        <v>0.0013826821606701717</v>
      </c>
      <c r="AI20" s="40" t="n">
        <v>0.00123811224337678</v>
      </c>
      <c r="AJ20" s="40" t="n">
        <v>0.001133363619467266</v>
      </c>
      <c r="AK20" s="40" t="n">
        <v>0.0010406661788931908</v>
      </c>
      <c r="AL20" s="40" t="n">
        <v>0.0009689636656407246</v>
      </c>
      <c r="AM20" s="40" t="n">
        <v>0.0009098718094968585</v>
      </c>
      <c r="AN20" s="40" t="n">
        <v>0.0008576706301010379</v>
      </c>
      <c r="AO20" s="40" t="n">
        <v>0.0008115276999225553</v>
      </c>
      <c r="AP20" s="40" t="n">
        <v>0.0007702281943499776</v>
      </c>
      <c r="AQ20" s="40" t="n">
        <v>0.000735667163734562</v>
      </c>
      <c r="AR20" s="40" t="n">
        <v>0.0007019096313934989</v>
      </c>
      <c r="AS20" s="40" t="n">
        <v>0.0008320645315091023</v>
      </c>
      <c r="AT20" s="40" t="n">
        <v>0.0007575562701185454</v>
      </c>
      <c r="AU20" s="40" t="n">
        <v>0.0007212161617194326</v>
      </c>
      <c r="AV20" s="40" t="n">
        <v>0.0006918690946028964</v>
      </c>
      <c r="AW20" s="40" t="n">
        <v>0.0006644025851421179</v>
      </c>
      <c r="AX20" s="40" t="n">
        <v>0.0006413720091530977</v>
      </c>
      <c r="AY20" s="40" t="n">
        <v>0.0006210016222145653</v>
      </c>
      <c r="AZ20" s="40" t="n">
        <v>0.0006021249844363846</v>
      </c>
      <c r="BA20" s="40" t="n">
        <v>0.000584648577765472</v>
      </c>
      <c r="BB20" s="40" t="n">
        <v>0.00056834787644217</v>
      </c>
      <c r="BC20" s="40" t="n">
        <v>0.0005540356910922942</v>
      </c>
      <c r="BD20" s="40" t="n">
        <v>0.0005406771984126963</v>
      </c>
      <c r="BE20" s="40" t="n">
        <v>0.0005282355281000538</v>
      </c>
      <c r="BF20" s="40" t="n">
        <v>0.0005167681969819167</v>
      </c>
      <c r="BG20" s="40" t="n">
        <v>0.0005060473519202137</v>
      </c>
      <c r="BH20" s="40" t="n">
        <v>0.0004960163201166807</v>
      </c>
      <c r="BI20" s="40" t="n">
        <v>0.000486574344349919</v>
      </c>
      <c r="BJ20" s="40" t="n">
        <v>0.000477990343226643</v>
      </c>
      <c r="BK20" s="40" t="n">
        <v>0.00046990040113048856</v>
      </c>
      <c r="BL20" s="40" t="n">
        <v>0.00046228252027625307</v>
      </c>
      <c r="BM20" s="40" t="n">
        <v>0.0004550955932270921</v>
      </c>
      <c r="BN20" s="40" t="n">
        <v>0.00044830624281231776</v>
      </c>
      <c r="BO20" s="40" t="n">
        <v>0.00044188455266646286</v>
      </c>
      <c r="BP20" s="40" t="n">
        <v>0.00043580319950229697</v>
      </c>
      <c r="BQ20" s="40" t="n">
        <v>0.0004300538988882005</v>
      </c>
      <c r="BR20" s="40" t="n">
        <v>0.00042445832342915445</v>
      </c>
      <c r="BS20" s="40" t="n">
        <v>0.00041914937388909363</v>
      </c>
      <c r="BT20" s="40" t="n">
        <v>0.0004140988653079437</v>
      </c>
      <c r="BU20" s="40" t="n">
        <v>0.0004092794772089399</v>
      </c>
      <c r="BV20" s="40" t="n">
        <v>0.0004047906359288633</v>
      </c>
      <c r="BW20" s="40" t="n">
        <v>0.00040050431123329997</v>
      </c>
      <c r="BX20" s="40" t="n">
        <v>0.0003964136977705001</v>
      </c>
      <c r="BY20" s="40" t="n">
        <v>0.00039248370093843913</v>
      </c>
      <c r="BZ20" s="40" t="n">
        <v>0.00038890524044767153</v>
      </c>
      <c r="CA20" s="40" t="n">
        <v>0.0003854417436446294</v>
      </c>
      <c r="CB20" s="40" t="n">
        <v>0.0003821119685052488</v>
      </c>
      <c r="CC20" s="40" t="n">
        <v>0.0003789965295514566</v>
      </c>
      <c r="CD20" s="40" t="n">
        <v>0.00037600869187588064</v>
      </c>
      <c r="CE20" s="40" t="n">
        <v>0.00037313833701760124</v>
      </c>
      <c r="CF20" s="40" t="n">
        <v>0.000370377871848288</v>
      </c>
      <c r="CG20" s="40" t="n">
        <v>0.00036772093620357173</v>
      </c>
      <c r="CH20" s="40" t="n">
        <v>0.0003651618772753773</v>
      </c>
      <c r="CI20" s="40" t="n">
        <v>0.00036269538075506995</v>
      </c>
      <c r="CJ20" s="40" t="n">
        <v>0.0003603165466664748</v>
      </c>
      <c r="CK20" s="40" t="n">
        <v>0.00035802083109905244</v>
      </c>
      <c r="CL20" s="40" t="n">
        <v>0.00035580404752973594</v>
      </c>
      <c r="CM20" s="40" t="n">
        <v>0.00035366224282443073</v>
      </c>
      <c r="CN20" s="40" t="n">
        <v>0.00035157618273649904</v>
      </c>
      <c r="CO20" s="40" t="n">
        <v>0.00034970699168206343</v>
      </c>
      <c r="CP20" s="40" t="n">
        <v>0.00034789169841862097</v>
      </c>
      <c r="CQ20" s="40" t="n">
        <v>0.0003461367150866911</v>
      </c>
      <c r="CR20" s="40" t="n">
        <v>0.0003444368128510115</v>
      </c>
      <c r="CS20" s="40" t="n">
        <v>0.00034278919424371104</v>
      </c>
      <c r="CT20" s="40" t="n">
        <v>0.00034119140099052054</v>
      </c>
      <c r="CU20" s="40" t="n">
        <v>0.0003396410912656234</v>
      </c>
      <c r="CV20" s="40" t="n">
        <v>0.00033813619656758117</v>
      </c>
      <c r="CW20" s="40" t="n">
        <v>0.000336674800184543</v>
      </c>
      <c r="CX20" s="40" t="n">
        <v>0.00033525507439714677</v>
      </c>
    </row>
  </sheetData>
  <mergeCells>
    <mergeCell ref="B1:F1"/>
    <mergeCell ref="B2:F2"/>
    <mergeCell ref="B3:F3"/>
    <mergeCell ref="B4:F4"/>
    <mergeCell ref="B5:F5"/>
  </mergeCells>
  <pageMargins left="0.7" right="0.7" top="0.75" bottom="0.75" header="0.3" footer="0.3"/>
  <tableParts count="1">
    <tablePart ns1:id="Rbe823dc404e94bc1"/>
  </tableParts>
</worksheet>
</file>

<file path=xl/worksheets/sheet9.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s>
  <sheetData>
    <row r="1" ht="28" customHeight="1">
      <c r="A1" s="2"/>
      <c r="B1" s="30" t="str">
        <v>Tail cohort M50: the Cohort formulas for a fixed cohort, tied to D10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ht="22" customHeight="1">
      <c r="A6" s="2"/>
      <c r="B6" s="2"/>
      <c r="C6" s="2"/>
      <c r="D6" s="2"/>
      <c r="E6" s="2"/>
      <c r="F6" s="2"/>
      <c r="G6" s="2"/>
      <c r="H6" s="2" t="n">
        <v>0</v>
      </c>
      <c r="I6" s="2" t="n">
        <v>1</v>
      </c>
      <c r="J6" s="2" t="n">
        <v>2</v>
      </c>
      <c r="K6" s="2" t="n">
        <v>3</v>
      </c>
      <c r="L6" s="2" t="n">
        <v>4</v>
      </c>
      <c r="M6" s="2" t="n">
        <v>5</v>
      </c>
      <c r="N6" s="2" t="n">
        <v>6</v>
      </c>
      <c r="O6" s="2" t="n">
        <v>7</v>
      </c>
      <c r="P6" s="2" t="n">
        <v>8</v>
      </c>
      <c r="Q6" s="2" t="n">
        <v>9</v>
      </c>
      <c r="R6" s="2" t="n">
        <v>10</v>
      </c>
      <c r="S6" s="2" t="n">
        <v>11</v>
      </c>
      <c r="T6" s="2" t="n">
        <v>12</v>
      </c>
      <c r="U6" s="2" t="n">
        <v>13</v>
      </c>
      <c r="V6" s="2" t="n">
        <v>14</v>
      </c>
      <c r="W6" s="2" t="n">
        <v>15</v>
      </c>
      <c r="X6" s="2" t="n">
        <v>16</v>
      </c>
      <c r="Y6" s="2" t="n">
        <v>17</v>
      </c>
      <c r="Z6" s="2" t="n">
        <v>18</v>
      </c>
      <c r="AA6" s="2" t="n">
        <v>19</v>
      </c>
      <c r="AB6" s="2" t="n">
        <v>20</v>
      </c>
      <c r="AC6" s="2" t="n">
        <v>21</v>
      </c>
      <c r="AD6" s="2" t="n">
        <v>22</v>
      </c>
      <c r="AE6" s="2" t="n">
        <v>23</v>
      </c>
      <c r="AF6" s="2" t="n">
        <v>24</v>
      </c>
      <c r="AG6" s="2" t="n">
        <v>25</v>
      </c>
      <c r="AH6" s="2" t="n">
        <v>26</v>
      </c>
      <c r="AI6" s="2" t="n">
        <v>27</v>
      </c>
      <c r="AJ6" s="2" t="n">
        <v>28</v>
      </c>
      <c r="AK6" s="2" t="n">
        <v>29</v>
      </c>
      <c r="AL6" s="2" t="n">
        <v>30</v>
      </c>
      <c r="AM6" s="2" t="n">
        <v>31</v>
      </c>
      <c r="AN6" s="2" t="n">
        <v>32</v>
      </c>
      <c r="AO6" s="2" t="n">
        <v>33</v>
      </c>
      <c r="AP6" s="2" t="n">
        <v>34</v>
      </c>
      <c r="AQ6" s="2" t="n">
        <v>35</v>
      </c>
    </row>
    <row r="7" ht="22" customHeight="1">
      <c r="A7" s="2"/>
      <c r="B7" s="2"/>
      <c r="C7" s="2"/>
      <c r="D7" s="2"/>
      <c r="E7" s="2"/>
      <c r="F7" s="2"/>
      <c r="G7" s="2"/>
      <c r="H7" s="42">
        <f>EDATE('Inputs'!$E$73,$E$11+H$6-1)</f>
        <v>47880.0</v>
      </c>
      <c r="I7" s="42">
        <f>EDATE('Inputs'!$E$73,$E$11+I$6-1)</f>
        <v>47908.0</v>
      </c>
      <c r="J7" s="42">
        <f>EDATE('Inputs'!$E$73,$E$11+J$6-1)</f>
        <v>47939.0</v>
      </c>
      <c r="K7" s="42">
        <f>EDATE('Inputs'!$E$73,$E$11+K$6-1)</f>
        <v>47969.0</v>
      </c>
      <c r="L7" s="42">
        <f>EDATE('Inputs'!$E$73,$E$11+L$6-1)</f>
        <v>48000.0</v>
      </c>
      <c r="M7" s="42">
        <f>EDATE('Inputs'!$E$73,$E$11+M$6-1)</f>
        <v>48030.0</v>
      </c>
      <c r="N7" s="42">
        <f>EDATE('Inputs'!$E$73,$E$11+N$6-1)</f>
        <v>48061.0</v>
      </c>
      <c r="O7" s="42">
        <f>EDATE('Inputs'!$E$73,$E$11+O$6-1)</f>
        <v>48092.0</v>
      </c>
      <c r="P7" s="42">
        <f>EDATE('Inputs'!$E$73,$E$11+P$6-1)</f>
        <v>48122.0</v>
      </c>
      <c r="Q7" s="42">
        <f>EDATE('Inputs'!$E$73,$E$11+Q$6-1)</f>
        <v>48153.0</v>
      </c>
      <c r="R7" s="42">
        <f>EDATE('Inputs'!$E$73,$E$11+R$6-1)</f>
        <v>48183.0</v>
      </c>
      <c r="S7" s="42">
        <f>EDATE('Inputs'!$E$73,$E$11+S$6-1)</f>
        <v>48214.0</v>
      </c>
      <c r="T7" s="42">
        <f>EDATE('Inputs'!$E$73,$E$11+T$6-1)</f>
        <v>48245.0</v>
      </c>
      <c r="U7" s="42">
        <f>EDATE('Inputs'!$E$73,$E$11+U$6-1)</f>
        <v>48274.0</v>
      </c>
      <c r="V7" s="42">
        <f>EDATE('Inputs'!$E$73,$E$11+V$6-1)</f>
        <v>48305.0</v>
      </c>
      <c r="W7" s="42">
        <f>EDATE('Inputs'!$E$73,$E$11+W$6-1)</f>
        <v>48335.0</v>
      </c>
      <c r="X7" s="42">
        <f>EDATE('Inputs'!$E$73,$E$11+X$6-1)</f>
        <v>48366.0</v>
      </c>
      <c r="Y7" s="42">
        <f>EDATE('Inputs'!$E$73,$E$11+Y$6-1)</f>
        <v>48396.0</v>
      </c>
      <c r="Z7" s="42">
        <f>EDATE('Inputs'!$E$73,$E$11+Z$6-1)</f>
        <v>48427.0</v>
      </c>
      <c r="AA7" s="42">
        <f>EDATE('Inputs'!$E$73,$E$11+AA$6-1)</f>
        <v>48458.0</v>
      </c>
      <c r="AB7" s="42">
        <f>EDATE('Inputs'!$E$73,$E$11+AB$6-1)</f>
        <v>48488.0</v>
      </c>
      <c r="AC7" s="42">
        <f>EDATE('Inputs'!$E$73,$E$11+AC$6-1)</f>
        <v>48519.0</v>
      </c>
      <c r="AD7" s="42">
        <f>EDATE('Inputs'!$E$73,$E$11+AD$6-1)</f>
        <v>48549.0</v>
      </c>
      <c r="AE7" s="42">
        <f>EDATE('Inputs'!$E$73,$E$11+AE$6-1)</f>
        <v>48580.0</v>
      </c>
      <c r="AF7" s="42">
        <f>EDATE('Inputs'!$E$73,$E$11+AF$6-1)</f>
        <v>48611.0</v>
      </c>
      <c r="AG7" s="42">
        <f>EDATE('Inputs'!$E$73,$E$11+AG$6-1)</f>
        <v>48639.0</v>
      </c>
      <c r="AH7" s="42">
        <f>EDATE('Inputs'!$E$73,$E$11+AH$6-1)</f>
        <v>48670.0</v>
      </c>
      <c r="AI7" s="42">
        <f>EDATE('Inputs'!$E$73,$E$11+AI$6-1)</f>
        <v>48700.0</v>
      </c>
      <c r="AJ7" s="42">
        <f>EDATE('Inputs'!$E$73,$E$11+AJ$6-1)</f>
        <v>48731.0</v>
      </c>
      <c r="AK7" s="42">
        <f>EDATE('Inputs'!$E$73,$E$11+AK$6-1)</f>
        <v>48761.0</v>
      </c>
      <c r="AL7" s="42">
        <f>EDATE('Inputs'!$E$73,$E$11+AL$6-1)</f>
        <v>48792.0</v>
      </c>
      <c r="AM7" s="42">
        <f>EDATE('Inputs'!$E$73,$E$11+AM$6-1)</f>
        <v>48823.0</v>
      </c>
      <c r="AN7" s="42">
        <f>EDATE('Inputs'!$E$73,$E$11+AN$6-1)</f>
        <v>48853.0</v>
      </c>
      <c r="AO7" s="42">
        <f>EDATE('Inputs'!$E$73,$E$11+AO$6-1)</f>
        <v>48884.0</v>
      </c>
      <c r="AP7" s="42">
        <f>EDATE('Inputs'!$E$73,$E$11+AP$6-1)</f>
        <v>48914.0</v>
      </c>
      <c r="AQ7" s="42">
        <f>EDATE('Inputs'!$E$73,$E$11+AQ$6-1)</f>
        <v>48945.0</v>
      </c>
    </row>
    <row r="8" ht="22" customHeight="1">
      <c r="A8" s="2"/>
      <c r="B8" s="2"/>
      <c r="C8" s="2"/>
      <c r="D8" s="2"/>
      <c r="E8" s="2"/>
      <c r="F8" s="2"/>
      <c r="G8" s="2"/>
      <c r="H8" s="2">
        <f>YEAR(H7)</f>
        <v>2031</v>
      </c>
      <c r="I8" s="2">
        <f>YEAR(I7)</f>
        <v>2031</v>
      </c>
      <c r="J8" s="2">
        <f>YEAR(J7)</f>
        <v>2031</v>
      </c>
      <c r="K8" s="2">
        <f>YEAR(K7)</f>
        <v>2031</v>
      </c>
      <c r="L8" s="2">
        <f>YEAR(L7)</f>
        <v>2031</v>
      </c>
      <c r="M8" s="2">
        <f>YEAR(M7)</f>
        <v>2031</v>
      </c>
      <c r="N8" s="2">
        <f>YEAR(N7)</f>
        <v>2031</v>
      </c>
      <c r="O8" s="2">
        <f>YEAR(O7)</f>
        <v>2031</v>
      </c>
      <c r="P8" s="2">
        <f>YEAR(P7)</f>
        <v>2031</v>
      </c>
      <c r="Q8" s="2">
        <f>YEAR(Q7)</f>
        <v>2031</v>
      </c>
      <c r="R8" s="2">
        <f>YEAR(R7)</f>
        <v>2031</v>
      </c>
      <c r="S8" s="2">
        <f>YEAR(S7)</f>
        <v>2032</v>
      </c>
      <c r="T8" s="2">
        <f>YEAR(T7)</f>
        <v>2032</v>
      </c>
      <c r="U8" s="2">
        <f>YEAR(U7)</f>
        <v>2032</v>
      </c>
      <c r="V8" s="2">
        <f>YEAR(V7)</f>
        <v>2032</v>
      </c>
      <c r="W8" s="2">
        <f>YEAR(W7)</f>
        <v>2032</v>
      </c>
      <c r="X8" s="2">
        <f>YEAR(X7)</f>
        <v>2032</v>
      </c>
      <c r="Y8" s="2">
        <f>YEAR(Y7)</f>
        <v>2032</v>
      </c>
      <c r="Z8" s="2">
        <f>YEAR(Z7)</f>
        <v>2032</v>
      </c>
      <c r="AA8" s="2">
        <f>YEAR(AA7)</f>
        <v>2032</v>
      </c>
      <c r="AB8" s="2">
        <f>YEAR(AB7)</f>
        <v>2032</v>
      </c>
      <c r="AC8" s="2">
        <f>YEAR(AC7)</f>
        <v>2032</v>
      </c>
      <c r="AD8" s="2">
        <f>YEAR(AD7)</f>
        <v>2032</v>
      </c>
      <c r="AE8" s="2">
        <f>YEAR(AE7)</f>
        <v>2033</v>
      </c>
      <c r="AF8" s="2">
        <f>YEAR(AF7)</f>
        <v>2033</v>
      </c>
      <c r="AG8" s="2">
        <f>YEAR(AG7)</f>
        <v>2033</v>
      </c>
      <c r="AH8" s="2">
        <f>YEAR(AH7)</f>
        <v>2033</v>
      </c>
      <c r="AI8" s="2">
        <f>YEAR(AI7)</f>
        <v>2033</v>
      </c>
      <c r="AJ8" s="2">
        <f>YEAR(AJ7)</f>
        <v>2033</v>
      </c>
      <c r="AK8" s="2">
        <f>YEAR(AK7)</f>
        <v>2033</v>
      </c>
      <c r="AL8" s="2">
        <f>YEAR(AL7)</f>
        <v>2033</v>
      </c>
      <c r="AM8" s="2">
        <f>YEAR(AM7)</f>
        <v>2033</v>
      </c>
      <c r="AN8" s="2">
        <f>YEAR(AN7)</f>
        <v>2033</v>
      </c>
      <c r="AO8" s="2">
        <f>YEAR(AO7)</f>
        <v>2033</v>
      </c>
      <c r="AP8" s="2">
        <f>YEAR(AP7)</f>
        <v>2033</v>
      </c>
      <c r="AQ8" s="2">
        <f>YEAR(AQ7)</f>
        <v>2034</v>
      </c>
    </row>
    <row r="9" ht="22" customHeight="1">
      <c r="A9" s="2"/>
      <c r="B9" s="2"/>
      <c r="C9" s="2"/>
      <c r="D9" s="2"/>
      <c r="E9" s="2"/>
      <c r="F9" s="2"/>
      <c r="G9" s="2"/>
      <c r="H9" s="8">
        <f>ROUNDDOWN((MONTH(H7)-1)/'Inputs'!$E$68,0)+1</f>
        <v>1.0</v>
      </c>
      <c r="I9" s="8">
        <f>ROUNDDOWN((MONTH(I7)-1)/'Inputs'!$E$68,0)+1</f>
        <v>1.0</v>
      </c>
      <c r="J9" s="8">
        <f>ROUNDDOWN((MONTH(J7)-1)/'Inputs'!$E$68,0)+1</f>
        <v>2.0</v>
      </c>
      <c r="K9" s="8">
        <f>ROUNDDOWN((MONTH(K7)-1)/'Inputs'!$E$68,0)+1</f>
        <v>2.0</v>
      </c>
      <c r="L9" s="8">
        <f>ROUNDDOWN((MONTH(L7)-1)/'Inputs'!$E$68,0)+1</f>
        <v>2.0</v>
      </c>
      <c r="M9" s="8">
        <f>ROUNDDOWN((MONTH(M7)-1)/'Inputs'!$E$68,0)+1</f>
        <v>3.0</v>
      </c>
      <c r="N9" s="8">
        <f>ROUNDDOWN((MONTH(N7)-1)/'Inputs'!$E$68,0)+1</f>
        <v>3.0</v>
      </c>
      <c r="O9" s="8">
        <f>ROUNDDOWN((MONTH(O7)-1)/'Inputs'!$E$68,0)+1</f>
        <v>3.0</v>
      </c>
      <c r="P9" s="8">
        <f>ROUNDDOWN((MONTH(P7)-1)/'Inputs'!$E$68,0)+1</f>
        <v>4.0</v>
      </c>
      <c r="Q9" s="8">
        <f>ROUNDDOWN((MONTH(Q7)-1)/'Inputs'!$E$68,0)+1</f>
        <v>4.0</v>
      </c>
      <c r="R9" s="8">
        <f>ROUNDDOWN((MONTH(R7)-1)/'Inputs'!$E$68,0)+1</f>
        <v>4.0</v>
      </c>
      <c r="S9" s="8">
        <f>ROUNDDOWN((MONTH(S7)-1)/'Inputs'!$E$68,0)+1</f>
        <v>1.0</v>
      </c>
      <c r="T9" s="8">
        <f>ROUNDDOWN((MONTH(T7)-1)/'Inputs'!$E$68,0)+1</f>
        <v>1.0</v>
      </c>
      <c r="U9" s="8">
        <f>ROUNDDOWN((MONTH(U7)-1)/'Inputs'!$E$68,0)+1</f>
        <v>1.0</v>
      </c>
      <c r="V9" s="8">
        <f>ROUNDDOWN((MONTH(V7)-1)/'Inputs'!$E$68,0)+1</f>
        <v>2.0</v>
      </c>
      <c r="W9" s="8">
        <f>ROUNDDOWN((MONTH(W7)-1)/'Inputs'!$E$68,0)+1</f>
        <v>2.0</v>
      </c>
      <c r="X9" s="8">
        <f>ROUNDDOWN((MONTH(X7)-1)/'Inputs'!$E$68,0)+1</f>
        <v>2.0</v>
      </c>
      <c r="Y9" s="8">
        <f>ROUNDDOWN((MONTH(Y7)-1)/'Inputs'!$E$68,0)+1</f>
        <v>3.0</v>
      </c>
      <c r="Z9" s="8">
        <f>ROUNDDOWN((MONTH(Z7)-1)/'Inputs'!$E$68,0)+1</f>
        <v>3.0</v>
      </c>
      <c r="AA9" s="8">
        <f>ROUNDDOWN((MONTH(AA7)-1)/'Inputs'!$E$68,0)+1</f>
        <v>3.0</v>
      </c>
      <c r="AB9" s="8">
        <f>ROUNDDOWN((MONTH(AB7)-1)/'Inputs'!$E$68,0)+1</f>
        <v>4.0</v>
      </c>
      <c r="AC9" s="8">
        <f>ROUNDDOWN((MONTH(AC7)-1)/'Inputs'!$E$68,0)+1</f>
        <v>4.0</v>
      </c>
      <c r="AD9" s="8">
        <f>ROUNDDOWN((MONTH(AD7)-1)/'Inputs'!$E$68,0)+1</f>
        <v>4.0</v>
      </c>
      <c r="AE9" s="8">
        <f>ROUNDDOWN((MONTH(AE7)-1)/'Inputs'!$E$68,0)+1</f>
        <v>1.0</v>
      </c>
      <c r="AF9" s="8">
        <f>ROUNDDOWN((MONTH(AF7)-1)/'Inputs'!$E$68,0)+1</f>
        <v>1.0</v>
      </c>
      <c r="AG9" s="8">
        <f>ROUNDDOWN((MONTH(AG7)-1)/'Inputs'!$E$68,0)+1</f>
        <v>1.0</v>
      </c>
      <c r="AH9" s="8">
        <f>ROUNDDOWN((MONTH(AH7)-1)/'Inputs'!$E$68,0)+1</f>
        <v>2.0</v>
      </c>
      <c r="AI9" s="8">
        <f>ROUNDDOWN((MONTH(AI7)-1)/'Inputs'!$E$68,0)+1</f>
        <v>2.0</v>
      </c>
      <c r="AJ9" s="8">
        <f>ROUNDDOWN((MONTH(AJ7)-1)/'Inputs'!$E$68,0)+1</f>
        <v>2.0</v>
      </c>
      <c r="AK9" s="8">
        <f>ROUNDDOWN((MONTH(AK7)-1)/'Inputs'!$E$68,0)+1</f>
        <v>3.0</v>
      </c>
      <c r="AL9" s="8">
        <f>ROUNDDOWN((MONTH(AL7)-1)/'Inputs'!$E$68,0)+1</f>
        <v>3.0</v>
      </c>
      <c r="AM9" s="8">
        <f>ROUNDDOWN((MONTH(AM7)-1)/'Inputs'!$E$68,0)+1</f>
        <v>3.0</v>
      </c>
      <c r="AN9" s="8">
        <f>ROUNDDOWN((MONTH(AN7)-1)/'Inputs'!$E$68,0)+1</f>
        <v>4.0</v>
      </c>
      <c r="AO9" s="8">
        <f>ROUNDDOWN((MONTH(AO7)-1)/'Inputs'!$E$68,0)+1</f>
        <v>4.0</v>
      </c>
      <c r="AP9" s="8">
        <f>ROUNDDOWN((MONTH(AP7)-1)/'Inputs'!$E$68,0)+1</f>
        <v>4.0</v>
      </c>
      <c r="AQ9" s="8">
        <f>ROUNDDOWN((MONTH(AQ7)-1)/'Inputs'!$E$68,0)+1</f>
        <v>1.0</v>
      </c>
    </row>
    <row r="10" ht="34" customHeight="1">
      <c r="A10" s="34" t="str">
        <v>Row ID</v>
      </c>
      <c r="B10" s="34" t="str">
        <v>Label</v>
      </c>
      <c r="C10" s="34" t="str">
        <v>Unit</v>
      </c>
      <c r="D10" s="34" t="str">
        <v>Reducer</v>
      </c>
      <c r="E10" s="34" t="str">
        <v>Total / closing</v>
      </c>
      <c r="F10" s="34" t="str">
        <v>Note / source</v>
      </c>
      <c r="G10" s="34" t="str">
        <v>Spacer</v>
      </c>
      <c r="H10" s="34" t="str">
        <v>Age 0</v>
      </c>
      <c r="I10" s="34" t="str">
        <v>Age 1</v>
      </c>
      <c r="J10" s="34" t="str">
        <v>Age 2</v>
      </c>
      <c r="K10" s="34" t="str">
        <v>Age 3</v>
      </c>
      <c r="L10" s="34" t="str">
        <v>Age 4</v>
      </c>
      <c r="M10" s="34" t="str">
        <v>Age 5</v>
      </c>
      <c r="N10" s="34" t="str">
        <v>Age 6</v>
      </c>
      <c r="O10" s="34" t="str">
        <v>Age 7</v>
      </c>
      <c r="P10" s="34" t="str">
        <v>Age 8</v>
      </c>
      <c r="Q10" s="34" t="str">
        <v>Age 9</v>
      </c>
      <c r="R10" s="34" t="str">
        <v>Age 10</v>
      </c>
      <c r="S10" s="34" t="str">
        <v>Age 11</v>
      </c>
      <c r="T10" s="34" t="str">
        <v>Age 12</v>
      </c>
      <c r="U10" s="34" t="str">
        <v>Age 13</v>
      </c>
      <c r="V10" s="34" t="str">
        <v>Age 14</v>
      </c>
      <c r="W10" s="34" t="str">
        <v>Age 15</v>
      </c>
      <c r="X10" s="34" t="str">
        <v>Age 16</v>
      </c>
      <c r="Y10" s="34" t="str">
        <v>Age 17</v>
      </c>
      <c r="Z10" s="34" t="str">
        <v>Age 18</v>
      </c>
      <c r="AA10" s="34" t="str">
        <v>Age 19</v>
      </c>
      <c r="AB10" s="34" t="str">
        <v>Age 20</v>
      </c>
      <c r="AC10" s="34" t="str">
        <v>Age 21</v>
      </c>
      <c r="AD10" s="34" t="str">
        <v>Age 22</v>
      </c>
      <c r="AE10" s="34" t="str">
        <v>Age 23</v>
      </c>
      <c r="AF10" s="34" t="str">
        <v>Age 24</v>
      </c>
      <c r="AG10" s="34" t="str">
        <v>Age 25</v>
      </c>
      <c r="AH10" s="34" t="str">
        <v>Age 26</v>
      </c>
      <c r="AI10" s="34" t="str">
        <v>Age 27</v>
      </c>
      <c r="AJ10" s="34" t="str">
        <v>Age 28</v>
      </c>
      <c r="AK10" s="34" t="str">
        <v>Age 29</v>
      </c>
      <c r="AL10" s="34" t="str">
        <v>Age 30</v>
      </c>
      <c r="AM10" s="34" t="str">
        <v>Age 31</v>
      </c>
      <c r="AN10" s="34" t="str">
        <v>Age 32</v>
      </c>
      <c r="AO10" s="34" t="str">
        <v>Age 33</v>
      </c>
      <c r="AP10" s="34" t="str">
        <v>Age 34</v>
      </c>
      <c r="AQ10" s="34" t="str">
        <v>Age 35</v>
      </c>
    </row>
    <row r="11" ht="28" customHeight="1">
      <c r="A11" s="2" t="str">
        <v>TAIL.COHORT</v>
      </c>
      <c r="B11" s="6" t="str">
        <v>Fixed cohort month of this check</v>
      </c>
      <c r="C11" s="2" t="str">
        <v>month_index</v>
      </c>
      <c r="D11" s="2" t="str">
        <v>NA</v>
      </c>
      <c r="E11" s="39" t="n">
        <v>50</v>
      </c>
      <c r="F11" s="6" t="str">
        <v>Frozen, not an input: this cohort is compared with D10. The Calculator cohort is chosen on Inputs.</v>
      </c>
      <c r="G11" s="2"/>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row>
    <row r="12" ht="28" customHeight="1">
      <c r="A12" s="2" t="str">
        <v>TAIL.LTV</v>
      </c>
      <c r="B12" s="6" t="str">
        <v>36-month discounted LTV, cohort M50</v>
      </c>
      <c r="C12" s="2" t="str">
        <v>EUR_per_user</v>
      </c>
      <c r="D12" s="2" t="str">
        <v>NA</v>
      </c>
      <c r="E12" s="35">
        <f>SUM(H134:AQ134)</f>
        <v>35.93506716851306</v>
      </c>
      <c r="F12" s="6" t="str">
        <v>Ages 0–35 are model months M50–M85; from M61 the Connect and trader-KYC rates come from the D10 extended model.</v>
      </c>
      <c r="G12" s="2"/>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row>
    <row r="13" ht="22" customHeight="1">
      <c r="A13" s="2" t="str">
        <v>RET</v>
      </c>
      <c r="B13" s="6" t="str">
        <v>Active share (retention curve)</v>
      </c>
      <c r="C13" s="2" t="str">
        <v>fraction</v>
      </c>
      <c r="D13" s="2" t="str">
        <v>NA</v>
      </c>
      <c r="E13" s="2"/>
      <c r="F13" s="6" t="str"/>
      <c r="G13" s="2"/>
      <c r="H13" s="41">
        <f>INDEX('Retention'!$H$11:$BO$11,1,H$6+1)</f>
        <v>1</v>
      </c>
      <c r="I13" s="41">
        <f>INDEX('Retention'!$H$11:$BO$11,1,I$6+1)</f>
        <v>0.7</v>
      </c>
      <c r="J13" s="41">
        <f>INDEX('Retention'!$H$11:$BO$11,1,J$6+1)</f>
        <v>0.6</v>
      </c>
      <c r="K13" s="41">
        <f>INDEX('Retention'!$H$11:$BO$11,1,K$6+1)</f>
        <v>0.55</v>
      </c>
      <c r="L13" s="41">
        <f>INDEX('Retention'!$H$11:$BO$11,1,L$6+1)</f>
        <v>0.5</v>
      </c>
      <c r="M13" s="41">
        <f>INDEX('Retention'!$H$11:$BO$11,1,M$6+1)</f>
        <v>0.47</v>
      </c>
      <c r="N13" s="41">
        <f>INDEX('Retention'!$H$11:$BO$11,1,N$6+1)</f>
        <v>0.45</v>
      </c>
      <c r="O13" s="41">
        <f>INDEX('Retention'!$H$11:$BO$11,1,O$6+1)</f>
        <v>0.43</v>
      </c>
      <c r="P13" s="41">
        <f>INDEX('Retention'!$H$11:$BO$11,1,P$6+1)</f>
        <v>0.41</v>
      </c>
      <c r="Q13" s="41">
        <f>INDEX('Retention'!$H$11:$BO$11,1,Q$6+1)</f>
        <v>0.39</v>
      </c>
      <c r="R13" s="41">
        <f>INDEX('Retention'!$H$11:$BO$11,1,R$6+1)</f>
        <v>0.38</v>
      </c>
      <c r="S13" s="41">
        <f>INDEX('Retention'!$H$11:$BO$11,1,S$6+1)</f>
        <v>0.37</v>
      </c>
      <c r="T13" s="41">
        <f>INDEX('Retention'!$H$11:$BO$11,1,T$6+1)</f>
        <v>0.36</v>
      </c>
      <c r="U13" s="41">
        <f>INDEX('Retention'!$H$11:$BO$11,1,U$6+1)</f>
        <v>0.3575</v>
      </c>
      <c r="V13" s="41">
        <f>INDEX('Retention'!$H$11:$BO$11,1,V$6+1)</f>
        <v>0.355</v>
      </c>
      <c r="W13" s="41">
        <f>INDEX('Retention'!$H$11:$BO$11,1,W$6+1)</f>
        <v>0.3525</v>
      </c>
      <c r="X13" s="41">
        <f>INDEX('Retention'!$H$11:$BO$11,1,X$6+1)</f>
        <v>0.35</v>
      </c>
      <c r="Y13" s="41">
        <f>INDEX('Retention'!$H$11:$BO$11,1,Y$6+1)</f>
        <v>0.3475</v>
      </c>
      <c r="Z13" s="41">
        <f>INDEX('Retention'!$H$11:$BO$11,1,Z$6+1)</f>
        <v>0.345</v>
      </c>
      <c r="AA13" s="41">
        <f>INDEX('Retention'!$H$11:$BO$11,1,AA$6+1)</f>
        <v>0.3425</v>
      </c>
      <c r="AB13" s="41">
        <f>INDEX('Retention'!$H$11:$BO$11,1,AB$6+1)</f>
        <v>0.34</v>
      </c>
      <c r="AC13" s="41">
        <f>INDEX('Retention'!$H$11:$BO$11,1,AC$6+1)</f>
        <v>0.3375</v>
      </c>
      <c r="AD13" s="41">
        <f>INDEX('Retention'!$H$11:$BO$11,1,AD$6+1)</f>
        <v>0.335</v>
      </c>
      <c r="AE13" s="41">
        <f>INDEX('Retention'!$H$11:$BO$11,1,AE$6+1)</f>
        <v>0.3325</v>
      </c>
      <c r="AF13" s="41">
        <f>INDEX('Retention'!$H$11:$BO$11,1,AF$6+1)</f>
        <v>0.33</v>
      </c>
      <c r="AG13" s="41">
        <f>INDEX('Retention'!$H$11:$BO$11,1,AG$6+1)</f>
        <v>0.3245</v>
      </c>
      <c r="AH13" s="41">
        <f>INDEX('Retention'!$H$11:$BO$11,1,AH$6+1)</f>
        <v>0.319</v>
      </c>
      <c r="AI13" s="41">
        <f>INDEX('Retention'!$H$11:$BO$11,1,AI$6+1)</f>
        <v>0.3135</v>
      </c>
      <c r="AJ13" s="41">
        <f>INDEX('Retention'!$H$11:$BO$11,1,AJ$6+1)</f>
        <v>0.308</v>
      </c>
      <c r="AK13" s="41">
        <f>INDEX('Retention'!$H$11:$BO$11,1,AK$6+1)</f>
        <v>0.305</v>
      </c>
      <c r="AL13" s="41">
        <f>INDEX('Retention'!$H$11:$BO$11,1,AL$6+1)</f>
        <v>0.302</v>
      </c>
      <c r="AM13" s="41">
        <f>INDEX('Retention'!$H$11:$BO$11,1,AM$6+1)</f>
        <v>0.299</v>
      </c>
      <c r="AN13" s="41">
        <f>INDEX('Retention'!$H$11:$BO$11,1,AN$6+1)</f>
        <v>0.296</v>
      </c>
      <c r="AO13" s="41">
        <f>INDEX('Retention'!$H$11:$BO$11,1,AO$6+1)</f>
        <v>0.293</v>
      </c>
      <c r="AP13" s="41">
        <f>INDEX('Retention'!$H$11:$BO$11,1,AP$6+1)</f>
        <v>0.29</v>
      </c>
      <c r="AQ13" s="41">
        <f>INDEX('Retention'!$H$11:$BO$11,1,AQ$6+1)</f>
        <v>0.287</v>
      </c>
    </row>
    <row r="14" ht="22" customHeight="1">
      <c r="A14" s="2" t="str">
        <v>Q</v>
      </c>
      <c r="B14" s="6" t="str">
        <v>Survival from the previous age</v>
      </c>
      <c r="C14" s="2" t="str">
        <v>fraction</v>
      </c>
      <c r="D14" s="2" t="str">
        <v>NA</v>
      </c>
      <c r="E14" s="2"/>
      <c r="F14" s="6" t="str"/>
      <c r="G14" s="2"/>
      <c r="H14" s="40">
        <f>1</f>
        <v>1</v>
      </c>
      <c r="I14" s="40">
        <f>IF(H13&gt;0,I13/H13,0)</f>
        <v>0.7</v>
      </c>
      <c r="J14" s="40">
        <f>IF(I13&gt;0,J13/I13,0)</f>
        <v>0.8571428571428572</v>
      </c>
      <c r="K14" s="40">
        <f>IF(J13&gt;0,K13/J13,0)</f>
        <v>0.9166666666666667</v>
      </c>
      <c r="L14" s="40">
        <f>IF(K13&gt;0,L13/K13,0)</f>
        <v>0.9090909090909091</v>
      </c>
      <c r="M14" s="40">
        <f>IF(L13&gt;0,M13/L13,0)</f>
        <v>0.94</v>
      </c>
      <c r="N14" s="40">
        <f>IF(M13&gt;0,N13/M13,0)</f>
        <v>0.9574468085106383</v>
      </c>
      <c r="O14" s="40">
        <f>IF(N13&gt;0,O13/N13,0)</f>
        <v>0.9555555555555555</v>
      </c>
      <c r="P14" s="40">
        <f>IF(O13&gt;0,P13/O13,0)</f>
        <v>0.9534883720930232</v>
      </c>
      <c r="Q14" s="40">
        <f>IF(P13&gt;0,Q13/P13,0)</f>
        <v>0.951219512195122</v>
      </c>
      <c r="R14" s="40">
        <f>IF(Q13&gt;0,R13/Q13,0)</f>
        <v>0.9743589743589743</v>
      </c>
      <c r="S14" s="40">
        <f>IF(R13&gt;0,S13/R13,0)</f>
        <v>0.9736842105263158</v>
      </c>
      <c r="T14" s="40">
        <f>IF(S13&gt;0,T13/S13,0)</f>
        <v>0.9729729729729729</v>
      </c>
      <c r="U14" s="40">
        <f>IF(T13&gt;0,U13/T13,0)</f>
        <v>0.9930555555555556</v>
      </c>
      <c r="V14" s="40">
        <f>IF(U13&gt;0,V13/U13,0)</f>
        <v>0.993006993006993</v>
      </c>
      <c r="W14" s="40">
        <f>IF(V13&gt;0,W13/V13,0)</f>
        <v>0.9929577464788732</v>
      </c>
      <c r="X14" s="40">
        <f>IF(W13&gt;0,X13/W13,0)</f>
        <v>0.9929078014184397</v>
      </c>
      <c r="Y14" s="40">
        <f>IF(X13&gt;0,Y13/X13,0)</f>
        <v>0.9928571428571429</v>
      </c>
      <c r="Z14" s="40">
        <f>IF(Y13&gt;0,Z13/Y13,0)</f>
        <v>0.9928057553956835</v>
      </c>
      <c r="AA14" s="40">
        <f>IF(Z13&gt;0,AA13/Z13,0)</f>
        <v>0.992753623188406</v>
      </c>
      <c r="AB14" s="40">
        <f>IF(AA13&gt;0,AB13/AA13,0)</f>
        <v>0.9927007299270073</v>
      </c>
      <c r="AC14" s="40">
        <f>IF(AB13&gt;0,AC13/AB13,0)</f>
        <v>0.9926470588235294</v>
      </c>
      <c r="AD14" s="40">
        <f>IF(AC13&gt;0,AD13/AC13,0)</f>
        <v>0.9925925925925926</v>
      </c>
      <c r="AE14" s="40">
        <f>IF(AD13&gt;0,AE13/AD13,0)</f>
        <v>0.9925373134328358</v>
      </c>
      <c r="AF14" s="40">
        <f>IF(AE13&gt;0,AF13/AE13,0)</f>
        <v>0.9924812030075187</v>
      </c>
      <c r="AG14" s="40">
        <f>IF(AF13&gt;0,AG13/AF13,0)</f>
        <v>0.9833333333333333</v>
      </c>
      <c r="AH14" s="40">
        <f>IF(AG13&gt;0,AH13/AG13,0)</f>
        <v>0.983050847457627</v>
      </c>
      <c r="AI14" s="40">
        <f>IF(AH13&gt;0,AI13/AH13,0)</f>
        <v>0.9827586206896551</v>
      </c>
      <c r="AJ14" s="40">
        <f>IF(AI13&gt;0,AJ13/AI13,0)</f>
        <v>0.9824561403508771</v>
      </c>
      <c r="AK14" s="40">
        <f>IF(AJ13&gt;0,AK13/AJ13,0)</f>
        <v>0.9902597402597403</v>
      </c>
      <c r="AL14" s="40">
        <f>IF(AK13&gt;0,AL13/AK13,0)</f>
        <v>0.9901639344262295</v>
      </c>
      <c r="AM14" s="40">
        <f>IF(AL13&gt;0,AM13/AL13,0)</f>
        <v>0.9900662251655629</v>
      </c>
      <c r="AN14" s="40">
        <f>IF(AM13&gt;0,AN13/AM13,0)</f>
        <v>0.9899665551839465</v>
      </c>
      <c r="AO14" s="40">
        <f>IF(AN13&gt;0,AO13/AN13,0)</f>
        <v>0.9898648648648648</v>
      </c>
      <c r="AP14" s="40">
        <f>IF(AO13&gt;0,AP13/AO13,0)</f>
        <v>0.9897610921501706</v>
      </c>
      <c r="AQ14" s="40">
        <f>IF(AP13&gt;0,AQ13/AP13,0)</f>
        <v>0.9896551724137931</v>
      </c>
    </row>
    <row r="15" ht="22" customHeight="1">
      <c r="A15" s="2" t="str">
        <v>R1_GATE</v>
      </c>
      <c r="B15" s="6" t="str">
        <v>Subscriptions launched (1 = yes)</v>
      </c>
      <c r="C15" s="2" t="str">
        <v>flag</v>
      </c>
      <c r="D15" s="2" t="str">
        <v>NA</v>
      </c>
      <c r="E15" s="2"/>
      <c r="F15" s="6" t="str"/>
      <c r="G15" s="2"/>
      <c r="H15" s="38">
        <f>IF($E$11+H$6&gt;='Inputs'!$E$11,1,0)</f>
        <v>1</v>
      </c>
      <c r="I15" s="38">
        <f>IF($E$11+I$6&gt;='Inputs'!$E$11,1,0)</f>
        <v>1</v>
      </c>
      <c r="J15" s="38">
        <f>IF($E$11+J$6&gt;='Inputs'!$E$11,1,0)</f>
        <v>1</v>
      </c>
      <c r="K15" s="38">
        <f>IF($E$11+K$6&gt;='Inputs'!$E$11,1,0)</f>
        <v>1</v>
      </c>
      <c r="L15" s="38">
        <f>IF($E$11+L$6&gt;='Inputs'!$E$11,1,0)</f>
        <v>1</v>
      </c>
      <c r="M15" s="38">
        <f>IF($E$11+M$6&gt;='Inputs'!$E$11,1,0)</f>
        <v>1</v>
      </c>
      <c r="N15" s="38">
        <f>IF($E$11+N$6&gt;='Inputs'!$E$11,1,0)</f>
        <v>1</v>
      </c>
      <c r="O15" s="38">
        <f>IF($E$11+O$6&gt;='Inputs'!$E$11,1,0)</f>
        <v>1</v>
      </c>
      <c r="P15" s="38">
        <f>IF($E$11+P$6&gt;='Inputs'!$E$11,1,0)</f>
        <v>1</v>
      </c>
      <c r="Q15" s="38">
        <f>IF($E$11+Q$6&gt;='Inputs'!$E$11,1,0)</f>
        <v>1</v>
      </c>
      <c r="R15" s="38">
        <f>IF($E$11+R$6&gt;='Inputs'!$E$11,1,0)</f>
        <v>1</v>
      </c>
      <c r="S15" s="38">
        <f>IF($E$11+S$6&gt;='Inputs'!$E$11,1,0)</f>
        <v>1</v>
      </c>
      <c r="T15" s="38">
        <f>IF($E$11+T$6&gt;='Inputs'!$E$11,1,0)</f>
        <v>1</v>
      </c>
      <c r="U15" s="38">
        <f>IF($E$11+U$6&gt;='Inputs'!$E$11,1,0)</f>
        <v>1</v>
      </c>
      <c r="V15" s="38">
        <f>IF($E$11+V$6&gt;='Inputs'!$E$11,1,0)</f>
        <v>1</v>
      </c>
      <c r="W15" s="38">
        <f>IF($E$11+W$6&gt;='Inputs'!$E$11,1,0)</f>
        <v>1</v>
      </c>
      <c r="X15" s="38">
        <f>IF($E$11+X$6&gt;='Inputs'!$E$11,1,0)</f>
        <v>1</v>
      </c>
      <c r="Y15" s="38">
        <f>IF($E$11+Y$6&gt;='Inputs'!$E$11,1,0)</f>
        <v>1</v>
      </c>
      <c r="Z15" s="38">
        <f>IF($E$11+Z$6&gt;='Inputs'!$E$11,1,0)</f>
        <v>1</v>
      </c>
      <c r="AA15" s="38">
        <f>IF($E$11+AA$6&gt;='Inputs'!$E$11,1,0)</f>
        <v>1</v>
      </c>
      <c r="AB15" s="38">
        <f>IF($E$11+AB$6&gt;='Inputs'!$E$11,1,0)</f>
        <v>1</v>
      </c>
      <c r="AC15" s="38">
        <f>IF($E$11+AC$6&gt;='Inputs'!$E$11,1,0)</f>
        <v>1</v>
      </c>
      <c r="AD15" s="38">
        <f>IF($E$11+AD$6&gt;='Inputs'!$E$11,1,0)</f>
        <v>1</v>
      </c>
      <c r="AE15" s="38">
        <f>IF($E$11+AE$6&gt;='Inputs'!$E$11,1,0)</f>
        <v>1</v>
      </c>
      <c r="AF15" s="38">
        <f>IF($E$11+AF$6&gt;='Inputs'!$E$11,1,0)</f>
        <v>1</v>
      </c>
      <c r="AG15" s="38">
        <f>IF($E$11+AG$6&gt;='Inputs'!$E$11,1,0)</f>
        <v>1</v>
      </c>
      <c r="AH15" s="38">
        <f>IF($E$11+AH$6&gt;='Inputs'!$E$11,1,0)</f>
        <v>1</v>
      </c>
      <c r="AI15" s="38">
        <f>IF($E$11+AI$6&gt;='Inputs'!$E$11,1,0)</f>
        <v>1</v>
      </c>
      <c r="AJ15" s="38">
        <f>IF($E$11+AJ$6&gt;='Inputs'!$E$11,1,0)</f>
        <v>1</v>
      </c>
      <c r="AK15" s="38">
        <f>IF($E$11+AK$6&gt;='Inputs'!$E$11,1,0)</f>
        <v>1</v>
      </c>
      <c r="AL15" s="38">
        <f>IF($E$11+AL$6&gt;='Inputs'!$E$11,1,0)</f>
        <v>1</v>
      </c>
      <c r="AM15" s="38">
        <f>IF($E$11+AM$6&gt;='Inputs'!$E$11,1,0)</f>
        <v>1</v>
      </c>
      <c r="AN15" s="38">
        <f>IF($E$11+AN$6&gt;='Inputs'!$E$11,1,0)</f>
        <v>1</v>
      </c>
      <c r="AO15" s="38">
        <f>IF($E$11+AO$6&gt;='Inputs'!$E$11,1,0)</f>
        <v>1</v>
      </c>
      <c r="AP15" s="38">
        <f>IF($E$11+AP$6&gt;='Inputs'!$E$11,1,0)</f>
        <v>1</v>
      </c>
      <c r="AQ15" s="38">
        <f>IF($E$11+AQ$6&gt;='Inputs'!$E$11,1,0)</f>
        <v>1</v>
      </c>
    </row>
    <row r="16" ht="22" customHeight="1">
      <c r="A16" s="2" t="str">
        <v>FREE_BEFORE</v>
      </c>
      <c r="B16" s="6" t="str">
        <v>Active non-payers before conversion</v>
      </c>
      <c r="C16" s="2" t="str">
        <v>count</v>
      </c>
      <c r="D16" s="2" t="str">
        <v>NA</v>
      </c>
      <c r="E16" s="2"/>
      <c r="F16" s="6" t="str"/>
      <c r="G16" s="2"/>
      <c r="H16" s="37">
        <f>MAX(0,H13-SUM(0,0,0,0)*H14)</f>
        <v>1</v>
      </c>
      <c r="I16" s="37">
        <f>MAX(0,I13-SUM(H19,H24,H27,H32)*I14)</f>
        <v>0.644</v>
      </c>
      <c r="J16" s="37">
        <f>MAX(0,J13-SUM(I19,I24,I27,I32)*J14)</f>
        <v>0.550608</v>
      </c>
      <c r="K16" s="37">
        <f>MAX(0,K13-SUM(J19,J24,J27,J32)*K14)</f>
        <v>0.503463752</v>
      </c>
      <c r="L16" s="37">
        <f>MAX(0,L13-SUM(K19,K24,K27,K32)*L14)</f>
        <v>0.4565618072</v>
      </c>
      <c r="M16" s="37">
        <f>MAX(0,M13-SUM(L19,L24,L27,L32)*M14)</f>
        <v>0.4281149335604032</v>
      </c>
      <c r="N16" s="37">
        <f>MAX(0,N13-SUM(M19,M24,M27,M32)*N14)</f>
        <v>0.40889898979833544</v>
      </c>
      <c r="O16" s="37">
        <f>MAX(0,O13-SUM(N19,N24,N27,N32)*O14)</f>
        <v>0.3897806638947713</v>
      </c>
      <c r="P16" s="37">
        <f>MAX(0,P13-SUM(O19,O24,O27,O32)*P14)</f>
        <v>0.37075808319138887</v>
      </c>
      <c r="Q16" s="37">
        <f>MAX(0,Q13-SUM(P19,P24,P27,P32)*Q14)</f>
        <v>0.3518295559301344</v>
      </c>
      <c r="R16" s="37">
        <f>MAX(0,R13-SUM(Q19,Q24,Q27,Q32)*R14)</f>
        <v>0.34199337706684285</v>
      </c>
      <c r="S16" s="37">
        <f>MAX(0,S13-SUM(R19,R24,R27,R32)*S14)</f>
        <v>0.3322057495116685</v>
      </c>
      <c r="T16" s="37">
        <f>MAX(0,T13-SUM(S19,S24,S27,S32)*T14)</f>
        <v>0.3224658411654713</v>
      </c>
      <c r="U16" s="37">
        <f>MAX(0,U13-SUM(T19,T24,T27,T32)*U14)</f>
        <v>0.32505217210703297</v>
      </c>
      <c r="V16" s="37">
        <f>MAX(0,V13-SUM(U19,U24,U27,U32)*V14)</f>
        <v>0.3225026325929638</v>
      </c>
      <c r="W16" s="37">
        <f>MAX(0,W13-SUM(V19,V24,V27,V32)*W14)</f>
        <v>0.31995891442058166</v>
      </c>
      <c r="X16" s="37">
        <f>MAX(0,X13-SUM(W19,W24,W27,W32)*X14)</f>
        <v>0.3174207495025337</v>
      </c>
      <c r="Y16" s="37">
        <f>MAX(0,Y13-SUM(X19,X24,X27,X32)*Y14)</f>
        <v>0.314887898070329</v>
      </c>
      <c r="Z16" s="37">
        <f>MAX(0,Z13-SUM(Y19,Y24,Y27,Y32)*Z14)</f>
        <v>0.31236014581993715</v>
      </c>
      <c r="AA16" s="37">
        <f>MAX(0,AA13-SUM(Z19,Z24,Z27,Z32)*AA14)</f>
        <v>0.30983730134333076</v>
      </c>
      <c r="AB16" s="37">
        <f>MAX(0,AB13-SUM(AA19,AA24,AA27,AA32)*AB14)</f>
        <v>0.3073191938173966</v>
      </c>
      <c r="AC16" s="37">
        <f>MAX(0,AC13-SUM(AB19,AB24,AB27,AB32)*AC14)</f>
        <v>0.30480567092448974</v>
      </c>
      <c r="AD16" s="37">
        <f>MAX(0,AD13-SUM(AC19,AC24,AC27,AC32)*AD14)</f>
        <v>0.3022965969814714</v>
      </c>
      <c r="AE16" s="37">
        <f>MAX(0,AE13-SUM(AD19,AD24,AD27,AD32)*AE14)</f>
        <v>0.29979185125638114</v>
      </c>
      <c r="AF16" s="37">
        <f>MAX(0,AF13-SUM(AE19,AE24,AE27,AE32)*AF14)</f>
        <v>0.29729132645397544</v>
      </c>
      <c r="AG16" s="37">
        <f>MAX(0,AG13-SUM(AF19,AF24,AF27,AF32)*AG14)</f>
        <v>0.2938662858049634</v>
      </c>
      <c r="AH16" s="37">
        <f>MAX(0,AH13-SUM(AG19,AG24,AG27,AG32)*AH14)</f>
        <v>0.2888020237949106</v>
      </c>
      <c r="AI16" s="37">
        <f>MAX(0,AI13-SUM(AH19,AH24,AH27,AH32)*AI14)</f>
        <v>0.28374077207018694</v>
      </c>
      <c r="AJ16" s="37">
        <f>MAX(0,AJ13-SUM(AI19,AI24,AI27,AI32)*AJ14)</f>
        <v>0.2786824670767654</v>
      </c>
      <c r="AK16" s="37">
        <f>MAX(0,AK13-SUM(AJ19,AJ24,AJ27,AJ32)*AK14)</f>
        <v>0.27588843531545104</v>
      </c>
      <c r="AL16" s="37">
        <f>MAX(0,AL13-SUM(AK19,AK24,AK27,AK32)*AL14)</f>
        <v>0.27309594530997644</v>
      </c>
      <c r="AM16" s="37">
        <f>MAX(0,AM13-SUM(AL19,AL24,AL27,AL32)*AM14)</f>
        <v>0.2703049573311528</v>
      </c>
      <c r="AN16" s="37">
        <f>MAX(0,AN13-SUM(AM19,AM24,AM27,AM32)*AN14)</f>
        <v>0.2675154371844906</v>
      </c>
      <c r="AO16" s="37">
        <f>MAX(0,AO13-SUM(AN19,AN24,AN27,AN32)*AO14)</f>
        <v>0.26472735564410876</v>
      </c>
      <c r="AP16" s="37">
        <f>MAX(0,AP13-SUM(AO19,AO24,AO27,AO32)*AP14)</f>
        <v>0.2619406879438343</v>
      </c>
      <c r="AQ16" s="37">
        <f>MAX(0,AQ13-SUM(AP19,AP24,AP27,AP32)*AQ14)</f>
        <v>0.25915541331973696</v>
      </c>
    </row>
    <row r="17" ht="22" customHeight="1">
      <c r="A17" s="2" t="str">
        <v>NEW</v>
      </c>
      <c r="B17" s="6" t="str">
        <v>New paying subscribers</v>
      </c>
      <c r="C17" s="2" t="str">
        <v>count</v>
      </c>
      <c r="D17" s="2" t="str">
        <v>NA</v>
      </c>
      <c r="E17" s="2"/>
      <c r="F17" s="6" t="str"/>
      <c r="G17" s="2"/>
      <c r="H17" s="38">
        <f>H16*'Inputs'!$E$20*H15</f>
        <v>0.08</v>
      </c>
      <c r="I17" s="38">
        <f>I16*'Inputs'!$E$21*I15</f>
        <v>0.005152</v>
      </c>
      <c r="J17" s="38">
        <f>J16*'Inputs'!$E$21*J15</f>
        <v>0.004404864</v>
      </c>
      <c r="K17" s="38">
        <f>K16*'Inputs'!$E$21*K15</f>
        <v>0.004027710016</v>
      </c>
      <c r="L17" s="38">
        <f>L16*'Inputs'!$E$21*L15</f>
        <v>0.0036524944576</v>
      </c>
      <c r="M17" s="38">
        <f>M16*'Inputs'!$E$21*M15</f>
        <v>0.0034249194684832255</v>
      </c>
      <c r="N17" s="38">
        <f>N16*'Inputs'!$E$21*N15</f>
        <v>0.0032711919183866837</v>
      </c>
      <c r="O17" s="38">
        <f>O16*'Inputs'!$E$21*O15</f>
        <v>0.0031182453111581704</v>
      </c>
      <c r="P17" s="38">
        <f>P16*'Inputs'!$E$21*P15</f>
        <v>0.002966064665531111</v>
      </c>
      <c r="Q17" s="38">
        <f>Q16*'Inputs'!$E$21*Q15</f>
        <v>0.002814636447441075</v>
      </c>
      <c r="R17" s="38">
        <f>R16*'Inputs'!$E$21*R15</f>
        <v>0.002735947016534743</v>
      </c>
      <c r="S17" s="38">
        <f>S16*'Inputs'!$E$21*S15</f>
        <v>0.0026576459960933477</v>
      </c>
      <c r="T17" s="38">
        <f>T16*'Inputs'!$E$21*T15</f>
        <v>0.0025797267293237703</v>
      </c>
      <c r="U17" s="38">
        <f>U16*'Inputs'!$E$21*U15</f>
        <v>0.002600417376856264</v>
      </c>
      <c r="V17" s="38">
        <f>V16*'Inputs'!$E$21*V15</f>
        <v>0.0025800210607437105</v>
      </c>
      <c r="W17" s="38">
        <f>W16*'Inputs'!$E$21*W15</f>
        <v>0.0025596713153646536</v>
      </c>
      <c r="X17" s="38">
        <f>X16*'Inputs'!$E$21*X15</f>
        <v>0.0025393659960202693</v>
      </c>
      <c r="Y17" s="38">
        <f>Y16*'Inputs'!$E$21*Y15</f>
        <v>0.002519103184562632</v>
      </c>
      <c r="Z17" s="38">
        <f>Z16*'Inputs'!$E$21*Z15</f>
        <v>0.002498881166559497</v>
      </c>
      <c r="AA17" s="38">
        <f>AA16*'Inputs'!$E$21*AA15</f>
        <v>0.002478698410746646</v>
      </c>
      <c r="AB17" s="38">
        <f>AB16*'Inputs'!$E$21*AB15</f>
        <v>0.002458553550539173</v>
      </c>
      <c r="AC17" s="38">
        <f>AC16*'Inputs'!$E$21*AC15</f>
        <v>0.002438445367395918</v>
      </c>
      <c r="AD17" s="38">
        <f>AD16*'Inputs'!$E$21*AD15</f>
        <v>0.002418372775851771</v>
      </c>
      <c r="AE17" s="38">
        <f>AE16*'Inputs'!$E$21*AE15</f>
        <v>0.002398334810051049</v>
      </c>
      <c r="AF17" s="38">
        <f>AF16*'Inputs'!$E$21*AF15</f>
        <v>0.0023783306116318035</v>
      </c>
      <c r="AG17" s="38">
        <f>AG16*'Inputs'!$E$21*AG15</f>
        <v>0.0023509302864397072</v>
      </c>
      <c r="AH17" s="38">
        <f>AH16*'Inputs'!$E$21*AH15</f>
        <v>0.002310416190359285</v>
      </c>
      <c r="AI17" s="38">
        <f>AI16*'Inputs'!$E$21*AI15</f>
        <v>0.0022699261765614957</v>
      </c>
      <c r="AJ17" s="38">
        <f>AJ16*'Inputs'!$E$21*AJ15</f>
        <v>0.0022294597366141235</v>
      </c>
      <c r="AK17" s="38">
        <f>AK16*'Inputs'!$E$21*AK15</f>
        <v>0.0022071074825236086</v>
      </c>
      <c r="AL17" s="38">
        <f>AL16*'Inputs'!$E$21*AL15</f>
        <v>0.0021847675624798116</v>
      </c>
      <c r="AM17" s="38">
        <f>AM16*'Inputs'!$E$21*AM15</f>
        <v>0.0021624396586492223</v>
      </c>
      <c r="AN17" s="38">
        <f>AN16*'Inputs'!$E$21*AN15</f>
        <v>0.002140123497475925</v>
      </c>
      <c r="AO17" s="38">
        <f>AO16*'Inputs'!$E$21*AO15</f>
        <v>0.00211781884515287</v>
      </c>
      <c r="AP17" s="38">
        <f>AP16*'Inputs'!$E$21*AP15</f>
        <v>0.0020955255035506742</v>
      </c>
      <c r="AQ17" s="38">
        <f>AQ16*'Inputs'!$E$21*AQ15</f>
        <v>0.0020732433065578956</v>
      </c>
    </row>
    <row r="18" ht="22" customHeight="1">
      <c r="A18" s="2" t="str">
        <v>PLUS.M</v>
      </c>
      <c r="B18" s="6" t="str">
        <v>Plus monthly plans</v>
      </c>
      <c r="C18" s="2" t="str">
        <v>count</v>
      </c>
      <c r="D18" s="2" t="str">
        <v>NA</v>
      </c>
      <c r="E18" s="2"/>
      <c r="F18" s="6" t="str"/>
      <c r="G18" s="2"/>
      <c r="H18" s="38">
        <f>0*(1-'Inputs'!$E$23)+H17*(1-'Inputs'!$E$19)*(1-'Inputs'!$E$22)</f>
        <v>0.041999999999999996</v>
      </c>
      <c r="I18" s="38">
        <f>H18*(1-'Inputs'!$E$23)+I17*(1-'Inputs'!$E$19)*(1-'Inputs'!$E$22)</f>
        <v>0.0409248</v>
      </c>
      <c r="J18" s="38">
        <f>I18*(1-'Inputs'!$E$23)+J17*(1-'Inputs'!$E$19)*(1-'Inputs'!$E$22)</f>
        <v>0.03955412159999999</v>
      </c>
      <c r="K18" s="38">
        <f>J18*(1-'Inputs'!$E$23)+K17*(1-'Inputs'!$E$19)*(1-'Inputs'!$E$22)</f>
        <v>0.03810879841439999</v>
      </c>
      <c r="L18" s="38">
        <f>K18*(1-'Inputs'!$E$23)+L17*(1-'Inputs'!$E$19)*(1-'Inputs'!$E$22)</f>
        <v>0.036596566147343995</v>
      </c>
      <c r="M18" s="38">
        <f>L18*(1-'Inputs'!$E$23)+M17*(1-'Inputs'!$E$19)*(1-'Inputs'!$E$22)</f>
        <v>0.03510095791503673</v>
      </c>
      <c r="N18" s="38">
        <f>M18*(1-'Inputs'!$E$23)+N17*(1-'Inputs'!$E$19)*(1-'Inputs'!$E$22)</f>
        <v>0.03365924745983643</v>
      </c>
      <c r="O18" s="38">
        <f>N18*(1-'Inputs'!$E$23)+O17*(1-'Inputs'!$E$19)*(1-'Inputs'!$E$22)</f>
        <v>0.03226699397680919</v>
      </c>
      <c r="P18" s="38">
        <f>O18*(1-'Inputs'!$E$23)+P17*(1-'Inputs'!$E$19)*(1-'Inputs'!$E$22)</f>
        <v>0.0309201484683002</v>
      </c>
      <c r="Q18" s="38">
        <f>P18*(1-'Inputs'!$E$23)+Q17*(1-'Inputs'!$E$19)*(1-'Inputs'!$E$22)</f>
        <v>0.029615019241059748</v>
      </c>
      <c r="R18" s="38">
        <f>Q18*(1-'Inputs'!$E$23)+R17*(1-'Inputs'!$E$19)*(1-'Inputs'!$E$22)</f>
        <v>0.02838603969304511</v>
      </c>
      <c r="S18" s="38">
        <f>R18*(1-'Inputs'!$E$23)+S17*(1-'Inputs'!$E$19)*(1-'Inputs'!$E$22)</f>
        <v>0.027226560268620057</v>
      </c>
      <c r="T18" s="38">
        <f>S18*(1-'Inputs'!$E$23)+T17*(1-'Inputs'!$E$19)*(1-'Inputs'!$E$22)</f>
        <v>0.02613052637733923</v>
      </c>
      <c r="U18" s="38">
        <f>T18*(1-'Inputs'!$E$23)+U17*(1-'Inputs'!$E$19)*(1-'Inputs'!$E$22)</f>
        <v>0.025143998126228237</v>
      </c>
      <c r="V18" s="38">
        <f>U18*(1-'Inputs'!$E$23)+V17*(1-'Inputs'!$E$19)*(1-'Inputs'!$E$22)</f>
        <v>0.024235549351758142</v>
      </c>
      <c r="W18" s="38">
        <f>V18*(1-'Inputs'!$E$23)+W17*(1-'Inputs'!$E$19)*(1-'Inputs'!$E$22)</f>
        <v>0.023398177350666353</v>
      </c>
      <c r="X18" s="38">
        <f>W18*(1-'Inputs'!$E$23)+X17*(1-'Inputs'!$E$19)*(1-'Inputs'!$E$22)</f>
        <v>0.022625508537017024</v>
      </c>
      <c r="Y18" s="38">
        <f>X18*(1-'Inputs'!$E$23)+Y17*(1-'Inputs'!$E$19)*(1-'Inputs'!$E$22)</f>
        <v>0.021911741940580876</v>
      </c>
      <c r="Z18" s="38">
        <f>Y18*(1-'Inputs'!$E$23)+Z17*(1-'Inputs'!$E$19)*(1-'Inputs'!$E$22)</f>
        <v>0.021251597778372332</v>
      </c>
      <c r="AA18" s="38">
        <f>Z18*(1-'Inputs'!$E$23)+AA17*(1-'Inputs'!$E$19)*(1-'Inputs'!$E$22)</f>
        <v>0.020640270643960814</v>
      </c>
      <c r="AB18" s="38">
        <f>AA18*(1-'Inputs'!$E$23)+AB17*(1-'Inputs'!$E$19)*(1-'Inputs'!$E$22)</f>
        <v>0.020073386900037408</v>
      </c>
      <c r="AC18" s="38">
        <f>AB18*(1-'Inputs'!$E$23)+AC17*(1-'Inputs'!$E$19)*(1-'Inputs'!$E$22)</f>
        <v>0.019546965896916898</v>
      </c>
      <c r="AD18" s="38">
        <f>AC18*(1-'Inputs'!$E$23)+AD17*(1-'Inputs'!$E$19)*(1-'Inputs'!$E$22)</f>
        <v>0.01905738467351656</v>
      </c>
      <c r="AE18" s="38">
        <f>AD18*(1-'Inputs'!$E$23)+AE17*(1-'Inputs'!$E$19)*(1-'Inputs'!$E$22)</f>
        <v>0.01860134582817687</v>
      </c>
      <c r="AF18" s="38">
        <f>AE18*(1-'Inputs'!$E$23)+AF17*(1-'Inputs'!$E$19)*(1-'Inputs'!$E$22)</f>
        <v>0.01817584827474765</v>
      </c>
      <c r="AG18" s="38">
        <f>AF18*(1-'Inputs'!$E$23)+AG17*(1-'Inputs'!$E$19)*(1-'Inputs'!$E$22)</f>
        <v>0.017774260330401206</v>
      </c>
      <c r="AH18" s="38">
        <f>AG18*(1-'Inputs'!$E$23)+AH17*(1-'Inputs'!$E$19)*(1-'Inputs'!$E$22)</f>
        <v>0.01738754540060372</v>
      </c>
      <c r="AI18" s="38">
        <f>AH18*(1-'Inputs'!$E$23)+AI17*(1-'Inputs'!$E$19)*(1-'Inputs'!$E$22)</f>
        <v>0.01701437755724417</v>
      </c>
      <c r="AJ18" s="38">
        <f>AI18*(1-'Inputs'!$E$23)+AJ17*(1-'Inputs'!$E$19)*(1-'Inputs'!$E$22)</f>
        <v>0.016653549938814613</v>
      </c>
      <c r="AK18" s="38">
        <f>AJ18*(1-'Inputs'!$E$23)+AK17*(1-'Inputs'!$E$19)*(1-'Inputs'!$E$22)</f>
        <v>0.016313461872646193</v>
      </c>
      <c r="AL18" s="38">
        <f>AK18*(1-'Inputs'!$E$23)+AL17*(1-'Inputs'!$E$19)*(1-'Inputs'!$E$22)</f>
        <v>0.015992253274409937</v>
      </c>
      <c r="AM18" s="38">
        <f>AL18*(1-'Inputs'!$E$23)+AM17*(1-'Inputs'!$E$19)*(1-'Inputs'!$E$22)</f>
        <v>0.015688231300503886</v>
      </c>
      <c r="AN18" s="38">
        <f>AM18*(1-'Inputs'!$E$23)+AN17*(1-'Inputs'!$E$19)*(1-'Inputs'!$E$22)</f>
        <v>0.015399855319633398</v>
      </c>
      <c r="AO18" s="38">
        <f>AN18*(1-'Inputs'!$E$23)+AO17*(1-'Inputs'!$E$19)*(1-'Inputs'!$E$22)</f>
        <v>0.01512572323457165</v>
      </c>
      <c r="AP18" s="38">
        <f>AO18*(1-'Inputs'!$E$23)+AP17*(1-'Inputs'!$E$19)*(1-'Inputs'!$E$22)</f>
        <v>0.014864559032824305</v>
      </c>
      <c r="AQ18" s="38">
        <f>AP18*(1-'Inputs'!$E$23)+AQ17*(1-'Inputs'!$E$19)*(1-'Inputs'!$E$22)</f>
        <v>0.014615201455813014</v>
      </c>
    </row>
    <row r="19" ht="22" customHeight="1">
      <c r="A19" s="2" t="str">
        <v>PLUS.MA</v>
      </c>
      <c r="B19" s="6" t="str">
        <v>Plus monthly plans, active users</v>
      </c>
      <c r="C19" s="2" t="str">
        <v>count</v>
      </c>
      <c r="D19" s="2" t="str">
        <v>NA</v>
      </c>
      <c r="E19" s="2"/>
      <c r="F19" s="6" t="str"/>
      <c r="G19" s="2"/>
      <c r="H19" s="38">
        <f>0*H14*(1-'Inputs'!$E$23)+H17*(1-'Inputs'!$E$19)*(1-'Inputs'!$E$22)</f>
        <v>0.041999999999999996</v>
      </c>
      <c r="I19" s="38">
        <f>H19*I14*(1-'Inputs'!$E$23)+I17*(1-'Inputs'!$E$19)*(1-'Inputs'!$E$22)</f>
        <v>0.029458799999999997</v>
      </c>
      <c r="J19" s="38">
        <f>I19*J14*(1-'Inputs'!$E$23)+J17*(1-'Inputs'!$E$19)*(1-'Inputs'!$E$22)</f>
        <v>0.0252904176</v>
      </c>
      <c r="K19" s="38">
        <f>J19*K14*(1-'Inputs'!$E$23)+K17*(1-'Inputs'!$E$19)*(1-'Inputs'!$E$22)</f>
        <v>0.023210971106400004</v>
      </c>
      <c r="L19" s="38">
        <f>K19*L14*(1-'Inputs'!$E$23)+L17*(1-'Inputs'!$E$19)*(1-'Inputs'!$E$22)</f>
        <v>0.02111936296008</v>
      </c>
      <c r="M19" s="38">
        <f>L19*M14*(1-'Inputs'!$E$23)+M17*(1-'Inputs'!$E$19)*(1-'Inputs'!$E$22)</f>
        <v>0.019863585797006124</v>
      </c>
      <c r="N19" s="38">
        <f>M19*N14*(1-'Inputs'!$E$23)+N17*(1-'Inputs'!$E$19)*(1-'Inputs'!$E$22)</f>
        <v>0.019024053169650897</v>
      </c>
      <c r="O19" s="38">
        <f>N19*O14*(1-'Inputs'!$E$23)+O17*(1-'Inputs'!$E$19)*(1-'Inputs'!$E$22)</f>
        <v>0.01817954991121225</v>
      </c>
      <c r="P19" s="38">
        <f>O19*P14*(1-'Inputs'!$E$23)+P17*(1-'Inputs'!$E$19)*(1-'Inputs'!$E$22)</f>
        <v>0.01733111434910916</v>
      </c>
      <c r="Q19" s="38">
        <f>P19*Q14*(1-'Inputs'!$E$23)+Q17*(1-'Inputs'!$E$19)*(1-'Inputs'!$E$22)</f>
        <v>0.016479665799537885</v>
      </c>
      <c r="R19" s="38">
        <f>Q19*R14*(1-'Inputs'!$E$23)+R17*(1-'Inputs'!$E$19)*(1-'Inputs'!$E$22)</f>
        <v>0.016048342525937665</v>
      </c>
      <c r="S19" s="38">
        <f>R19*S14*(1-'Inputs'!$E$23)+S17*(1-'Inputs'!$E$19)*(1-'Inputs'!$E$22)</f>
        <v>0.015614940275536407</v>
      </c>
      <c r="T19" s="38">
        <f>S19*T14*(1-'Inputs'!$E$23)+T17*(1-'Inputs'!$E$19)*(1-'Inputs'!$E$22)</f>
        <v>0.015179909057937483</v>
      </c>
      <c r="U19" s="38">
        <f>T19*U14*(1-'Inputs'!$E$23)+U17*(1-'Inputs'!$E$19)*(1-'Inputs'!$E$22)</f>
        <v>0.015083007773609294</v>
      </c>
      <c r="V19" s="38">
        <f>U19*V14*(1-'Inputs'!$E$23)+V17*(1-'Inputs'!$E$19)*(1-'Inputs'!$E$22)</f>
        <v>0.014984065354133755</v>
      </c>
      <c r="W19" s="38">
        <f>V19*W14*(1-'Inputs'!$E$23)+W17*(1-'Inputs'!$E$19)*(1-'Inputs'!$E$22)</f>
        <v>0.014883302268657304</v>
      </c>
      <c r="X19" s="38">
        <f>W19*X14*(1-'Inputs'!$E$23)+X17*(1-'Inputs'!$E$19)*(1-'Inputs'!$E$22)</f>
        <v>0.014780916857321568</v>
      </c>
      <c r="Y19" s="38">
        <f>X19*Y14*(1-'Inputs'!$E$23)+Y17*(1-'Inputs'!$E$19)*(1-'Inputs'!$E$22)</f>
        <v>0.014677087552485419</v>
      </c>
      <c r="Z19" s="38">
        <f>Y19*Z14*(1-'Inputs'!$E$23)+Z17*(1-'Inputs'!$E$19)*(1-'Inputs'!$E$22)</f>
        <v>0.014571974877487757</v>
      </c>
      <c r="AA19" s="38">
        <f>Z19*AA14*(1-'Inputs'!$E$23)+AA17*(1-'Inputs'!$E$19)*(1-'Inputs'!$E$22)</f>
        <v>0.014465723245181115</v>
      </c>
      <c r="AB19" s="38">
        <f>AA19*AB14*(1-'Inputs'!$E$23)+AB17*(1-'Inputs'!$E$19)*(1-'Inputs'!$E$22)</f>
        <v>0.014358462576249233</v>
      </c>
      <c r="AC19" s="38">
        <f>AB19*AC14*(1-'Inputs'!$E$23)+AC17*(1-'Inputs'!$E$19)*(1-'Inputs'!$E$22)</f>
        <v>0.014250309755325638</v>
      </c>
      <c r="AD19" s="38">
        <f>AC19*AD14*(1-'Inputs'!$E$23)+AD17*(1-'Inputs'!$E$19)*(1-'Inputs'!$E$22)</f>
        <v>0.014141369941132612</v>
      </c>
      <c r="AE19" s="38">
        <f>AD19*AE14*(1-'Inputs'!$E$23)+AE17*(1-'Inputs'!$E$19)*(1-'Inputs'!$E$22)</f>
        <v>0.014031737745241578</v>
      </c>
      <c r="AF19" s="38">
        <f>AE19*AF14*(1-'Inputs'!$E$23)+AF17*(1-'Inputs'!$E$19)*(1-'Inputs'!$E$22)</f>
        <v>0.01392149829259856</v>
      </c>
      <c r="AG19" s="38">
        <f>AF19*AG14*(1-'Inputs'!$E$23)+AG17*(1-'Inputs'!$E$19)*(1-'Inputs'!$E$22)</f>
        <v>0.013691659122541125</v>
      </c>
      <c r="AH19" s="38">
        <f>AG19*AH14*(1-'Inputs'!$E$23)+AH17*(1-'Inputs'!$E$19)*(1-'Inputs'!$E$22)</f>
        <v>0.013461201864137278</v>
      </c>
      <c r="AI19" s="38">
        <f>AH19*AI14*(1-'Inputs'!$E$23)+AI17*(1-'Inputs'!$E$19)*(1-'Inputs'!$E$22)</f>
        <v>0.013230203323605142</v>
      </c>
      <c r="AJ19" s="38">
        <f>AI19*AJ14*(1-'Inputs'!$E$23)+AJ17*(1-'Inputs'!$E$19)*(1-'Inputs'!$E$22)</f>
        <v>0.012998732350685889</v>
      </c>
      <c r="AK19" s="38">
        <f>AJ19*AK14*(1-'Inputs'!$E$23)+AK17*(1-'Inputs'!$E$19)*(1-'Inputs'!$E$22)</f>
        <v>0.01287236183070434</v>
      </c>
      <c r="AL19" s="38">
        <f>AK19*AL14*(1-'Inputs'!$E$23)+AL17*(1-'Inputs'!$E$19)*(1-'Inputs'!$E$22)</f>
        <v>0.012745634046741791</v>
      </c>
      <c r="AM19" s="38">
        <f>AL19*AM14*(1-'Inputs'!$E$23)+AM17*(1-'Inputs'!$E$19)*(1-'Inputs'!$E$22)</f>
        <v>0.012618590647870227</v>
      </c>
      <c r="AN19" s="38">
        <f>AM19*AN14*(1-'Inputs'!$E$23)+AN17*(1-'Inputs'!$E$19)*(1-'Inputs'!$E$22)</f>
        <v>0.012491269106777952</v>
      </c>
      <c r="AO19" s="38">
        <f>AN19*AO14*(1-'Inputs'!$E$23)+AO17*(1-'Inputs'!$E$19)*(1-'Inputs'!$E$22)</f>
        <v>0.012363703143503248</v>
      </c>
      <c r="AP19" s="38">
        <f>AO19*AP14*(1-'Inputs'!$E$23)+AP17*(1-'Inputs'!$E$19)*(1-'Inputs'!$E$22)</f>
        <v>0.012235923106328293</v>
      </c>
      <c r="AQ19" s="38">
        <f>AP19*AQ14*(1-'Inputs'!$E$23)+AQ17*(1-'Inputs'!$E$19)*(1-'Inputs'!$E$22)</f>
        <v>0.012107956314148965</v>
      </c>
    </row>
    <row r="20" ht="22" customHeight="1">
      <c r="A20" s="2" t="str">
        <v>PLUS.YB</v>
      </c>
      <c r="B20" s="6" t="str">
        <v>Plus annual plans billed</v>
      </c>
      <c r="C20" s="2" t="str">
        <v>count</v>
      </c>
      <c r="D20" s="2" t="str">
        <v>NA</v>
      </c>
      <c r="E20" s="2"/>
      <c r="F20" s="6" t="str"/>
      <c r="G20" s="2"/>
      <c r="H20" s="38">
        <f>H17*(1-'Inputs'!$E$19)*'Inputs'!$E$22+0*'Inputs'!$E$24</f>
        <v>0.018</v>
      </c>
      <c r="I20" s="38">
        <f>I17*(1-'Inputs'!$E$19)*'Inputs'!$E$22+0*'Inputs'!$E$24</f>
        <v>0.0011592</v>
      </c>
      <c r="J20" s="38">
        <f>J17*(1-'Inputs'!$E$19)*'Inputs'!$E$22+0*'Inputs'!$E$24</f>
        <v>0.0009910943999999998</v>
      </c>
      <c r="K20" s="38">
        <f>K17*(1-'Inputs'!$E$19)*'Inputs'!$E$22+0*'Inputs'!$E$24</f>
        <v>0.0009062347536</v>
      </c>
      <c r="L20" s="38">
        <f>L17*(1-'Inputs'!$E$19)*'Inputs'!$E$22+0*'Inputs'!$E$24</f>
        <v>0.0008218112529599999</v>
      </c>
      <c r="M20" s="38">
        <f>M17*(1-'Inputs'!$E$19)*'Inputs'!$E$22+0*'Inputs'!$E$24</f>
        <v>0.0007706068804087257</v>
      </c>
      <c r="N20" s="38">
        <f>N17*(1-'Inputs'!$E$19)*'Inputs'!$E$22+0*'Inputs'!$E$24</f>
        <v>0.0007360181816370038</v>
      </c>
      <c r="O20" s="38">
        <f>O17*(1-'Inputs'!$E$19)*'Inputs'!$E$22+0*'Inputs'!$E$24</f>
        <v>0.0007016051950105883</v>
      </c>
      <c r="P20" s="38">
        <f>P17*(1-'Inputs'!$E$19)*'Inputs'!$E$22+0*'Inputs'!$E$24</f>
        <v>0.0006673645497445001</v>
      </c>
      <c r="Q20" s="38">
        <f>Q17*(1-'Inputs'!$E$19)*'Inputs'!$E$22+0*'Inputs'!$E$24</f>
        <v>0.0006332932006742418</v>
      </c>
      <c r="R20" s="38">
        <f>R17*(1-'Inputs'!$E$19)*'Inputs'!$E$22+0*'Inputs'!$E$24</f>
        <v>0.0006155880787203172</v>
      </c>
      <c r="S20" s="38">
        <f>S17*(1-'Inputs'!$E$19)*'Inputs'!$E$22+0*'Inputs'!$E$24</f>
        <v>0.0005979703491210032</v>
      </c>
      <c r="T20" s="38">
        <f>T17*(1-'Inputs'!$E$19)*'Inputs'!$E$22+H20*'Inputs'!$E$24</f>
        <v>0.006880438514097848</v>
      </c>
      <c r="U20" s="38">
        <f>U17*(1-'Inputs'!$E$19)*'Inputs'!$E$22+I20*'Inputs'!$E$24</f>
        <v>0.0009908139097926593</v>
      </c>
      <c r="V20" s="38">
        <f>V17*(1-'Inputs'!$E$19)*'Inputs'!$E$22+J20*'Inputs'!$E$24</f>
        <v>0.0009273877786673347</v>
      </c>
      <c r="W20" s="38">
        <f>W17*(1-'Inputs'!$E$19)*'Inputs'!$E$22+K20*'Inputs'!$E$24</f>
        <v>0.000893108209717047</v>
      </c>
      <c r="X20" s="38">
        <f>X17*(1-'Inputs'!$E$19)*'Inputs'!$E$22+L20*'Inputs'!$E$24</f>
        <v>0.0008589912876405606</v>
      </c>
      <c r="Y20" s="38">
        <f>Y17*(1-'Inputs'!$E$19)*'Inputs'!$E$22+M20*'Inputs'!$E$24</f>
        <v>0.0008365106246696462</v>
      </c>
      <c r="Z20" s="38">
        <f>Z17*(1-'Inputs'!$E$19)*'Inputs'!$E$22+N20*'Inputs'!$E$24</f>
        <v>0.0008198546260488382</v>
      </c>
      <c r="AA20" s="38">
        <f>AA17*(1-'Inputs'!$E$19)*'Inputs'!$E$22+O20*'Inputs'!$E$24</f>
        <v>0.0008032689606717013</v>
      </c>
      <c r="AB20" s="38">
        <f>AB17*(1-'Inputs'!$E$19)*'Inputs'!$E$22+P20*'Inputs'!$E$24</f>
        <v>0.0007867521412818889</v>
      </c>
      <c r="AC20" s="38">
        <f>AC17*(1-'Inputs'!$E$19)*'Inputs'!$E$22+Q20*'Inputs'!$E$24</f>
        <v>0.000770302827900066</v>
      </c>
      <c r="AD20" s="38">
        <f>AD17*(1-'Inputs'!$E$19)*'Inputs'!$E$22+R20*'Inputs'!$E$24</f>
        <v>0.0007595897021187595</v>
      </c>
      <c r="AE20" s="38">
        <f>AE17*(1-'Inputs'!$E$19)*'Inputs'!$E$22+S20*'Inputs'!$E$24</f>
        <v>0.0007489149544538371</v>
      </c>
      <c r="AF20" s="38">
        <f>AF17*(1-'Inputs'!$E$19)*'Inputs'!$E$22+T20*'Inputs'!$E$24</f>
        <v>0.0029432778675514025</v>
      </c>
      <c r="AG20" s="38">
        <f>AG17*(1-'Inputs'!$E$19)*'Inputs'!$E$22+U20*'Inputs'!$E$24</f>
        <v>0.0008757441828763648</v>
      </c>
      <c r="AH20" s="38">
        <f>AH17*(1-'Inputs'!$E$19)*'Inputs'!$E$22+V20*'Inputs'!$E$24</f>
        <v>0.0008444293653644062</v>
      </c>
      <c r="AI20" s="38">
        <f>AI17*(1-'Inputs'!$E$19)*'Inputs'!$E$22+W20*'Inputs'!$E$24</f>
        <v>0.0008233212631273028</v>
      </c>
      <c r="AJ20" s="38">
        <f>AJ17*(1-'Inputs'!$E$19)*'Inputs'!$E$22+X20*'Inputs'!$E$24</f>
        <v>0.000802275391412374</v>
      </c>
      <c r="AK20" s="38">
        <f>AK17*(1-'Inputs'!$E$19)*'Inputs'!$E$22+Y20*'Inputs'!$E$24</f>
        <v>0.0007893779022021881</v>
      </c>
      <c r="AL20" s="38">
        <f>AL17*(1-'Inputs'!$E$19)*'Inputs'!$E$22+Z20*'Inputs'!$E$24</f>
        <v>0.0007785218206750509</v>
      </c>
      <c r="AM20" s="38">
        <f>AM17*(1-'Inputs'!$E$19)*'Inputs'!$E$22+AA20*'Inputs'!$E$24</f>
        <v>0.0007676930594311703</v>
      </c>
      <c r="AN20" s="38">
        <f>AN17*(1-'Inputs'!$E$19)*'Inputs'!$E$22+AB20*'Inputs'!$E$24</f>
        <v>0.0007568910363807441</v>
      </c>
      <c r="AO20" s="38">
        <f>AO17*(1-'Inputs'!$E$19)*'Inputs'!$E$22+AC20*'Inputs'!$E$24</f>
        <v>0.0007461152299244188</v>
      </c>
      <c r="AP20" s="38">
        <f>AP17*(1-'Inputs'!$E$19)*'Inputs'!$E$22+AD20*'Inputs'!$E$24</f>
        <v>0.0007373496340404675</v>
      </c>
      <c r="AQ20" s="38">
        <f>AQ17*(1-'Inputs'!$E$19)*'Inputs'!$E$22+AE20*'Inputs'!$E$24</f>
        <v>0.0007285999780343694</v>
      </c>
    </row>
    <row r="21" ht="22" customHeight="1">
      <c r="A21" s="2" t="str">
        <v>PLUS.YBA</v>
      </c>
      <c r="B21" s="6" t="str">
        <v>Plus annual plans billed, active users</v>
      </c>
      <c r="C21" s="2" t="str">
        <v>count</v>
      </c>
      <c r="D21" s="2" t="str">
        <v>NA</v>
      </c>
      <c r="E21" s="2"/>
      <c r="F21" s="6" t="str"/>
      <c r="G21" s="2"/>
      <c r="H21" s="38">
        <f>H17*(1-'Inputs'!$E$19)*'Inputs'!$E$22+0*'Inputs'!$E$24</f>
        <v>0.018</v>
      </c>
      <c r="I21" s="38">
        <f>I17*(1-'Inputs'!$E$19)*'Inputs'!$E$22+0*'Inputs'!$E$24</f>
        <v>0.0011592</v>
      </c>
      <c r="J21" s="38">
        <f>J17*(1-'Inputs'!$E$19)*'Inputs'!$E$22+0*'Inputs'!$E$24</f>
        <v>0.0009910943999999998</v>
      </c>
      <c r="K21" s="38">
        <f>K17*(1-'Inputs'!$E$19)*'Inputs'!$E$22+0*'Inputs'!$E$24</f>
        <v>0.0009062347536</v>
      </c>
      <c r="L21" s="38">
        <f>L17*(1-'Inputs'!$E$19)*'Inputs'!$E$22+0*'Inputs'!$E$24</f>
        <v>0.0008218112529599999</v>
      </c>
      <c r="M21" s="38">
        <f>M17*(1-'Inputs'!$E$19)*'Inputs'!$E$22+0*'Inputs'!$E$24</f>
        <v>0.0007706068804087257</v>
      </c>
      <c r="N21" s="38">
        <f>N17*(1-'Inputs'!$E$19)*'Inputs'!$E$22+0*'Inputs'!$E$24</f>
        <v>0.0007360181816370038</v>
      </c>
      <c r="O21" s="38">
        <f>O17*(1-'Inputs'!$E$19)*'Inputs'!$E$22+0*'Inputs'!$E$24</f>
        <v>0.0007016051950105883</v>
      </c>
      <c r="P21" s="38">
        <f>P17*(1-'Inputs'!$E$19)*'Inputs'!$E$22+0*'Inputs'!$E$24</f>
        <v>0.0006673645497445001</v>
      </c>
      <c r="Q21" s="38">
        <f>Q17*(1-'Inputs'!$E$19)*'Inputs'!$E$22+0*'Inputs'!$E$24</f>
        <v>0.0006332932006742418</v>
      </c>
      <c r="R21" s="38">
        <f>R17*(1-'Inputs'!$E$19)*'Inputs'!$E$22+0*'Inputs'!$E$24</f>
        <v>0.0006155880787203172</v>
      </c>
      <c r="S21" s="38">
        <f>S17*(1-'Inputs'!$E$19)*'Inputs'!$E$22+0*'Inputs'!$E$24</f>
        <v>0.0005979703491210032</v>
      </c>
      <c r="T21" s="38">
        <f>T17*(1-'Inputs'!$E$19)*'Inputs'!$E$22+IF(H13&gt;0,H21*T13/H13,0)*'Inputs'!$E$24</f>
        <v>0.0028484385140978476</v>
      </c>
      <c r="U21" s="38">
        <f>U17*(1-'Inputs'!$E$19)*'Inputs'!$E$22+IF(I13&gt;0,I21*U13/I13,0)*'Inputs'!$E$24</f>
        <v>0.0007923009097926594</v>
      </c>
      <c r="V21" s="38">
        <f>V17*(1-'Inputs'!$E$19)*'Inputs'!$E$22+IF(J13&gt;0,J21*V13/J13,0)*'Inputs'!$E$24</f>
        <v>0.0007857438706673348</v>
      </c>
      <c r="W21" s="38">
        <f>W17*(1-'Inputs'!$E$19)*'Inputs'!$E$22+IF(K13&gt;0,K21*W13/K13,0)*'Inputs'!$E$24</f>
        <v>0.000779210978185047</v>
      </c>
      <c r="X21" s="38">
        <f>X17*(1-'Inputs'!$E$19)*'Inputs'!$E$22+IF(L13&gt;0,L21*X13/L13,0)*'Inputs'!$E$24</f>
        <v>0.0007727011060797605</v>
      </c>
      <c r="Y21" s="38">
        <f>Y17*(1-'Inputs'!$E$19)*'Inputs'!$E$22+IF(M13&gt;0,M21*Y13/M13,0)*'Inputs'!$E$24</f>
        <v>0.0007662132416961906</v>
      </c>
      <c r="Z21" s="38">
        <f>Z17*(1-'Inputs'!$E$19)*'Inputs'!$E$22+IF(N13&gt;0,N21*Z13/N13,0)*'Inputs'!$E$24</f>
        <v>0.0007597464745484828</v>
      </c>
      <c r="AA21" s="38">
        <f>AA17*(1-'Inputs'!$E$19)*'Inputs'!$E$22+IF(O13&gt;0,O21*AA13/O13,0)*'Inputs'!$E$24</f>
        <v>0.0007532999860270517</v>
      </c>
      <c r="AB21" s="38">
        <f>AB17*(1-'Inputs'!$E$19)*'Inputs'!$E$22+IF(P13&gt;0,P21*AB13/P13,0)*'Inputs'!$E$24</f>
        <v>0.00074687304013862</v>
      </c>
      <c r="AC21" s="38">
        <f>AC17*(1-'Inputs'!$E$19)*'Inputs'!$E$22+IF(Q13&gt;0,Q21*AC13/Q13,0)*'Inputs'!$E$24</f>
        <v>0.0007404649751759913</v>
      </c>
      <c r="AD21" s="38">
        <f>AD17*(1-'Inputs'!$E$19)*'Inputs'!$E$22+IF(R13&gt;0,R21*AD13/R13,0)*'Inputs'!$E$24</f>
        <v>0.0007340751962244306</v>
      </c>
      <c r="AE21" s="38">
        <f>AE17*(1-'Inputs'!$E$19)*'Inputs'!$E$22+IF(S13&gt;0,S21*AE13/S13,0)*'Inputs'!$E$24</f>
        <v>0.0007277031684208286</v>
      </c>
      <c r="AF21" s="38">
        <f>AF17*(1-'Inputs'!$E$19)*'Inputs'!$E$22+IF(T13&gt;0,T21*AF13/T13,0)*'Inputs'!$E$24</f>
        <v>0.001448998410890215</v>
      </c>
      <c r="AG21" s="38">
        <f>AG17*(1-'Inputs'!$E$19)*'Inputs'!$E$22+IF(U13&gt;0,U21*AG13/U13,0)*'Inputs'!$E$24</f>
        <v>0.0007806672188676789</v>
      </c>
      <c r="AH21" s="38">
        <f>AH17*(1-'Inputs'!$E$19)*'Inputs'!$E$22+IF(V13&gt;0,V21*AH13/V13,0)*'Inputs'!$E$24</f>
        <v>0.0007669656235632558</v>
      </c>
      <c r="AI21" s="38">
        <f>AI17*(1-'Inputs'!$E$19)*'Inputs'!$E$22+IF(W13&gt;0,W21*AI13/W13,0)*'Inputs'!$E$24</f>
        <v>0.0007532835303826606</v>
      </c>
      <c r="AJ21" s="38">
        <f>AJ17*(1-'Inputs'!$E$19)*'Inputs'!$E$22+IF(X13&gt;0,X21*AJ13/X13,0)*'Inputs'!$E$24</f>
        <v>0.000739620381410744</v>
      </c>
      <c r="AK21" s="38">
        <f>AK17*(1-'Inputs'!$E$19)*'Inputs'!$E$22+IF(Y13&gt;0,Y21*AK13/Y13,0)*'Inputs'!$E$24</f>
        <v>0.0007319754815564977</v>
      </c>
      <c r="AL21" s="38">
        <f>AL17*(1-'Inputs'!$E$19)*'Inputs'!$E$22+IF(Z13&gt;0,Z21*AL13/Z13,0)*'Inputs'!$E$24</f>
        <v>0.0007243414040500579</v>
      </c>
      <c r="AM21" s="38">
        <f>AM17*(1-'Inputs'!$E$19)*'Inputs'!$E$22+IF(AA13&gt;0,AA21*AM13/AA13,0)*'Inputs'!$E$24</f>
        <v>0.0007167178094376252</v>
      </c>
      <c r="AN21" s="38">
        <f>AN17*(1-'Inputs'!$E$19)*'Inputs'!$E$22+IF(AB13&gt;0,AB21*AN13/AB13,0)*'Inputs'!$E$24</f>
        <v>0.0007091043956331448</v>
      </c>
      <c r="AO21" s="38">
        <f>AO17*(1-'Inputs'!$E$19)*'Inputs'!$E$22+IF(AC13&gt;0,AC21*AO13/AC13,0)*'Inputs'!$E$24</f>
        <v>0.0007015008940980561</v>
      </c>
      <c r="AP21" s="38">
        <f>AP17*(1-'Inputs'!$E$19)*'Inputs'!$E$22+IF(AD13&gt;0,AD21*AP13/AD13,0)*'Inputs'!$E$24</f>
        <v>0.0006939070664086918</v>
      </c>
      <c r="AQ21" s="38">
        <f>AQ17*(1-'Inputs'!$E$19)*'Inputs'!$E$22+IF(AE13&gt;0,AE21*AQ13/AE13,0)*'Inputs'!$E$24</f>
        <v>0.0006863227011721347</v>
      </c>
    </row>
    <row r="22" ht="22" customHeight="1">
      <c r="A22" s="2" t="str">
        <v>PLUS.YG</v>
      </c>
      <c r="B22" s="6" t="str">
        <v>Plus annual billing, gross</v>
      </c>
      <c r="C22" s="2" t="str">
        <v>EUR</v>
      </c>
      <c r="D22" s="2" t="str">
        <v>NA</v>
      </c>
      <c r="E22" s="2"/>
      <c r="F22" s="6" t="str"/>
      <c r="G22" s="2"/>
      <c r="H22" s="36">
        <f>H20*'Inputs'!$E$16*'Inputs'!$E$59/'Inputs'!$E$60</f>
        <v>1.6198199999999998</v>
      </c>
      <c r="I22" s="36">
        <f>I20*'Inputs'!$E$16*'Inputs'!$E$59/'Inputs'!$E$60</f>
        <v>0.104316408</v>
      </c>
      <c r="J22" s="36">
        <f>J20*'Inputs'!$E$16*'Inputs'!$E$59/'Inputs'!$E$60</f>
        <v>0.08918858505599998</v>
      </c>
      <c r="K22" s="36">
        <f>K20*'Inputs'!$E$16*'Inputs'!$E$59/'Inputs'!$E$60</f>
        <v>0.081552065476464</v>
      </c>
      <c r="L22" s="36">
        <f>L20*'Inputs'!$E$16*'Inputs'!$E$59/'Inputs'!$E$60</f>
        <v>0.07395479465387039</v>
      </c>
      <c r="M22" s="36">
        <f>M20*'Inputs'!$E$16*'Inputs'!$E$59/'Inputs'!$E$60</f>
        <v>0.06934691316798122</v>
      </c>
      <c r="N22" s="36">
        <f>N20*'Inputs'!$E$16*'Inputs'!$E$59/'Inputs'!$E$60</f>
        <v>0.06623427616551397</v>
      </c>
      <c r="O22" s="36">
        <f>O20*'Inputs'!$E$16*'Inputs'!$E$59/'Inputs'!$E$60</f>
        <v>0.06313745149900284</v>
      </c>
      <c r="P22" s="36">
        <f>P20*'Inputs'!$E$16*'Inputs'!$E$59/'Inputs'!$E$60</f>
        <v>0.06005613583150756</v>
      </c>
      <c r="Q22" s="36">
        <f>Q20*'Inputs'!$E$16*'Inputs'!$E$59/'Inputs'!$E$60</f>
        <v>0.05699005512867502</v>
      </c>
      <c r="R22" s="36">
        <f>R20*'Inputs'!$E$16*'Inputs'!$E$59/'Inputs'!$E$60</f>
        <v>0.05539677120404135</v>
      </c>
      <c r="S22" s="36">
        <f>S20*'Inputs'!$E$16*'Inputs'!$E$59/'Inputs'!$E$60</f>
        <v>0.05381135171739908</v>
      </c>
      <c r="T22" s="36">
        <f>T20*'Inputs'!$E$16*'Inputs'!$E$59/'Inputs'!$E$60</f>
        <v>0.6191706618836653</v>
      </c>
      <c r="U22" s="36">
        <f>U20*'Inputs'!$E$16*'Inputs'!$E$59/'Inputs'!$E$60</f>
        <v>0.0891633437422414</v>
      </c>
      <c r="V22" s="36">
        <f>V20*'Inputs'!$E$16*'Inputs'!$E$59/'Inputs'!$E$60</f>
        <v>0.08345562620227345</v>
      </c>
      <c r="W22" s="36">
        <f>W20*'Inputs'!$E$16*'Inputs'!$E$59/'Inputs'!$E$60</f>
        <v>0.08037080779243705</v>
      </c>
      <c r="X22" s="36">
        <f>X20*'Inputs'!$E$16*'Inputs'!$E$59/'Inputs'!$E$60</f>
        <v>0.07730062597477404</v>
      </c>
      <c r="Y22" s="36">
        <f>Y20*'Inputs'!$E$16*'Inputs'!$E$59/'Inputs'!$E$60</f>
        <v>0.07527759111402146</v>
      </c>
      <c r="Z22" s="36">
        <f>Z20*'Inputs'!$E$16*'Inputs'!$E$59/'Inputs'!$E$60</f>
        <v>0.07377871779813494</v>
      </c>
      <c r="AA22" s="36">
        <f>AA20*'Inputs'!$E$16*'Inputs'!$E$59/'Inputs'!$E$60</f>
        <v>0.0722861737708464</v>
      </c>
      <c r="AB22" s="36">
        <f>AB20*'Inputs'!$E$16*'Inputs'!$E$59/'Inputs'!$E$60</f>
        <v>0.07079982519395718</v>
      </c>
      <c r="AC22" s="36">
        <f>AC20*'Inputs'!$E$16*'Inputs'!$E$59/'Inputs'!$E$60</f>
        <v>0.06931955148272693</v>
      </c>
      <c r="AD22" s="36">
        <f>AD20*'Inputs'!$E$16*'Inputs'!$E$59/'Inputs'!$E$60</f>
        <v>0.06835547729366716</v>
      </c>
      <c r="AE22" s="36">
        <f>AE20*'Inputs'!$E$16*'Inputs'!$E$59/'Inputs'!$E$60</f>
        <v>0.06739485675130079</v>
      </c>
      <c r="AF22" s="36">
        <f>AF20*'Inputs'!$E$16*'Inputs'!$E$59/'Inputs'!$E$60</f>
        <v>0.2648655753009507</v>
      </c>
      <c r="AG22" s="36">
        <f>AG20*'Inputs'!$E$16*'Inputs'!$E$59/'Inputs'!$E$60</f>
        <v>0.07880821901704406</v>
      </c>
      <c r="AH22" s="36">
        <f>AH20*'Inputs'!$E$16*'Inputs'!$E$59/'Inputs'!$E$60</f>
        <v>0.07599019858914291</v>
      </c>
      <c r="AI22" s="36">
        <f>AI20*'Inputs'!$E$16*'Inputs'!$E$59/'Inputs'!$E$60</f>
        <v>0.07409068046882598</v>
      </c>
      <c r="AJ22" s="36">
        <f>AJ20*'Inputs'!$E$16*'Inputs'!$E$59/'Inputs'!$E$60</f>
        <v>0.07219676247319953</v>
      </c>
      <c r="AK22" s="36">
        <f>AK20*'Inputs'!$E$16*'Inputs'!$E$59/'Inputs'!$E$60</f>
        <v>0.07103611741917491</v>
      </c>
      <c r="AL22" s="36">
        <f>AL20*'Inputs'!$E$16*'Inputs'!$E$59/'Inputs'!$E$60</f>
        <v>0.07005917864254783</v>
      </c>
      <c r="AM22" s="36">
        <f>AM20*'Inputs'!$E$16*'Inputs'!$E$59/'Inputs'!$E$60</f>
        <v>0.06908469841821102</v>
      </c>
      <c r="AN22" s="36">
        <f>AN20*'Inputs'!$E$16*'Inputs'!$E$59/'Inputs'!$E$60</f>
        <v>0.06811262436390315</v>
      </c>
      <c r="AO22" s="36">
        <f>AO20*'Inputs'!$E$16*'Inputs'!$E$59/'Inputs'!$E$60</f>
        <v>0.06714290954089844</v>
      </c>
      <c r="AP22" s="36">
        <f>AP20*'Inputs'!$E$16*'Inputs'!$E$59/'Inputs'!$E$60</f>
        <v>0.06635409356730167</v>
      </c>
      <c r="AQ22" s="36">
        <f>AQ20*'Inputs'!$E$16*'Inputs'!$E$59/'Inputs'!$E$60</f>
        <v>0.0655667120233129</v>
      </c>
    </row>
    <row r="23" ht="22" customHeight="1">
      <c r="A23" s="2" t="str">
        <v>PLUS.YS</v>
      </c>
      <c r="B23" s="6" t="str">
        <v>Plus annual plans in service</v>
      </c>
      <c r="C23" s="2" t="str">
        <v>count</v>
      </c>
      <c r="D23" s="2" t="str">
        <v>NA</v>
      </c>
      <c r="E23" s="2"/>
      <c r="F23" s="6" t="str"/>
      <c r="G23" s="2"/>
      <c r="H23" s="37">
        <f>SUM(H20:H20)</f>
        <v>0.018</v>
      </c>
      <c r="I23" s="37">
        <f>SUM(H20:I20)</f>
        <v>0.019159199999999998</v>
      </c>
      <c r="J23" s="37">
        <f>SUM(H20:J20)</f>
        <v>0.020150294399999998</v>
      </c>
      <c r="K23" s="37">
        <f>SUM(H20:K20)</f>
        <v>0.021056529153599998</v>
      </c>
      <c r="L23" s="37">
        <f>SUM(H20:L20)</f>
        <v>0.021878340406559997</v>
      </c>
      <c r="M23" s="37">
        <f>SUM(H20:M20)</f>
        <v>0.022648947286968726</v>
      </c>
      <c r="N23" s="37">
        <f>SUM(H20:N20)</f>
        <v>0.023384965468605728</v>
      </c>
      <c r="O23" s="37">
        <f>SUM(H20:O20)</f>
        <v>0.024086570663616316</v>
      </c>
      <c r="P23" s="37">
        <f>SUM(H20:P20)</f>
        <v>0.024753935213360816</v>
      </c>
      <c r="Q23" s="37">
        <f>SUM(H20:Q20)</f>
        <v>0.025387228414035058</v>
      </c>
      <c r="R23" s="37">
        <f>SUM(H20:R20)</f>
        <v>0.026002816492755376</v>
      </c>
      <c r="S23" s="37">
        <f>SUM(H20:S20)</f>
        <v>0.02660078684187638</v>
      </c>
      <c r="T23" s="37">
        <f>SUM(I20:T20)</f>
        <v>0.015481225355974227</v>
      </c>
      <c r="U23" s="37">
        <f>SUM(J20:U20)</f>
        <v>0.015312839265766886</v>
      </c>
      <c r="V23" s="37">
        <f>SUM(K20:V20)</f>
        <v>0.015249132644434222</v>
      </c>
      <c r="W23" s="37">
        <f>SUM(L20:W20)</f>
        <v>0.015236006100551269</v>
      </c>
      <c r="X23" s="37">
        <f>SUM(M20:X20)</f>
        <v>0.015273186135231829</v>
      </c>
      <c r="Y23" s="37">
        <f>SUM(N20:Y20)</f>
        <v>0.01533908987949275</v>
      </c>
      <c r="Z23" s="37">
        <f>SUM(O20:Z20)</f>
        <v>0.015422926323904584</v>
      </c>
      <c r="AA23" s="37">
        <f>SUM(P20:AA20)</f>
        <v>0.015524590089565696</v>
      </c>
      <c r="AB23" s="37">
        <f>SUM(Q20:AB20)</f>
        <v>0.015643977681103087</v>
      </c>
      <c r="AC23" s="37">
        <f>SUM(R20:AC20)</f>
        <v>0.01578098730832891</v>
      </c>
      <c r="AD23" s="37">
        <f>SUM(S20:AD20)</f>
        <v>0.015924988931727353</v>
      </c>
      <c r="AE23" s="37">
        <f>SUM(T20:AE20)</f>
        <v>0.016075933537060185</v>
      </c>
      <c r="AF23" s="37">
        <f>SUM(U20:AF20)</f>
        <v>0.012138772890513742</v>
      </c>
      <c r="AG23" s="37">
        <f>SUM(V20:AG20)</f>
        <v>0.012023703163597447</v>
      </c>
      <c r="AH23" s="37">
        <f>SUM(W20:AH20)</f>
        <v>0.011940744750294519</v>
      </c>
      <c r="AI23" s="37">
        <f>SUM(X20:AI20)</f>
        <v>0.011870957803704774</v>
      </c>
      <c r="AJ23" s="37">
        <f>SUM(Y20:AJ20)</f>
        <v>0.011814241907476587</v>
      </c>
      <c r="AK23" s="37">
        <f>SUM(Z20:AK20)</f>
        <v>0.011767109185009129</v>
      </c>
      <c r="AL23" s="37">
        <f>SUM(AA20:AL20)</f>
        <v>0.011725776379635343</v>
      </c>
      <c r="AM23" s="37">
        <f>SUM(AB20:AM20)</f>
        <v>0.011690200478394811</v>
      </c>
      <c r="AN23" s="37">
        <f>SUM(AC20:AN20)</f>
        <v>0.011660339373493667</v>
      </c>
      <c r="AO23" s="37">
        <f>SUM(AD20:AO20)</f>
        <v>0.011636151775518019</v>
      </c>
      <c r="AP23" s="37">
        <f>SUM(AE20:AP20)</f>
        <v>0.011613911707439728</v>
      </c>
      <c r="AQ23" s="37">
        <f>SUM(AF20:AQ20)</f>
        <v>0.01159359673102026</v>
      </c>
    </row>
    <row r="24" ht="22" customHeight="1">
      <c r="A24" s="2" t="str">
        <v>PLUS.YA</v>
      </c>
      <c r="B24" s="6" t="str">
        <v>Plus annual plans, active users</v>
      </c>
      <c r="C24" s="2" t="str">
        <v>count</v>
      </c>
      <c r="D24" s="2" t="str">
        <v>NA</v>
      </c>
      <c r="E24" s="2"/>
      <c r="F24" s="6" t="str"/>
      <c r="G24" s="2"/>
      <c r="H24" s="37">
        <f>SUM(IF(H13&gt;0,H21*H13/H13,0))</f>
        <v>0.018</v>
      </c>
      <c r="I24" s="37">
        <f>SUM(IF(H13&gt;0,H21*I13/H13,0),IF(I13&gt;0,I21*I13/I13,0))</f>
        <v>0.0137592</v>
      </c>
      <c r="J24" s="37">
        <f>SUM(IF(H13&gt;0,H21*J13/H13,0),IF(I13&gt;0,I21*J13/I13,0),IF(J13&gt;0,J21*J13/J13,0))</f>
        <v>0.012784694399999998</v>
      </c>
      <c r="K24" s="37">
        <f>SUM(IF(H13&gt;0,H21*K13/H13,0),IF(I13&gt;0,I21*K13/I13,0),IF(J13&gt;0,J21*K13/J13,0),IF(K13&gt;0,K21*K13/K13,0))</f>
        <v>0.0126255379536</v>
      </c>
      <c r="L24" s="37">
        <f>SUM(IF(H13&gt;0,H21*L13/H13,0),IF(I13&gt;0,I21*L13/I13,0),IF(J13&gt;0,J21*L13/J13,0),IF(K13&gt;0,K21*L13/K13,0),IF(L13&gt;0,L21*L13/L13,0))</f>
        <v>0.012299573028959999</v>
      </c>
      <c r="M24" s="37">
        <f>SUM(IF(H13&gt;0,H21*M13/H13,0),IF(I13&gt;0,I21*M13/I13,0),IF(J13&gt;0,J21*M13/J13,0),IF(K13&gt;0,K21*M13/K13,0),IF(L13&gt;0,L21*M13/L13,0),IF(M13&gt;0,M21*M13/M13,0))</f>
        <v>0.012332205527631123</v>
      </c>
      <c r="N24" s="37">
        <f>SUM(IF(H13&gt;0,H21*N13/H13,0),IF(I13&gt;0,I21*N13/I13,0),IF(J13&gt;0,J21*N13/J13,0),IF(K13&gt;0,K21*N13/K13,0),IF(L13&gt;0,L21*N13/L13,0),IF(M13&gt;0,M21*N13/M13,0),IF(N13&gt;0,N21*N13/N13,0))</f>
        <v>0.012543449005964677</v>
      </c>
      <c r="O24" s="37">
        <f>SUM(IF(H13&gt;0,H21*O13/H13,0),IF(I13&gt;0,I21*O13/I13,0),IF(J13&gt;0,J21*O13/J13,0),IF(K13&gt;0,K21*O13/K13,0),IF(L13&gt;0,L21*O13/L13,0),IF(M13&gt;0,M21*O13/M13,0),IF(N13&gt;0,N21*O13/N13,0),IF(O13&gt;0,O21*O13/O13,0))</f>
        <v>0.012687567578487945</v>
      </c>
      <c r="P24" s="37">
        <f>SUM(IF(H13&gt;0,H21*P13/H13,0),IF(I13&gt;0,I21*P13/I13,0),IF(J13&gt;0,J21*P13/J13,0),IF(K13&gt;0,K21*P13/K13,0),IF(L13&gt;0,L21*P13/L13,0),IF(M13&gt;0,M21*P13/M13,0),IF(N13&gt;0,N21*P13/N13,0),IF(O13&gt;0,O21*P13/O13,0),IF(P13&gt;0,P21*P13/P13,0))</f>
        <v>0.012764812705977192</v>
      </c>
      <c r="Q24" s="37">
        <f>SUM(IF(H13&gt;0,H21*Q13/H13,0),IF(I13&gt;0,I21*Q13/I13,0),IF(J13&gt;0,J21*Q13/J13,0),IF(K13&gt;0,K21*Q13/K13,0),IF(L13&gt;0,L21*Q13/L13,0),IF(M13&gt;0,M21*Q13/M13,0),IF(N13&gt;0,N21*Q13/N13,0),IF(O13&gt;0,O21*Q13/O13,0),IF(P13&gt;0,P21*Q13/P13,0),IF(Q13&gt;0,Q21*Q13/Q13,0))</f>
        <v>0.012775432116115962</v>
      </c>
      <c r="R24" s="37">
        <f>SUM(IF(H13&gt;0,H21*R13/H13,0),IF(I13&gt;0,I21*R13/I13,0),IF(J13&gt;0,J21*R13/J13,0),IF(K13&gt;0,K21*R13/K13,0),IF(L13&gt;0,L21*R13/L13,0),IF(M13&gt;0,M21*R13/M13,0),IF(N13&gt;0,N21*R13/N13,0),IF(O13&gt;0,O21*R13/O13,0),IF(P13&gt;0,P21*R13/P13,0),IF(Q13&gt;0,Q21*R13/Q13,0),IF(R13&gt;0,R21*R13/R13,0))</f>
        <v>0.013063445012371767</v>
      </c>
      <c r="S24" s="37">
        <f>SUM(IF(H13&gt;0,H21*S13/H13,0),IF(I13&gt;0,I21*S13/I13,0),IF(J13&gt;0,J21*S13/J13,0),IF(K13&gt;0,K21*S13/K13,0),IF(L13&gt;0,L21*S13/L13,0),IF(M13&gt;0,M21*S13/M13,0),IF(N13&gt;0,N21*S13/N13,0),IF(O13&gt;0,O21*S13/O13,0),IF(P13&gt;0,P21*S13/P13,0),IF(Q13&gt;0,Q21*S13/Q13,0),IF(R13&gt;0,R21*S13/R13,0),IF(S13&gt;0,S21*S13/S13,0))</f>
        <v>0.013317640492746145</v>
      </c>
      <c r="T24" s="37">
        <f>SUM(IF(I13&gt;0,I21*T13/I13,0),IF(J13&gt;0,J21*T13/J13,0),IF(K13&gt;0,K21*T13/K13,0),IF(L13&gt;0,L21*T13/L13,0),IF(M13&gt;0,M21*T13/M13,0),IF(N13&gt;0,N21*T13/N13,0),IF(O13&gt;0,O21*T13/O13,0),IF(P13&gt;0,P21*T13/P13,0),IF(Q13&gt;0,Q21*T13/Q13,0),IF(R13&gt;0,R21*T13/R13,0),IF(S13&gt;0,S21*T13/S13,0),IF(T13&gt;0,T21*T13/T13,0))</f>
        <v>0.009326142777310312</v>
      </c>
      <c r="U24" s="37">
        <f>SUM(IF(J13&gt;0,J21*U13/J13,0),IF(K13&gt;0,K21*U13/K13,0),IF(L13&gt;0,L21*U13/L13,0),IF(M13&gt;0,M21*U13/M13,0),IF(N13&gt;0,N21*U13/N13,0),IF(O13&gt;0,O21*U13/O13,0),IF(P13&gt;0,P21*U13/P13,0),IF(Q13&gt;0,Q21*U13/Q13,0),IF(R13&gt;0,R21*U13/R13,0),IF(S13&gt;0,S21*U13/S13,0),IF(T13&gt;0,T21*U13/T13,0),IF(U13&gt;0,U21*U13/U13,0))</f>
        <v>0.009461658806704984</v>
      </c>
      <c r="V24" s="37">
        <f>SUM(IF(K13&gt;0,K21*V13/K13,0),IF(L13&gt;0,L21*V13/L13,0),IF(M13&gt;0,M21*V13/M13,0),IF(N13&gt;0,N21*V13/N13,0),IF(O13&gt;0,O21*V13/O13,0),IF(P13&gt;0,P21*V13/P13,0),IF(Q13&gt;0,Q21*V13/Q13,0),IF(R13&gt;0,R21*V13/R13,0),IF(S13&gt;0,S21*V13/S13,0),IF(T13&gt;0,T21*V13/T13,0),IF(U13&gt;0,U21*V13/U13,0),IF(V13&gt;0,V21*V13/V13,0))</f>
        <v>0.009594839711171584</v>
      </c>
      <c r="W24" s="37">
        <f>SUM(IF(L13&gt;0,L21*W13/L13,0),IF(M13&gt;0,M21*W13/M13,0),IF(N13&gt;0,N21*W13/N13,0),IF(O13&gt;0,O21*W13/O13,0),IF(P13&gt;0,P21*W13/P13,0),IF(Q13&gt;0,Q21*W13/Q13,0),IF(R13&gt;0,R21*W13/R13,0),IF(S13&gt;0,S21*W13/S13,0),IF(T13&gt;0,T21*W13/T13,0),IF(U13&gt;0,U21*W13/U13,0),IF(V13&gt;0,V21*W13/V13,0),IF(W13&gt;0,W21*W13/W13,0))</f>
        <v>0.009725667303535987</v>
      </c>
      <c r="X24" s="37">
        <f>SUM(IF(M13&gt;0,M21*X13/M13,0),IF(N13&gt;0,N21*X13/N13,0),IF(O13&gt;0,O21*X13/O13,0),IF(P13&gt;0,P21*X13/P13,0),IF(Q13&gt;0,Q21*X13/Q13,0),IF(R13&gt;0,R21*X13/R13,0),IF(S13&gt;0,S21*X13/S13,0),IF(T13&gt;0,T21*X13/T13,0),IF(U13&gt;0,U21*X13/U13,0),IF(V13&gt;0,V21*X13/V13,0),IF(W13&gt;0,W21*X13/W13,0),IF(X13&gt;0,X21*X13/X13,0))</f>
        <v>0.009854124168688883</v>
      </c>
      <c r="Y24" s="37">
        <f>SUM(IF(N13&gt;0,N21*Y13/N13,0),IF(O13&gt;0,O21*Y13/O13,0),IF(P13&gt;0,P21*Y13/P13,0),IF(Q13&gt;0,Q21*Y13/Q13,0),IF(R13&gt;0,R21*Y13/R13,0),IF(S13&gt;0,S21*Y13/S13,0),IF(T13&gt;0,T21*Y13/T13,0),IF(U13&gt;0,U21*Y13/U13,0),IF(V13&gt;0,V21*Y13/V13,0),IF(W13&gt;0,W21*Y13/W13,0),IF(X13&gt;0,X21*Y13/X13,0),IF(Y13&gt;0,Y21*Y13/Y13,0))</f>
        <v>0.00998019359440987</v>
      </c>
      <c r="Z24" s="37">
        <f>SUM(IF(O13&gt;0,O21*Z13/O13,0),IF(P13&gt;0,P21*Z13/P13,0),IF(Q13&gt;0,Q21*Z13/Q13,0),IF(R13&gt;0,R21*Z13/R13,0),IF(S13&gt;0,S21*Z13/S13,0),IF(T13&gt;0,T21*Z13/T13,0),IF(U13&gt;0,U21*Z13/U13,0),IF(V13&gt;0,V21*Z13/V13,0),IF(W13&gt;0,W21*Z13/W13,0),IF(X13&gt;0,X21*Z13/X13,0),IF(Y13&gt;0,Y21*Z13/Y13,0),IF(Z13&gt;0,Z21*Z13/Z13,0))</f>
        <v>0.010103859509120034</v>
      </c>
      <c r="AA24" s="37">
        <f>SUM(IF(P13&gt;0,P21*AA13/P13,0),IF(Q13&gt;0,Q21*AA13/Q13,0),IF(R13&gt;0,R21*AA13/R13,0),IF(S13&gt;0,S21*AA13/S13,0),IF(T13&gt;0,T21*AA13/T13,0),IF(U13&gt;0,U21*AA13/U13,0),IF(V13&gt;0,V21*AA13/V13,0),IF(W13&gt;0,W21*AA13/W13,0),IF(X13&gt;0,X21*AA13/X13,0),IF(Y13&gt;0,Y21*AA13/Y13,0),IF(Z13&gt;0,Z21*AA13/Z13,0),IF(AA13&gt;0,AA21*AA13/AA13,0))</f>
        <v>0.010225106425866718</v>
      </c>
      <c r="AB24" s="37">
        <f>SUM(IF(Q13&gt;0,Q21*AB13/Q13,0),IF(R13&gt;0,R21*AB13/R13,0),IF(S13&gt;0,S21*AB13/S13,0),IF(T13&gt;0,T21*AB13/T13,0),IF(U13&gt;0,U21*AB13/U13,0),IF(V13&gt;0,V21*AB13/V13,0),IF(W13&gt;0,W21*AB13/W13,0),IF(X13&gt;0,X21*AB13/X13,0),IF(Y13&gt;0,Y21*AB13/Y13,0),IF(Z13&gt;0,Z21*AB13/Z13,0),IF(AA13&gt;0,AA21*AB13/AA13,0),IF(AB13&gt;0,AB21*AB13/AB13,0))</f>
        <v>0.01034391939191411</v>
      </c>
      <c r="AC24" s="37">
        <f>SUM(IF(R13&gt;0,R21*AC13/R13,0),IF(S13&gt;0,S21*AC13/S13,0),IF(T13&gt;0,T21*AC13/T13,0),IF(U13&gt;0,U21*AC13/U13,0),IF(V13&gt;0,V21*AC13/V13,0),IF(W13&gt;0,W21*AC13/W13,0),IF(X13&gt;0,X21*AC13/X13,0),IF(Y13&gt;0,Y21*AC13/Y13,0),IF(Z13&gt;0,Z21*AC13/Z13,0),IF(AA13&gt;0,AA21*AC13/AA13,0),IF(AB13&gt;0,AB21*AC13/AB13,0),IF(AC13&gt;0,AC21*AC13/AC13,0))</f>
        <v>0.010460283943376034</v>
      </c>
      <c r="AD24" s="37">
        <f>SUM(IF(S13&gt;0,S21*AD13/S13,0),IF(T13&gt;0,T21*AD13/T13,0),IF(U13&gt;0,U21*AD13/U13,0),IF(V13&gt;0,V21*AD13/V13,0),IF(W13&gt;0,W21*AD13/W13,0),IF(X13&gt;0,X21*AD13/X13,0),IF(Y13&gt;0,Y21*AD13/Y13,0),IF(Z13&gt;0,Z21*AD13/Z13,0),IF(AA13&gt;0,AA21*AD13/AA13,0),IF(AB13&gt;0,AB21*AD13/AB13,0),IF(AC13&gt;0,AC21*AD13/AC13,0),IF(AD13&gt;0,AD21*AD13/AD13,0))</f>
        <v>0.01057418606438391</v>
      </c>
      <c r="AE24" s="37">
        <f>SUM(IF(T13&gt;0,T21*AE13/T13,0),IF(U13&gt;0,U21*AE13/U13,0),IF(V13&gt;0,V21*AE13/V13,0),IF(W13&gt;0,W21*AE13/W13,0),IF(X13&gt;0,X21*AE13/X13,0),IF(Y13&gt;0,Y21*AE13/Y13,0),IF(Z13&gt;0,Z21*AE13/Z13,0),IF(AA13&gt;0,AA21*AE13/AA13,0),IF(AB13&gt;0,AB21*AE13/AB13,0),IF(AC13&gt;0,AC21*AE13/AC13,0),IF(AD13&gt;0,AD21*AE13/AD13,0),IF(AE13&gt;0,AE21*AE13/AE13,0))</f>
        <v>0.010685612150333815</v>
      </c>
      <c r="AF24" s="37">
        <f>SUM(IF(U13&gt;0,U21*AF13/U13,0),IF(V13&gt;0,V21*AF13/V13,0),IF(W13&gt;0,W21*AF13/W13,0),IF(X13&gt;0,X21*AF13/X13,0),IF(Y13&gt;0,Y21*AF13/Y13,0),IF(Z13&gt;0,Z21*AF13/Z13,0),IF(AA13&gt;0,AA21*AF13/AA13,0),IF(AB13&gt;0,AB21*AF13/AB13,0),IF(AC13&gt;0,AC21*AF13/AC13,0),IF(AD13&gt;0,AD21*AF13/AD13,0),IF(AE13&gt;0,AE21*AF13/AE13,0),IF(AF13&gt;0,AF21*AF13/AF13,0))</f>
        <v>0.009443198974802254</v>
      </c>
      <c r="AG24" s="37">
        <f>SUM(IF(V13&gt;0,V21*AG13/V13,0),IF(W13&gt;0,W21*AG13/W13,0),IF(X13&gt;0,X21*AG13/X13,0),IF(Y13&gt;0,Y21*AG13/Y13,0),IF(Z13&gt;0,Z21*AG13/Z13,0),IF(AA13&gt;0,AA21*AG13/AA13,0),IF(AB13&gt;0,AB21*AG13/AB13,0),IF(AC13&gt;0,AC21*AG13/AC13,0),IF(AD13&gt;0,AD21*AG13/AD13,0),IF(AE13&gt;0,AE21*AG13/AE13,0),IF(AF13&gt;0,AF21*AG13/AF13,0),IF(AG13&gt;0,AG21*AG13/AG13,0))</f>
        <v>0.00934731410289348</v>
      </c>
      <c r="AH24" s="37">
        <f>SUM(IF(W13&gt;0,W21*AH13/W13,0),IF(X13&gt;0,X21*AH13/X13,0),IF(Y13&gt;0,Y21*AH13/Y13,0),IF(Z13&gt;0,Z21*AH13/Z13,0),IF(AA13&gt;0,AA21*AH13/AA13,0),IF(AB13&gt;0,AB21*AH13/AB13,0),IF(AC13&gt;0,AC21*AH13/AC13,0),IF(AD13&gt;0,AD21*AH13/AD13,0),IF(AE13&gt;0,AE21*AH13/AE13,0),IF(AF13&gt;0,AF21*AH13/AF13,0),IF(AG13&gt;0,AG21*AH13/AG13,0),IF(AH13&gt;0,AH21*AH13/AH13,0))</f>
        <v>0.009249787871772702</v>
      </c>
      <c r="AI24" s="37">
        <f>SUM(IF(X13&gt;0,X21*AI13/X13,0),IF(Y13&gt;0,Y21*AI13/Y13,0),IF(Z13&gt;0,Z21*AI13/Z13,0),IF(AA13&gt;0,AA21*AI13/AA13,0),IF(AB13&gt;0,AB21*AI13/AB13,0),IF(AC13&gt;0,AC21*AI13/AC13,0),IF(AD13&gt;0,AD21*AI13/AD13,0),IF(AE13&gt;0,AE21*AI13/AE13,0),IF(AF13&gt;0,AF21*AI13/AF13,0),IF(AG13&gt;0,AG21*AI13/AG13,0),IF(AH13&gt;0,AH21*AI13/AH13,0),IF(AI13&gt;0,AI21*AI13/AI13,0))</f>
        <v>0.00915059189904269</v>
      </c>
      <c r="AJ24" s="37">
        <f>SUM(IF(Y13&gt;0,Y21*AJ13/Y13,0),IF(Z13&gt;0,Z21*AJ13/Z13,0),IF(AA13&gt;0,AA21*AJ13/AA13,0),IF(AB13&gt;0,AB21*AJ13/AB13,0),IF(AC13&gt;0,AC21*AJ13/AC13,0),IF(AD13&gt;0,AD21*AJ13/AD13,0),IF(AE13&gt;0,AE21*AJ13/AE13,0),IF(AF13&gt;0,AF21*AJ13/AF13,0),IF(AG13&gt;0,AG21*AJ13/AG13,0),IF(AH13&gt;0,AH21*AJ13/AH13,0),IF(AI13&gt;0,AI21*AJ13/AI13,0),IF(AJ13&gt;0,AJ21*AJ13/AJ13,0))</f>
        <v>0.00904969860712004</v>
      </c>
      <c r="AK24" s="37">
        <f>SUM(IF(Z13&gt;0,Z21*AK13/Z13,0),IF(AA13&gt;0,AA21*AK13/AA13,0),IF(AB13&gt;0,AB21*AK13/AB13,0),IF(AC13&gt;0,AC21*AK13/AC13,0),IF(AD13&gt;0,AD21*AK13/AD13,0),IF(AE13&gt;0,AE21*AK13/AE13,0),IF(AF13&gt;0,AF21*AK13/AF13,0),IF(AG13&gt;0,AG21*AK13/AG13,0),IF(AH13&gt;0,AH21*AK13/AH13,0),IF(AI13&gt;0,AI21*AK13/AI13,0),IF(AJ13&gt;0,AJ21*AK13/AJ13,0),IF(AK13&gt;0,AK21*AK13/AK13,0))</f>
        <v>0.009021023965133018</v>
      </c>
      <c r="AL24" s="37">
        <f>SUM(IF(AA13&gt;0,AA21*AL13/AA13,0),IF(AB13&gt;0,AB21*AL13/AB13,0),IF(AC13&gt;0,AC21*AL13/AC13,0),IF(AD13&gt;0,AD21*AL13/AD13,0),IF(AE13&gt;0,AE21*AL13/AE13,0),IF(AF13&gt;0,AF21*AL13/AF13,0),IF(AG13&gt;0,AG21*AL13/AG13,0),IF(AH13&gt;0,AH21*AL13/AH13,0),IF(AI13&gt;0,AI21*AL13/AI13,0),IF(AJ13&gt;0,AJ21*AL13/AJ13,0),IF(AK13&gt;0,AK21*AL13/AK13,0),IF(AL13&gt;0,AL21*AL13/AL13,0))</f>
        <v>0.008991580550227758</v>
      </c>
      <c r="AM24" s="37">
        <f>SUM(IF(AB13&gt;0,AB21*AM13/AB13,0),IF(AC13&gt;0,AC21*AM13/AC13,0),IF(AD13&gt;0,AD21*AM13/AD13,0),IF(AE13&gt;0,AE21*AM13/AE13,0),IF(AF13&gt;0,AF21*AM13/AF13,0),IF(AG13&gt;0,AG21*AM13/AG13,0),IF(AH13&gt;0,AH21*AM13/AH13,0),IF(AI13&gt;0,AI21*AM13/AI13,0),IF(AJ13&gt;0,AJ21*AM13/AJ13,0),IF(AK13&gt;0,AK21*AM13/AK13,0),IF(AL13&gt;0,AL21*AM13/AL13,0),IF(AM13&gt;0,AM21*AM13/AM13,0))</f>
        <v>0.008961352633812144</v>
      </c>
      <c r="AN24" s="37">
        <f>SUM(IF(AC13&gt;0,AC21*AN13/AC13,0),IF(AD13&gt;0,AD21*AN13/AD13,0),IF(AE13&gt;0,AE21*AN13/AE13,0),IF(AF13&gt;0,AF21*AN13/AF13,0),IF(AG13&gt;0,AG21*AN13/AG13,0),IF(AH13&gt;0,AH21*AN13/AH13,0),IF(AI13&gt;0,AI21*AN13/AI13,0),IF(AJ13&gt;0,AJ21*AN13/AJ13,0),IF(AK13&gt;0,AK21*AN13/AK13,0),IF(AL13&gt;0,AL21*AN13/AL13,0),IF(AM13&gt;0,AM21*AN13/AM13,0),IF(AN13&gt;0,AN21*AN13/AN13,0))</f>
        <v>0.008930324910313706</v>
      </c>
      <c r="AO24" s="37">
        <f>SUM(IF(AD13&gt;0,AD21*AO13/AD13,0),IF(AE13&gt;0,AE21*AO13/AE13,0),IF(AF13&gt;0,AF21*AO13/AF13,0),IF(AG13&gt;0,AG21*AO13/AG13,0),IF(AH13&gt;0,AH21*AO13/AH13,0),IF(AI13&gt;0,AI21*AO13/AI13,0),IF(AJ13&gt;0,AJ21*AO13/AJ13,0),IF(AK13&gt;0,AK21*AO13/AK13,0),IF(AL13&gt;0,AL21*AO13/AL13,0),IF(AM13&gt;0,AM21*AO13/AM13,0),IF(AN13&gt;0,AN21*AO13/AN13,0),IF(AO13&gt;0,AO21*AO13/AO13,0))</f>
        <v>0.008898482457677468</v>
      </c>
      <c r="AP24" s="37">
        <f>SUM(IF(AE13&gt;0,AE21*AP13/AE13,0),IF(AF13&gt;0,AF21*AP13/AF13,0),IF(AG13&gt;0,AG21*AP13/AG13,0),IF(AH13&gt;0,AH21*AP13/AH13,0),IF(AI13&gt;0,AI21*AP13/AI13,0),IF(AJ13&gt;0,AJ21*AP13/AJ13,0),IF(AK13&gt;0,AK21*AP13/AK13,0),IF(AL13&gt;0,AL21*AP13/AL13,0),IF(AM13&gt;0,AM21*AP13/AM13,0),IF(AN13&gt;0,AN21*AP13/AN13,0),IF(AO13&gt;0,AO21*AP13/AO13,0),IF(AP13&gt;0,AP21*AP13/AP13,0))</f>
        <v>0.00886581070188499</v>
      </c>
      <c r="AQ24" s="37">
        <f>SUM(IF(AF13&gt;0,AF21*AQ13/AF13,0),IF(AG13&gt;0,AG21*AQ13/AG13,0),IF(AH13&gt;0,AH21*AQ13/AH13,0),IF(AI13&gt;0,AI21*AQ13/AI13,0),IF(AJ13&gt;0,AJ21*AQ13/AJ13,0),IF(AK13&gt;0,AK21*AQ13/AK13,0),IF(AL13&gt;0,AL21*AQ13/AL13,0),IF(AM13&gt;0,AM21*AQ13/AM13,0),IF(AN13&gt;0,AN21*AQ13/AN13,0),IF(AO13&gt;0,AO21*AQ13/AO13,0),IF(AP13&gt;0,AP21*AQ13/AP13,0),IF(AQ13&gt;0,AQ21*AQ13/AQ13,0))</f>
        <v>0.008832295385086725</v>
      </c>
    </row>
    <row r="25" ht="28" customHeight="1">
      <c r="A25" s="2" t="str">
        <v>PLUS.YREL</v>
      </c>
      <c r="B25" s="6" t="str">
        <v>Plus annual billing recognised in the month, gross</v>
      </c>
      <c r="C25" s="2" t="str">
        <v>EUR</v>
      </c>
      <c r="D25" s="2" t="str">
        <v>NA</v>
      </c>
      <c r="E25" s="2"/>
      <c r="F25" s="6" t="str"/>
      <c r="G25" s="2"/>
      <c r="H25" s="35">
        <f>SUM(H22:H22)/12</f>
        <v>0.134985</v>
      </c>
      <c r="I25" s="35">
        <f>SUM(H22:I22)/12</f>
        <v>0.14367803399999998</v>
      </c>
      <c r="J25" s="35">
        <f>SUM(H22:J22)/12</f>
        <v>0.151110416088</v>
      </c>
      <c r="K25" s="35">
        <f>SUM(H22:K22)/12</f>
        <v>0.15790642154437198</v>
      </c>
      <c r="L25" s="35">
        <f>SUM(H22:L22)/12</f>
        <v>0.1640693210988612</v>
      </c>
      <c r="M25" s="35">
        <f>SUM(H22:M22)/12</f>
        <v>0.16984823052952627</v>
      </c>
      <c r="N25" s="35">
        <f>SUM(H22:N22)/12</f>
        <v>0.17536775354331913</v>
      </c>
      <c r="O25" s="35">
        <f>SUM(H22:O22)/12</f>
        <v>0.1806292078349027</v>
      </c>
      <c r="P25" s="35">
        <f>SUM(H22:P22)/12</f>
        <v>0.18563388582086163</v>
      </c>
      <c r="Q25" s="35">
        <f>SUM(H22:Q22)/12</f>
        <v>0.19038305708158457</v>
      </c>
      <c r="R25" s="35">
        <f>SUM(H22:R22)/12</f>
        <v>0.19499945468192134</v>
      </c>
      <c r="S25" s="35">
        <f>SUM(H22:S22)/12</f>
        <v>0.1994837339917046</v>
      </c>
      <c r="T25" s="35">
        <f>SUM(I22:T22)/12</f>
        <v>0.11609628914867672</v>
      </c>
      <c r="U25" s="35">
        <f>SUM(J22:U22)/12</f>
        <v>0.11483353379386352</v>
      </c>
      <c r="V25" s="35">
        <f>SUM(K22:V22)/12</f>
        <v>0.11435578722271962</v>
      </c>
      <c r="W25" s="35">
        <f>SUM(L22:W22)/12</f>
        <v>0.11425734908238405</v>
      </c>
      <c r="X25" s="35">
        <f>SUM(M22:X22)/12</f>
        <v>0.11453616835912601</v>
      </c>
      <c r="Y25" s="35">
        <f>SUM(N22:Y22)/12</f>
        <v>0.11503039152129606</v>
      </c>
      <c r="Z25" s="35">
        <f>SUM(O22:Z22)/12</f>
        <v>0.11565909499068112</v>
      </c>
      <c r="AA25" s="35">
        <f>SUM(P22:AA22)/12</f>
        <v>0.11642148851333477</v>
      </c>
      <c r="AB25" s="35">
        <f>SUM(Q22:AB22)/12</f>
        <v>0.11731679596020556</v>
      </c>
      <c r="AC25" s="35">
        <f>SUM(R22:AC22)/12</f>
        <v>0.11834425398970988</v>
      </c>
      <c r="AD25" s="35">
        <f>SUM(S22:AD22)/12</f>
        <v>0.11942414616384538</v>
      </c>
      <c r="AE25" s="35">
        <f>SUM(T22:AE22)/12</f>
        <v>0.12055610491667051</v>
      </c>
      <c r="AF25" s="35">
        <f>SUM(U22:AF22)/12</f>
        <v>0.09103068103477763</v>
      </c>
      <c r="AG25" s="35">
        <f>SUM(V22:AG22)/12</f>
        <v>0.09016775397434451</v>
      </c>
      <c r="AH25" s="35">
        <f>SUM(W22:AH22)/12</f>
        <v>0.08954563500658363</v>
      </c>
      <c r="AI25" s="35">
        <f>SUM(X22:AI22)/12</f>
        <v>0.08902229106294939</v>
      </c>
      <c r="AJ25" s="35">
        <f>SUM(Y22:AJ22)/12</f>
        <v>0.08859696910448484</v>
      </c>
      <c r="AK25" s="35">
        <f>SUM(Z22:AK22)/12</f>
        <v>0.08824351296324762</v>
      </c>
      <c r="AL25" s="35">
        <f>SUM(AA22:AL22)/12</f>
        <v>0.08793355136694869</v>
      </c>
      <c r="AM25" s="35">
        <f>SUM(AB22:AM22)/12</f>
        <v>0.08766676175422909</v>
      </c>
      <c r="AN25" s="35">
        <f>SUM(AC22:AN22)/12</f>
        <v>0.08744282835172458</v>
      </c>
      <c r="AO25" s="35">
        <f>SUM(AD22:AO22)/12</f>
        <v>0.08726144152323888</v>
      </c>
      <c r="AP25" s="35">
        <f>SUM(AE22:AP22)/12</f>
        <v>0.08709465954604174</v>
      </c>
      <c r="AQ25" s="35">
        <f>SUM(AF22:AQ22)/12</f>
        <v>0.08694231415204275</v>
      </c>
    </row>
    <row r="26" ht="22" customHeight="1">
      <c r="A26" s="2" t="str">
        <v>PRO.M</v>
      </c>
      <c r="B26" s="6" t="str">
        <v>Pro monthly plans</v>
      </c>
      <c r="C26" s="2" t="str">
        <v>count</v>
      </c>
      <c r="D26" s="2" t="str">
        <v>NA</v>
      </c>
      <c r="E26" s="2"/>
      <c r="F26" s="6" t="str"/>
      <c r="G26" s="2"/>
      <c r="H26" s="38">
        <f>0*(1-'Inputs'!$E$23)+H17*'Inputs'!$E$19*(1-'Inputs'!$E$22)</f>
        <v>0.013999999999999999</v>
      </c>
      <c r="I26" s="38">
        <f>H26*(1-'Inputs'!$E$23)+I17*'Inputs'!$E$19*(1-'Inputs'!$E$22)</f>
        <v>0.0136416</v>
      </c>
      <c r="J26" s="38">
        <f>I26*(1-'Inputs'!$E$23)+J17*'Inputs'!$E$19*(1-'Inputs'!$E$22)</f>
        <v>0.013184707200000001</v>
      </c>
      <c r="K26" s="38">
        <f>J26*(1-'Inputs'!$E$23)+K17*'Inputs'!$E$19*(1-'Inputs'!$E$22)</f>
        <v>0.012702932804800001</v>
      </c>
      <c r="L26" s="38">
        <f>K26*(1-'Inputs'!$E$23)+L17*'Inputs'!$E$19*(1-'Inputs'!$E$22)</f>
        <v>0.012198855382448002</v>
      </c>
      <c r="M26" s="38">
        <f>L26*(1-'Inputs'!$E$23)+M17*'Inputs'!$E$19*(1-'Inputs'!$E$22)</f>
        <v>0.011700319305012245</v>
      </c>
      <c r="N26" s="38">
        <f>M26*(1-'Inputs'!$E$23)+N17*'Inputs'!$E$19*(1-'Inputs'!$E$22)</f>
        <v>0.011219749153278814</v>
      </c>
      <c r="O26" s="38">
        <f>N26*(1-'Inputs'!$E$23)+O17*'Inputs'!$E$19*(1-'Inputs'!$E$22)</f>
        <v>0.010755664658936402</v>
      </c>
      <c r="P26" s="38">
        <f>O26*(1-'Inputs'!$E$23)+P17*'Inputs'!$E$19*(1-'Inputs'!$E$22)</f>
        <v>0.01030671615610007</v>
      </c>
      <c r="Q26" s="38">
        <f>P26*(1-'Inputs'!$E$23)+Q17*'Inputs'!$E$19*(1-'Inputs'!$E$22)</f>
        <v>0.009871673080353255</v>
      </c>
      <c r="R26" s="38">
        <f>Q26*(1-'Inputs'!$E$23)+R17*'Inputs'!$E$19*(1-'Inputs'!$E$22)</f>
        <v>0.009462013231015042</v>
      </c>
      <c r="S26" s="38">
        <f>R26*(1-'Inputs'!$E$23)+S17*'Inputs'!$E$19*(1-'Inputs'!$E$22)</f>
        <v>0.009075520089540025</v>
      </c>
      <c r="T26" s="38">
        <f>S26*(1-'Inputs'!$E$23)+T17*'Inputs'!$E$19*(1-'Inputs'!$E$22)</f>
        <v>0.008710175459113081</v>
      </c>
      <c r="U26" s="38">
        <f>T26*(1-'Inputs'!$E$23)+U17*'Inputs'!$E$19*(1-'Inputs'!$E$22)</f>
        <v>0.00838133270874275</v>
      </c>
      <c r="V26" s="38">
        <f>U26*(1-'Inputs'!$E$23)+V17*'Inputs'!$E$19*(1-'Inputs'!$E$22)</f>
        <v>0.008078516450586052</v>
      </c>
      <c r="W26" s="38">
        <f>V26*(1-'Inputs'!$E$23)+W17*'Inputs'!$E$19*(1-'Inputs'!$E$22)</f>
        <v>0.007799392450222122</v>
      </c>
      <c r="X26" s="38">
        <f>W26*(1-'Inputs'!$E$23)+X17*'Inputs'!$E$19*(1-'Inputs'!$E$22)</f>
        <v>0.007541836179005679</v>
      </c>
      <c r="Y26" s="38">
        <f>X26*(1-'Inputs'!$E$23)+Y17*'Inputs'!$E$19*(1-'Inputs'!$E$22)</f>
        <v>0.007303913980193629</v>
      </c>
      <c r="Z26" s="38">
        <f>Y26*(1-'Inputs'!$E$23)+Z17*'Inputs'!$E$19*(1-'Inputs'!$E$22)</f>
        <v>0.007083865926124114</v>
      </c>
      <c r="AA26" s="38">
        <f>Z26*(1-'Inputs'!$E$23)+AA17*'Inputs'!$E$19*(1-'Inputs'!$E$22)</f>
        <v>0.006880090214653607</v>
      </c>
      <c r="AB26" s="38">
        <f>AA26*(1-'Inputs'!$E$23)+AB17*'Inputs'!$E$19*(1-'Inputs'!$E$22)</f>
        <v>0.006691128966679138</v>
      </c>
      <c r="AC26" s="38">
        <f>AB26*(1-'Inputs'!$E$23)+AC17*'Inputs'!$E$19*(1-'Inputs'!$E$22)</f>
        <v>0.006515655298972301</v>
      </c>
      <c r="AD26" s="38">
        <f>AC26*(1-'Inputs'!$E$23)+AD17*'Inputs'!$E$19*(1-'Inputs'!$E$22)</f>
        <v>0.006352461557838854</v>
      </c>
      <c r="AE26" s="38">
        <f>AD26*(1-'Inputs'!$E$23)+AE17*'Inputs'!$E$19*(1-'Inputs'!$E$22)</f>
        <v>0.006200448609392292</v>
      </c>
      <c r="AF26" s="38">
        <f>AE26*(1-'Inputs'!$E$23)+AF17*'Inputs'!$E$19*(1-'Inputs'!$E$22)</f>
        <v>0.006058616091582552</v>
      </c>
      <c r="AG26" s="38">
        <f>AF26*(1-'Inputs'!$E$23)+AG17*'Inputs'!$E$19*(1-'Inputs'!$E$22)</f>
        <v>0.005924753443467071</v>
      </c>
      <c r="AH26" s="38">
        <f>AG26*(1-'Inputs'!$E$23)+AH17*'Inputs'!$E$19*(1-'Inputs'!$E$22)</f>
        <v>0.005795848466867909</v>
      </c>
      <c r="AI26" s="38">
        <f>AH26*(1-'Inputs'!$E$23)+AI17*'Inputs'!$E$19*(1-'Inputs'!$E$22)</f>
        <v>0.0056714591857480595</v>
      </c>
      <c r="AJ26" s="38">
        <f>AI26*(1-'Inputs'!$E$23)+AJ17*'Inputs'!$E$19*(1-'Inputs'!$E$22)</f>
        <v>0.005551183312938206</v>
      </c>
      <c r="AK26" s="38">
        <f>AJ26*(1-'Inputs'!$E$23)+AK17*'Inputs'!$E$19*(1-'Inputs'!$E$22)</f>
        <v>0.005437820624215399</v>
      </c>
      <c r="AL26" s="38">
        <f>AK26*(1-'Inputs'!$E$23)+AL17*'Inputs'!$E$19*(1-'Inputs'!$E$22)</f>
        <v>0.005330751091469981</v>
      </c>
      <c r="AM26" s="38">
        <f>AL26*(1-'Inputs'!$E$23)+AM17*'Inputs'!$E$19*(1-'Inputs'!$E$22)</f>
        <v>0.005229410433501297</v>
      </c>
      <c r="AN26" s="38">
        <f>AM26*(1-'Inputs'!$E$23)+AN17*'Inputs'!$E$19*(1-'Inputs'!$E$22)</f>
        <v>0.005133285106544467</v>
      </c>
      <c r="AO26" s="38">
        <f>AN26*(1-'Inputs'!$E$23)+AO17*'Inputs'!$E$19*(1-'Inputs'!$E$22)</f>
        <v>0.0050419077448572176</v>
      </c>
      <c r="AP26" s="38">
        <f>AO26*(1-'Inputs'!$E$23)+AP17*'Inputs'!$E$19*(1-'Inputs'!$E$22)</f>
        <v>0.004954853010941436</v>
      </c>
      <c r="AQ26" s="38">
        <f>AP26*(1-'Inputs'!$E$23)+AQ17*'Inputs'!$E$19*(1-'Inputs'!$E$22)</f>
        <v>0.0048717338186043384</v>
      </c>
    </row>
    <row r="27" ht="22" customHeight="1">
      <c r="A27" s="2" t="str">
        <v>PRO.MA</v>
      </c>
      <c r="B27" s="6" t="str">
        <v>Pro monthly plans, active users</v>
      </c>
      <c r="C27" s="2" t="str">
        <v>count</v>
      </c>
      <c r="D27" s="2" t="str">
        <v>NA</v>
      </c>
      <c r="E27" s="2"/>
      <c r="F27" s="6" t="str"/>
      <c r="G27" s="2"/>
      <c r="H27" s="38">
        <f>0*H14*(1-'Inputs'!$E$23)+H17*'Inputs'!$E$19*(1-'Inputs'!$E$22)</f>
        <v>0.013999999999999999</v>
      </c>
      <c r="I27" s="38">
        <f>H27*I14*(1-'Inputs'!$E$23)+I17*'Inputs'!$E$19*(1-'Inputs'!$E$22)</f>
        <v>0.0098196</v>
      </c>
      <c r="J27" s="38">
        <f>I27*J14*(1-'Inputs'!$E$23)+J17*'Inputs'!$E$19*(1-'Inputs'!$E$22)</f>
        <v>0.0084301392</v>
      </c>
      <c r="K27" s="38">
        <f>J27*K14*(1-'Inputs'!$E$23)+K17*'Inputs'!$E$19*(1-'Inputs'!$E$22)</f>
        <v>0.007736990368800001</v>
      </c>
      <c r="L27" s="38">
        <f>K27*L14*(1-'Inputs'!$E$23)+L17*'Inputs'!$E$19*(1-'Inputs'!$E$22)</f>
        <v>0.007039787653360001</v>
      </c>
      <c r="M27" s="38">
        <f>L27*M14*(1-'Inputs'!$E$23)+M17*'Inputs'!$E$19*(1-'Inputs'!$E$22)</f>
        <v>0.006621195265668709</v>
      </c>
      <c r="N27" s="38">
        <f>M27*N14*(1-'Inputs'!$E$23)+N17*'Inputs'!$E$19*(1-'Inputs'!$E$22)</f>
        <v>0.0063413510565503</v>
      </c>
      <c r="O27" s="38">
        <f>N27*O14*(1-'Inputs'!$E$23)+O17*'Inputs'!$E$19*(1-'Inputs'!$E$22)</f>
        <v>0.006059849970404086</v>
      </c>
      <c r="P27" s="38">
        <f>O27*P14*(1-'Inputs'!$E$23)+P17*'Inputs'!$E$19*(1-'Inputs'!$E$22)</f>
        <v>0.005777038116369722</v>
      </c>
      <c r="Q27" s="38">
        <f>P27*Q14*(1-'Inputs'!$E$23)+Q17*'Inputs'!$E$19*(1-'Inputs'!$E$22)</f>
        <v>0.005493221933179297</v>
      </c>
      <c r="R27" s="38">
        <f>Q27*R14*(1-'Inputs'!$E$23)+R17*'Inputs'!$E$19*(1-'Inputs'!$E$22)</f>
        <v>0.00534944750864589</v>
      </c>
      <c r="S27" s="38">
        <f>R27*S14*(1-'Inputs'!$E$23)+S17*'Inputs'!$E$19*(1-'Inputs'!$E$22)</f>
        <v>0.005204980091845471</v>
      </c>
      <c r="T27" s="38">
        <f>S27*T14*(1-'Inputs'!$E$23)+T17*'Inputs'!$E$19*(1-'Inputs'!$E$22)</f>
        <v>0.005059969685979164</v>
      </c>
      <c r="U27" s="38">
        <f>T27*U14*(1-'Inputs'!$E$23)+U17*'Inputs'!$E$19*(1-'Inputs'!$E$22)</f>
        <v>0.0050276692578697674</v>
      </c>
      <c r="V27" s="38">
        <f>U27*V14*(1-'Inputs'!$E$23)+V17*'Inputs'!$E$19*(1-'Inputs'!$E$22)</f>
        <v>0.004994688451377922</v>
      </c>
      <c r="W27" s="38">
        <f>V27*W14*(1-'Inputs'!$E$23)+W17*'Inputs'!$E$19*(1-'Inputs'!$E$22)</f>
        <v>0.004961100756219104</v>
      </c>
      <c r="X27" s="38">
        <f>W27*X14*(1-'Inputs'!$E$23)+X17*'Inputs'!$E$19*(1-'Inputs'!$E$22)</f>
        <v>0.0049269722857738585</v>
      </c>
      <c r="Y27" s="38">
        <f>X27*Y14*(1-'Inputs'!$E$23)+Y17*'Inputs'!$E$19*(1-'Inputs'!$E$22)</f>
        <v>0.004892362517495142</v>
      </c>
      <c r="Z27" s="38">
        <f>Y27*Z14*(1-'Inputs'!$E$23)+Z17*'Inputs'!$E$19*(1-'Inputs'!$E$22)</f>
        <v>0.0048573249591625876</v>
      </c>
      <c r="AA27" s="38">
        <f>Z27*AA14*(1-'Inputs'!$E$23)+AA17*'Inputs'!$E$19*(1-'Inputs'!$E$22)</f>
        <v>0.004821907748393706</v>
      </c>
      <c r="AB27" s="38">
        <f>AA27*AB14*(1-'Inputs'!$E$23)+AB17*'Inputs'!$E$19*(1-'Inputs'!$E$22)</f>
        <v>0.0047861541920830785</v>
      </c>
      <c r="AC27" s="38">
        <f>AB27*AC14*(1-'Inputs'!$E$23)+AC17*'Inputs'!$E$19*(1-'Inputs'!$E$22)</f>
        <v>0.004750103251775214</v>
      </c>
      <c r="AD27" s="38">
        <f>AC27*AD14*(1-'Inputs'!$E$23)+AD17*'Inputs'!$E$19*(1-'Inputs'!$E$22)</f>
        <v>0.004713789980377539</v>
      </c>
      <c r="AE27" s="38">
        <f>AD27*AE14*(1-'Inputs'!$E$23)+AE17*'Inputs'!$E$19*(1-'Inputs'!$E$22)</f>
        <v>0.004677245915080528</v>
      </c>
      <c r="AF27" s="38">
        <f>AE27*AF14*(1-'Inputs'!$E$23)+AF17*'Inputs'!$E$19*(1-'Inputs'!$E$22)</f>
        <v>0.004640499430866189</v>
      </c>
      <c r="AG27" s="38">
        <f>AF27*AG14*(1-'Inputs'!$E$23)+AG17*'Inputs'!$E$19*(1-'Inputs'!$E$22)</f>
        <v>0.004563886374180377</v>
      </c>
      <c r="AH27" s="38">
        <f>AG27*AH14*(1-'Inputs'!$E$23)+AH17*'Inputs'!$E$19*(1-'Inputs'!$E$22)</f>
        <v>0.004487067288045762</v>
      </c>
      <c r="AI27" s="38">
        <f>AH27*AI14*(1-'Inputs'!$E$23)+AI17*'Inputs'!$E$19*(1-'Inputs'!$E$22)</f>
        <v>0.004410067774535049</v>
      </c>
      <c r="AJ27" s="38">
        <f>AI27*AJ14*(1-'Inputs'!$E$23)+AJ17*'Inputs'!$E$19*(1-'Inputs'!$E$22)</f>
        <v>0.004332910783561964</v>
      </c>
      <c r="AK27" s="38">
        <f>AJ27*AK14*(1-'Inputs'!$E$23)+AK17*'Inputs'!$E$19*(1-'Inputs'!$E$22)</f>
        <v>0.004290787276901447</v>
      </c>
      <c r="AL27" s="38">
        <f>AK27*AL14*(1-'Inputs'!$E$23)+AL17*'Inputs'!$E$19*(1-'Inputs'!$E$22)</f>
        <v>0.004248544682247265</v>
      </c>
      <c r="AM27" s="38">
        <f>AL27*AM14*(1-'Inputs'!$E$23)+AM17*'Inputs'!$E$19*(1-'Inputs'!$E$22)</f>
        <v>0.004206196882623409</v>
      </c>
      <c r="AN27" s="38">
        <f>AM27*AN14*(1-'Inputs'!$E$23)+AN17*'Inputs'!$E$19*(1-'Inputs'!$E$22)</f>
        <v>0.004163756368925984</v>
      </c>
      <c r="AO27" s="38">
        <f>AN27*AO14*(1-'Inputs'!$E$23)+AO17*'Inputs'!$E$19*(1-'Inputs'!$E$22)</f>
        <v>0.004121234381167749</v>
      </c>
      <c r="AP27" s="38">
        <f>AO27*AP14*(1-'Inputs'!$E$23)+AP17*'Inputs'!$E$19*(1-'Inputs'!$E$22)</f>
        <v>0.004078641035442763</v>
      </c>
      <c r="AQ27" s="38">
        <f>AP27*AQ14*(1-'Inputs'!$E$23)+AQ17*'Inputs'!$E$19*(1-'Inputs'!$E$22)</f>
        <v>0.0040359854380496545</v>
      </c>
    </row>
    <row r="28" ht="22" customHeight="1">
      <c r="A28" s="2" t="str">
        <v>PRO.YB</v>
      </c>
      <c r="B28" s="6" t="str">
        <v>Pro annual plans billed</v>
      </c>
      <c r="C28" s="2" t="str">
        <v>count</v>
      </c>
      <c r="D28" s="2" t="str">
        <v>NA</v>
      </c>
      <c r="E28" s="2"/>
      <c r="F28" s="6" t="str"/>
      <c r="G28" s="2"/>
      <c r="H28" s="38">
        <f>H17*'Inputs'!$E$19*'Inputs'!$E$22+0*'Inputs'!$E$24</f>
        <v>0.006</v>
      </c>
      <c r="I28" s="38">
        <f>I17*'Inputs'!$E$19*'Inputs'!$E$22+0*'Inputs'!$E$24</f>
        <v>0.0003864</v>
      </c>
      <c r="J28" s="38">
        <f>J17*'Inputs'!$E$19*'Inputs'!$E$22+0*'Inputs'!$E$24</f>
        <v>0.0003303648</v>
      </c>
      <c r="K28" s="38">
        <f>K17*'Inputs'!$E$19*'Inputs'!$E$22+0*'Inputs'!$E$24</f>
        <v>0.0003020782512</v>
      </c>
      <c r="L28" s="38">
        <f>L17*'Inputs'!$E$19*'Inputs'!$E$22+0*'Inputs'!$E$24</f>
        <v>0.00027393708432</v>
      </c>
      <c r="M28" s="38">
        <f>M17*'Inputs'!$E$19*'Inputs'!$E$22+0*'Inputs'!$E$24</f>
        <v>0.0002568689601362419</v>
      </c>
      <c r="N28" s="38">
        <f>N17*'Inputs'!$E$19*'Inputs'!$E$22+0*'Inputs'!$E$24</f>
        <v>0.00024533939387900126</v>
      </c>
      <c r="O28" s="38">
        <f>O17*'Inputs'!$E$19*'Inputs'!$E$22+0*'Inputs'!$E$24</f>
        <v>0.00023386839833686277</v>
      </c>
      <c r="P28" s="38">
        <f>P17*'Inputs'!$E$19*'Inputs'!$E$22+0*'Inputs'!$E$24</f>
        <v>0.00022245484991483333</v>
      </c>
      <c r="Q28" s="38">
        <f>Q17*'Inputs'!$E$19*'Inputs'!$E$22+0*'Inputs'!$E$24</f>
        <v>0.00021109773355808064</v>
      </c>
      <c r="R28" s="38">
        <f>R17*'Inputs'!$E$19*'Inputs'!$E$22+0*'Inputs'!$E$24</f>
        <v>0.00020519602624010573</v>
      </c>
      <c r="S28" s="38">
        <f>S17*'Inputs'!$E$19*'Inputs'!$E$22+0*'Inputs'!$E$24</f>
        <v>0.00019932344970700108</v>
      </c>
      <c r="T28" s="38">
        <f>T17*'Inputs'!$E$19*'Inputs'!$E$22+H28*'Inputs'!$E$24</f>
        <v>0.0022934795046992825</v>
      </c>
      <c r="U28" s="38">
        <f>U17*'Inputs'!$E$19*'Inputs'!$E$22+I28*'Inputs'!$E$24</f>
        <v>0.00033027130326421976</v>
      </c>
      <c r="V28" s="38">
        <f>V17*'Inputs'!$E$19*'Inputs'!$E$22+J28*'Inputs'!$E$24</f>
        <v>0.0003091292595557783</v>
      </c>
      <c r="W28" s="38">
        <f>W17*'Inputs'!$E$19*'Inputs'!$E$22+K28*'Inputs'!$E$24</f>
        <v>0.000297702736572349</v>
      </c>
      <c r="X28" s="38">
        <f>X17*'Inputs'!$E$19*'Inputs'!$E$22+L28*'Inputs'!$E$24</f>
        <v>0.0002863304292135202</v>
      </c>
      <c r="Y28" s="38">
        <f>Y17*'Inputs'!$E$19*'Inputs'!$E$22+M28*'Inputs'!$E$24</f>
        <v>0.0002788368748898821</v>
      </c>
      <c r="Z28" s="38">
        <f>Z17*'Inputs'!$E$19*'Inputs'!$E$22+N28*'Inputs'!$E$24</f>
        <v>0.0002732848753496127</v>
      </c>
      <c r="AA28" s="38">
        <f>AA17*'Inputs'!$E$19*'Inputs'!$E$22+O28*'Inputs'!$E$24</f>
        <v>0.0002677563202239004</v>
      </c>
      <c r="AB28" s="38">
        <f>AB17*'Inputs'!$E$19*'Inputs'!$E$22+P28*'Inputs'!$E$24</f>
        <v>0.0002622507137606296</v>
      </c>
      <c r="AC28" s="38">
        <f>AC17*'Inputs'!$E$19*'Inputs'!$E$22+Q28*'Inputs'!$E$24</f>
        <v>0.0002567676093000221</v>
      </c>
      <c r="AD28" s="38">
        <f>AD17*'Inputs'!$E$19*'Inputs'!$E$22+R28*'Inputs'!$E$24</f>
        <v>0.0002531965673729198</v>
      </c>
      <c r="AE28" s="38">
        <f>AE17*'Inputs'!$E$19*'Inputs'!$E$22+S28*'Inputs'!$E$24</f>
        <v>0.00024963831815127903</v>
      </c>
      <c r="AF28" s="38">
        <f>AF17*'Inputs'!$E$19*'Inputs'!$E$22+T28*'Inputs'!$E$24</f>
        <v>0.000981092622517134</v>
      </c>
      <c r="AG28" s="38">
        <f>AG17*'Inputs'!$E$19*'Inputs'!$E$22+U28*'Inputs'!$E$24</f>
        <v>0.00029191472762545495</v>
      </c>
      <c r="AH28" s="38">
        <f>AH17*'Inputs'!$E$19*'Inputs'!$E$22+V28*'Inputs'!$E$24</f>
        <v>0.00028147645512146874</v>
      </c>
      <c r="AI28" s="38">
        <f>AI17*'Inputs'!$E$19*'Inputs'!$E$22+W28*'Inputs'!$E$24</f>
        <v>0.00027444042104243435</v>
      </c>
      <c r="AJ28" s="38">
        <f>AJ17*'Inputs'!$E$19*'Inputs'!$E$22+X28*'Inputs'!$E$24</f>
        <v>0.00026742513047079135</v>
      </c>
      <c r="AK28" s="38">
        <f>AK17*'Inputs'!$E$19*'Inputs'!$E$22+Y28*'Inputs'!$E$24</f>
        <v>0.00026312596740072936</v>
      </c>
      <c r="AL28" s="38">
        <f>AL17*'Inputs'!$E$19*'Inputs'!$E$22+Z28*'Inputs'!$E$24</f>
        <v>0.0002595072735583503</v>
      </c>
      <c r="AM28" s="38">
        <f>AM17*'Inputs'!$E$19*'Inputs'!$E$22+AA28*'Inputs'!$E$24</f>
        <v>0.0002558976864770568</v>
      </c>
      <c r="AN28" s="38">
        <f>AN17*'Inputs'!$E$19*'Inputs'!$E$22+AB28*'Inputs'!$E$24</f>
        <v>0.0002522970121269147</v>
      </c>
      <c r="AO28" s="38">
        <f>AO17*'Inputs'!$E$19*'Inputs'!$E$22+AC28*'Inputs'!$E$24</f>
        <v>0.000248705076641473</v>
      </c>
      <c r="AP28" s="38">
        <f>AP17*'Inputs'!$E$19*'Inputs'!$E$22+AD28*'Inputs'!$E$24</f>
        <v>0.0002457832113468225</v>
      </c>
      <c r="AQ28" s="38">
        <f>AQ17*'Inputs'!$E$19*'Inputs'!$E$22+AE28*'Inputs'!$E$24</f>
        <v>0.00024286665934478981</v>
      </c>
    </row>
    <row r="29" ht="22" customHeight="1">
      <c r="A29" s="2" t="str">
        <v>PRO.YBA</v>
      </c>
      <c r="B29" s="6" t="str">
        <v>Pro annual plans billed, active users</v>
      </c>
      <c r="C29" s="2" t="str">
        <v>count</v>
      </c>
      <c r="D29" s="2" t="str">
        <v>NA</v>
      </c>
      <c r="E29" s="2"/>
      <c r="F29" s="6" t="str"/>
      <c r="G29" s="2"/>
      <c r="H29" s="38">
        <f>H17*'Inputs'!$E$19*'Inputs'!$E$22+0*'Inputs'!$E$24</f>
        <v>0.006</v>
      </c>
      <c r="I29" s="38">
        <f>I17*'Inputs'!$E$19*'Inputs'!$E$22+0*'Inputs'!$E$24</f>
        <v>0.0003864</v>
      </c>
      <c r="J29" s="38">
        <f>J17*'Inputs'!$E$19*'Inputs'!$E$22+0*'Inputs'!$E$24</f>
        <v>0.0003303648</v>
      </c>
      <c r="K29" s="38">
        <f>K17*'Inputs'!$E$19*'Inputs'!$E$22+0*'Inputs'!$E$24</f>
        <v>0.0003020782512</v>
      </c>
      <c r="L29" s="38">
        <f>L17*'Inputs'!$E$19*'Inputs'!$E$22+0*'Inputs'!$E$24</f>
        <v>0.00027393708432</v>
      </c>
      <c r="M29" s="38">
        <f>M17*'Inputs'!$E$19*'Inputs'!$E$22+0*'Inputs'!$E$24</f>
        <v>0.0002568689601362419</v>
      </c>
      <c r="N29" s="38">
        <f>N17*'Inputs'!$E$19*'Inputs'!$E$22+0*'Inputs'!$E$24</f>
        <v>0.00024533939387900126</v>
      </c>
      <c r="O29" s="38">
        <f>O17*'Inputs'!$E$19*'Inputs'!$E$22+0*'Inputs'!$E$24</f>
        <v>0.00023386839833686277</v>
      </c>
      <c r="P29" s="38">
        <f>P17*'Inputs'!$E$19*'Inputs'!$E$22+0*'Inputs'!$E$24</f>
        <v>0.00022245484991483333</v>
      </c>
      <c r="Q29" s="38">
        <f>Q17*'Inputs'!$E$19*'Inputs'!$E$22+0*'Inputs'!$E$24</f>
        <v>0.00021109773355808064</v>
      </c>
      <c r="R29" s="38">
        <f>R17*'Inputs'!$E$19*'Inputs'!$E$22+0*'Inputs'!$E$24</f>
        <v>0.00020519602624010573</v>
      </c>
      <c r="S29" s="38">
        <f>S17*'Inputs'!$E$19*'Inputs'!$E$22+0*'Inputs'!$E$24</f>
        <v>0.00019932344970700108</v>
      </c>
      <c r="T29" s="38">
        <f>T17*'Inputs'!$E$19*'Inputs'!$E$22+IF(H13&gt;0,H29*T13/H13,0)*'Inputs'!$E$24</f>
        <v>0.0009494795046992827</v>
      </c>
      <c r="U29" s="38">
        <f>U17*'Inputs'!$E$19*'Inputs'!$E$22+IF(I13&gt;0,I29*U13/I13,0)*'Inputs'!$E$24</f>
        <v>0.0002641003032642198</v>
      </c>
      <c r="V29" s="38">
        <f>V17*'Inputs'!$E$19*'Inputs'!$E$22+IF(J13&gt;0,J29*V13/J13,0)*'Inputs'!$E$24</f>
        <v>0.0002619146235557783</v>
      </c>
      <c r="W29" s="38">
        <f>W17*'Inputs'!$E$19*'Inputs'!$E$22+IF(K13&gt;0,K29*W13/K13,0)*'Inputs'!$E$24</f>
        <v>0.00025973699272834896</v>
      </c>
      <c r="X29" s="38">
        <f>X17*'Inputs'!$E$19*'Inputs'!$E$22+IF(L13&gt;0,L29*X13/L13,0)*'Inputs'!$E$24</f>
        <v>0.0002575670353599202</v>
      </c>
      <c r="Y29" s="38">
        <f>Y17*'Inputs'!$E$19*'Inputs'!$E$22+IF(M13&gt;0,M29*Y13/M13,0)*'Inputs'!$E$24</f>
        <v>0.0002554044138987302</v>
      </c>
      <c r="Z29" s="38">
        <f>Z17*'Inputs'!$E$19*'Inputs'!$E$22+IF(N13&gt;0,N29*Z13/N13,0)*'Inputs'!$E$24</f>
        <v>0.00025324882484949423</v>
      </c>
      <c r="AA29" s="38">
        <f>AA17*'Inputs'!$E$19*'Inputs'!$E$22+IF(O13&gt;0,O29*AA13/O13,0)*'Inputs'!$E$24</f>
        <v>0.0002510999953423506</v>
      </c>
      <c r="AB29" s="38">
        <f>AB17*'Inputs'!$E$19*'Inputs'!$E$22+IF(P13&gt;0,P29*AB13/P13,0)*'Inputs'!$E$24</f>
        <v>0.00024895768004620664</v>
      </c>
      <c r="AC29" s="38">
        <f>AC17*'Inputs'!$E$19*'Inputs'!$E$22+IF(Q13&gt;0,Q29*AC13/Q13,0)*'Inputs'!$E$24</f>
        <v>0.0002468216583919971</v>
      </c>
      <c r="AD29" s="38">
        <f>AD17*'Inputs'!$E$19*'Inputs'!$E$22+IF(R13&gt;0,R29*AD13/R13,0)*'Inputs'!$E$24</f>
        <v>0.0002446917320748102</v>
      </c>
      <c r="AE29" s="38">
        <f>AE17*'Inputs'!$E$19*'Inputs'!$E$22+IF(S13&gt;0,S29*AE13/S13,0)*'Inputs'!$E$24</f>
        <v>0.0002425677228069429</v>
      </c>
      <c r="AF29" s="38">
        <f>AF17*'Inputs'!$E$19*'Inputs'!$E$22+IF(T13&gt;0,T29*AF13/T13,0)*'Inputs'!$E$24</f>
        <v>0.0004829994702967384</v>
      </c>
      <c r="AG29" s="38">
        <f>AG17*'Inputs'!$E$19*'Inputs'!$E$22+IF(U13&gt;0,U29*AG13/U13,0)*'Inputs'!$E$24</f>
        <v>0.00026022240628922633</v>
      </c>
      <c r="AH29" s="38">
        <f>AH17*'Inputs'!$E$19*'Inputs'!$E$22+IF(V13&gt;0,V29*AH13/V13,0)*'Inputs'!$E$24</f>
        <v>0.0002556552078544186</v>
      </c>
      <c r="AI29" s="38">
        <f>AI17*'Inputs'!$E$19*'Inputs'!$E$22+IF(W13&gt;0,W29*AI13/W13,0)*'Inputs'!$E$24</f>
        <v>0.0002510945101275536</v>
      </c>
      <c r="AJ29" s="38">
        <f>AJ17*'Inputs'!$E$19*'Inputs'!$E$22+IF(X13&gt;0,X29*AJ13/X13,0)*'Inputs'!$E$24</f>
        <v>0.00024654012713691466</v>
      </c>
      <c r="AK29" s="38">
        <f>AK17*'Inputs'!$E$19*'Inputs'!$E$22+IF(Y13&gt;0,Y29*AK13/Y13,0)*'Inputs'!$E$24</f>
        <v>0.00024399182718549926</v>
      </c>
      <c r="AL29" s="38">
        <f>AL17*'Inputs'!$E$19*'Inputs'!$E$22+IF(Z13&gt;0,Z29*AL13/Z13,0)*'Inputs'!$E$24</f>
        <v>0.00024144713468335265</v>
      </c>
      <c r="AM29" s="38">
        <f>AM17*'Inputs'!$E$19*'Inputs'!$E$22+IF(AA13&gt;0,AA29*AM13/AA13,0)*'Inputs'!$E$24</f>
        <v>0.00023890593647920842</v>
      </c>
      <c r="AN29" s="38">
        <f>AN17*'Inputs'!$E$19*'Inputs'!$E$22+IF(AB13&gt;0,AB29*AN13/AB13,0)*'Inputs'!$E$24</f>
        <v>0.00023636813187771495</v>
      </c>
      <c r="AO29" s="38">
        <f>AO17*'Inputs'!$E$19*'Inputs'!$E$22+IF(AC13&gt;0,AC29*AO13/AC13,0)*'Inputs'!$E$24</f>
        <v>0.00023383363136601873</v>
      </c>
      <c r="AP29" s="38">
        <f>AP17*'Inputs'!$E$19*'Inputs'!$E$22+IF(AD13&gt;0,AD29*AP13/AD13,0)*'Inputs'!$E$24</f>
        <v>0.0002313023554695639</v>
      </c>
      <c r="AQ29" s="38">
        <f>AQ17*'Inputs'!$E$19*'Inputs'!$E$22+IF(AE13&gt;0,AE29*AQ13/AE13,0)*'Inputs'!$E$24</f>
        <v>0.0002287742337240449</v>
      </c>
    </row>
    <row r="30" ht="22" customHeight="1">
      <c r="A30" s="2" t="str">
        <v>PRO.YG</v>
      </c>
      <c r="B30" s="6" t="str">
        <v>Pro annual billing, gross</v>
      </c>
      <c r="C30" s="2" t="str">
        <v>EUR</v>
      </c>
      <c r="D30" s="2" t="str">
        <v>NA</v>
      </c>
      <c r="E30" s="2"/>
      <c r="F30" s="6" t="str"/>
      <c r="G30" s="2"/>
      <c r="H30" s="36">
        <f>H28*'Inputs'!$E$18*'Inputs'!$E$59/'Inputs'!$E$60</f>
        <v>1.6199400000000002</v>
      </c>
      <c r="I30" s="36">
        <f>I28*'Inputs'!$E$18*'Inputs'!$E$59/'Inputs'!$E$60</f>
        <v>0.10432413600000001</v>
      </c>
      <c r="J30" s="36">
        <f>J28*'Inputs'!$E$18*'Inputs'!$E$59/'Inputs'!$E$60</f>
        <v>0.089195192352</v>
      </c>
      <c r="K30" s="36">
        <f>K28*'Inputs'!$E$18*'Inputs'!$E$59/'Inputs'!$E$60</f>
        <v>0.081558107041488</v>
      </c>
      <c r="L30" s="36">
        <f>L28*'Inputs'!$E$18*'Inputs'!$E$59/'Inputs'!$E$60</f>
        <v>0.0739602733955568</v>
      </c>
      <c r="M30" s="36">
        <f>M28*'Inputs'!$E$18*'Inputs'!$E$59/'Inputs'!$E$60</f>
        <v>0.06935205054718395</v>
      </c>
      <c r="N30" s="36">
        <f>N28*'Inputs'!$E$18*'Inputs'!$E$59/'Inputs'!$E$60</f>
        <v>0.06623918295339155</v>
      </c>
      <c r="O30" s="36">
        <f>O28*'Inputs'!$E$18*'Inputs'!$E$59/'Inputs'!$E$60</f>
        <v>0.06314212886696959</v>
      </c>
      <c r="P30" s="36">
        <f>P28*'Inputs'!$E$18*'Inputs'!$E$59/'Inputs'!$E$60</f>
        <v>0.060060584928505856</v>
      </c>
      <c r="Q30" s="36">
        <f>Q28*'Inputs'!$E$18*'Inputs'!$E$59/'Inputs'!$E$60</f>
        <v>0.056994277083346194</v>
      </c>
      <c r="R30" s="36">
        <f>R28*'Inputs'!$E$18*'Inputs'!$E$59/'Inputs'!$E$60</f>
        <v>0.055400875124566144</v>
      </c>
      <c r="S30" s="36">
        <f>S28*'Inputs'!$E$18*'Inputs'!$E$59/'Inputs'!$E$60</f>
        <v>0.053815338186393225</v>
      </c>
      <c r="T30" s="36">
        <f>T28*'Inputs'!$E$18*'Inputs'!$E$59/'Inputs'!$E$60</f>
        <v>0.6192165314737593</v>
      </c>
      <c r="U30" s="36">
        <f>U28*'Inputs'!$E$18*'Inputs'!$E$59/'Inputs'!$E$60</f>
        <v>0.08916994916830669</v>
      </c>
      <c r="V30" s="36">
        <f>V28*'Inputs'!$E$18*'Inputs'!$E$59/'Inputs'!$E$60</f>
        <v>0.08346180878746458</v>
      </c>
      <c r="W30" s="36">
        <f>W28*'Inputs'!$E$18*'Inputs'!$E$59/'Inputs'!$E$60</f>
        <v>0.0803767618471685</v>
      </c>
      <c r="X30" s="36">
        <f>X28*'Inputs'!$E$18*'Inputs'!$E$59/'Inputs'!$E$60</f>
        <v>0.07730635258335831</v>
      </c>
      <c r="Y30" s="36">
        <f>Y28*'Inputs'!$E$18*'Inputs'!$E$59/'Inputs'!$E$60</f>
        <v>0.07528316785151927</v>
      </c>
      <c r="Z30" s="36">
        <f>Z28*'Inputs'!$E$18*'Inputs'!$E$59/'Inputs'!$E$60</f>
        <v>0.07378418349564195</v>
      </c>
      <c r="AA30" s="36">
        <f>AA28*'Inputs'!$E$18*'Inputs'!$E$59/'Inputs'!$E$60</f>
        <v>0.07229152889725088</v>
      </c>
      <c r="AB30" s="36">
        <f>AB28*'Inputs'!$E$18*'Inputs'!$E$59/'Inputs'!$E$60</f>
        <v>0.07080507020823239</v>
      </c>
      <c r="AC30" s="36">
        <f>AC28*'Inputs'!$E$18*'Inputs'!$E$59/'Inputs'!$E$60</f>
        <v>0.06932468683491297</v>
      </c>
      <c r="AD30" s="36">
        <f>AD28*'Inputs'!$E$18*'Inputs'!$E$59/'Inputs'!$E$60</f>
        <v>0.06836054122501463</v>
      </c>
      <c r="AE30" s="36">
        <f>AE28*'Inputs'!$E$18*'Inputs'!$E$59/'Inputs'!$E$60</f>
        <v>0.06739984951766383</v>
      </c>
      <c r="AF30" s="36">
        <f>AF28*'Inputs'!$E$18*'Inputs'!$E$59/'Inputs'!$E$60</f>
        <v>0.26488519715340103</v>
      </c>
      <c r="AG30" s="36">
        <f>AG28*'Inputs'!$E$18*'Inputs'!$E$59/'Inputs'!$E$60</f>
        <v>0.07881405731159659</v>
      </c>
      <c r="AH30" s="36">
        <f>AH28*'Inputs'!$E$18*'Inputs'!$E$59/'Inputs'!$E$60</f>
        <v>0.07599582811824535</v>
      </c>
      <c r="AI30" s="36">
        <f>AI28*'Inputs'!$E$18*'Inputs'!$E$59/'Inputs'!$E$60</f>
        <v>0.07409616927724685</v>
      </c>
      <c r="AJ30" s="36">
        <f>AJ28*'Inputs'!$E$18*'Inputs'!$E$59/'Inputs'!$E$60</f>
        <v>0.07220211097580896</v>
      </c>
      <c r="AK30" s="36">
        <f>AK28*'Inputs'!$E$18*'Inputs'!$E$59/'Inputs'!$E$60</f>
        <v>0.07104137993852293</v>
      </c>
      <c r="AL30" s="36">
        <f>AL28*'Inputs'!$E$18*'Inputs'!$E$59/'Inputs'!$E$60</f>
        <v>0.070064368788019</v>
      </c>
      <c r="AM30" s="36">
        <f>AM28*'Inputs'!$E$18*'Inputs'!$E$59/'Inputs'!$E$60</f>
        <v>0.06908981637194056</v>
      </c>
      <c r="AN30" s="36">
        <f>AN28*'Inputs'!$E$18*'Inputs'!$E$59/'Inputs'!$E$60</f>
        <v>0.06811767030414571</v>
      </c>
      <c r="AO30" s="36">
        <f>AO28*'Inputs'!$E$18*'Inputs'!$E$59/'Inputs'!$E$60</f>
        <v>0.0671478836424313</v>
      </c>
      <c r="AP30" s="36">
        <f>AP28*'Inputs'!$E$18*'Inputs'!$E$59/'Inputs'!$E$60</f>
        <v>0.06635900923152861</v>
      </c>
      <c r="AQ30" s="36">
        <f>AQ28*'Inputs'!$E$18*'Inputs'!$E$59/'Inputs'!$E$60</f>
        <v>0.0655715693564998</v>
      </c>
    </row>
    <row r="31" ht="22" customHeight="1">
      <c r="A31" s="2" t="str">
        <v>PRO.YS</v>
      </c>
      <c r="B31" s="6" t="str">
        <v>Pro annual plans in service</v>
      </c>
      <c r="C31" s="2" t="str">
        <v>count</v>
      </c>
      <c r="D31" s="2" t="str">
        <v>NA</v>
      </c>
      <c r="E31" s="2"/>
      <c r="F31" s="6" t="str"/>
      <c r="G31" s="2"/>
      <c r="H31" s="37">
        <f>SUM(H28:H28)</f>
        <v>0.006</v>
      </c>
      <c r="I31" s="37">
        <f>SUM(H28:I28)</f>
        <v>0.0063864</v>
      </c>
      <c r="J31" s="37">
        <f>SUM(H28:J28)</f>
        <v>0.0067167648</v>
      </c>
      <c r="K31" s="37">
        <f>SUM(H28:K28)</f>
        <v>0.0070188430512</v>
      </c>
      <c r="L31" s="37">
        <f>SUM(H28:L28)</f>
        <v>0.00729278013552</v>
      </c>
      <c r="M31" s="37">
        <f>SUM(H28:M28)</f>
        <v>0.007549649095656242</v>
      </c>
      <c r="N31" s="37">
        <f>SUM(H28:N28)</f>
        <v>0.007794988489535243</v>
      </c>
      <c r="O31" s="37">
        <f>SUM(H28:O28)</f>
        <v>0.008028856887872107</v>
      </c>
      <c r="P31" s="37">
        <f>SUM(H28:P28)</f>
        <v>0.00825131173778694</v>
      </c>
      <c r="Q31" s="37">
        <f>SUM(H28:Q28)</f>
        <v>0.00846240947134502</v>
      </c>
      <c r="R31" s="37">
        <f>SUM(H28:R28)</f>
        <v>0.008667605497585126</v>
      </c>
      <c r="S31" s="37">
        <f>SUM(H28:S28)</f>
        <v>0.008866928947292126</v>
      </c>
      <c r="T31" s="37">
        <f>SUM(I28:T28)</f>
        <v>0.00516040845199141</v>
      </c>
      <c r="U31" s="37">
        <f>SUM(J28:U28)</f>
        <v>0.005104279755255629</v>
      </c>
      <c r="V31" s="37">
        <f>SUM(K28:V28)</f>
        <v>0.0050830442148114075</v>
      </c>
      <c r="W31" s="37">
        <f>SUM(L28:W28)</f>
        <v>0.005078668700183756</v>
      </c>
      <c r="X31" s="37">
        <f>SUM(M28:X28)</f>
        <v>0.0050910620450772765</v>
      </c>
      <c r="Y31" s="37">
        <f>SUM(N28:Y28)</f>
        <v>0.005113029959830917</v>
      </c>
      <c r="Z31" s="37">
        <f>SUM(O28:Z28)</f>
        <v>0.005140975441301528</v>
      </c>
      <c r="AA31" s="37">
        <f>SUM(P28:AA28)</f>
        <v>0.005174863363188566</v>
      </c>
      <c r="AB31" s="37">
        <f>SUM(Q28:AB28)</f>
        <v>0.005214659227034362</v>
      </c>
      <c r="AC31" s="37">
        <f>SUM(R28:AC28)</f>
        <v>0.005260329102776303</v>
      </c>
      <c r="AD31" s="37">
        <f>SUM(S28:AD28)</f>
        <v>0.0053083296439091175</v>
      </c>
      <c r="AE31" s="37">
        <f>SUM(T28:AE28)</f>
        <v>0.005358644512353396</v>
      </c>
      <c r="AF31" s="37">
        <f>SUM(U28:AF28)</f>
        <v>0.004046257630171247</v>
      </c>
      <c r="AG31" s="37">
        <f>SUM(V28:AG28)</f>
        <v>0.004007901054532482</v>
      </c>
      <c r="AH31" s="37">
        <f>SUM(W28:AH28)</f>
        <v>0.003980248250098173</v>
      </c>
      <c r="AI31" s="37">
        <f>SUM(X28:AI28)</f>
        <v>0.003956985934568258</v>
      </c>
      <c r="AJ31" s="37">
        <f>SUM(Y28:AJ28)</f>
        <v>0.003938080635825529</v>
      </c>
      <c r="AK31" s="37">
        <f>SUM(Z28:AK28)</f>
        <v>0.003922369728336377</v>
      </c>
      <c r="AL31" s="37">
        <f>SUM(AA28:AL28)</f>
        <v>0.003908592126545114</v>
      </c>
      <c r="AM31" s="37">
        <f>SUM(AB28:AM28)</f>
        <v>0.0038967334927982704</v>
      </c>
      <c r="AN31" s="37">
        <f>SUM(AC28:AN28)</f>
        <v>0.0038867797911645557</v>
      </c>
      <c r="AO31" s="37">
        <f>SUM(AD28:AO28)</f>
        <v>0.0038787172585060064</v>
      </c>
      <c r="AP31" s="37">
        <f>SUM(AE28:AP28)</f>
        <v>0.003871303902479909</v>
      </c>
      <c r="AQ31" s="37">
        <f>SUM(AF28:AQ28)</f>
        <v>0.00386453224367342</v>
      </c>
    </row>
    <row r="32" ht="22" customHeight="1">
      <c r="A32" s="2" t="str">
        <v>PRO.YA</v>
      </c>
      <c r="B32" s="6" t="str">
        <v>Pro annual plans, active users</v>
      </c>
      <c r="C32" s="2" t="str">
        <v>count</v>
      </c>
      <c r="D32" s="2" t="str">
        <v>NA</v>
      </c>
      <c r="E32" s="2"/>
      <c r="F32" s="6" t="str"/>
      <c r="G32" s="2"/>
      <c r="H32" s="37">
        <f>SUM(IF(H13&gt;0,H29*H13/H13,0))</f>
        <v>0.006</v>
      </c>
      <c r="I32" s="37">
        <f>SUM(IF(H13&gt;0,H29*I13/H13,0),IF(I13&gt;0,I29*I13/I13,0))</f>
        <v>0.0045864</v>
      </c>
      <c r="J32" s="37">
        <f>SUM(IF(H13&gt;0,H29*J13/H13,0),IF(I13&gt;0,I29*J13/I13,0),IF(J13&gt;0,J29*J13/J13,0))</f>
        <v>0.0042615648</v>
      </c>
      <c r="K32" s="37">
        <f>SUM(IF(H13&gt;0,H29*K13/H13,0),IF(I13&gt;0,I29*K13/I13,0),IF(J13&gt;0,J29*K13/J13,0),IF(K13&gt;0,K29*K13/K13,0))</f>
        <v>0.0042085126512</v>
      </c>
      <c r="L32" s="37">
        <f>SUM(IF(H13&gt;0,H29*L13/H13,0),IF(I13&gt;0,I29*L13/I13,0),IF(J13&gt;0,J29*L13/J13,0),IF(K13&gt;0,K29*L13/K13,0),IF(L13&gt;0,L29*L13/L13,0))</f>
        <v>0.00409985767632</v>
      </c>
      <c r="M32" s="37">
        <f>SUM(IF(H13&gt;0,H29*M13/H13,0),IF(I13&gt;0,I29*M13/I13,0),IF(J13&gt;0,J29*M13/J13,0),IF(K13&gt;0,K29*M13/K13,0),IF(L13&gt;0,L29*M13/L13,0),IF(M13&gt;0,M29*M13/M13,0))</f>
        <v>0.004110735175877042</v>
      </c>
      <c r="N32" s="37">
        <f>SUM(IF(H13&gt;0,H29*N13/H13,0),IF(I13&gt;0,I29*N13/I13,0),IF(J13&gt;0,J29*N13/J13,0),IF(K13&gt;0,K29*N13/K13,0),IF(L13&gt;0,L29*N13/L13,0),IF(M13&gt;0,M29*N13/M13,0),IF(N13&gt;0,N29*N13/N13,0))</f>
        <v>0.004181149668654892</v>
      </c>
      <c r="O32" s="37">
        <f>SUM(IF(H13&gt;0,H29*O13/H13,0),IF(I13&gt;0,I29*O13/I13,0),IF(J13&gt;0,J29*O13/J13,0),IF(K13&gt;0,K29*O13/K13,0),IF(L13&gt;0,L29*O13/L13,0),IF(M13&gt;0,M29*O13/M13,0),IF(N13&gt;0,N29*O13/N13,0),IF(O13&gt;0,O29*O13/O13,0))</f>
        <v>0.004229189192829315</v>
      </c>
      <c r="P32" s="37">
        <f>SUM(IF(H13&gt;0,H29*P13/H13,0),IF(I13&gt;0,I29*P13/I13,0),IF(J13&gt;0,J29*P13/J13,0),IF(K13&gt;0,K29*P13/K13,0),IF(L13&gt;0,L29*P13/L13,0),IF(M13&gt;0,M29*P13/M13,0),IF(N13&gt;0,N29*P13/N13,0),IF(O13&gt;0,O29*P13/O13,0),IF(P13&gt;0,P29*P13/P13,0))</f>
        <v>0.004254937568659065</v>
      </c>
      <c r="Q32" s="37">
        <f>SUM(IF(H13&gt;0,H29*Q13/H13,0),IF(I13&gt;0,I29*Q13/I13,0),IF(J13&gt;0,J29*Q13/J13,0),IF(K13&gt;0,K29*Q13/K13,0),IF(L13&gt;0,L29*Q13/L13,0),IF(M13&gt;0,M29*Q13/M13,0),IF(N13&gt;0,N29*Q13/N13,0),IF(O13&gt;0,O29*Q13/O13,0),IF(P13&gt;0,P29*Q13/P13,0),IF(Q13&gt;0,Q29*Q13/Q13,0))</f>
        <v>0.004258477372038654</v>
      </c>
      <c r="R32" s="37">
        <f>SUM(IF(H13&gt;0,H29*R13/H13,0),IF(I13&gt;0,I29*R13/I13,0),IF(J13&gt;0,J29*R13/J13,0),IF(K13&gt;0,K29*R13/K13,0),IF(L13&gt;0,L29*R13/L13,0),IF(M13&gt;0,M29*R13/M13,0),IF(N13&gt;0,N29*R13/N13,0),IF(O13&gt;0,O29*R13/O13,0),IF(P13&gt;0,P29*R13/P13,0),IF(Q13&gt;0,Q29*R13/Q13,0),IF(R13&gt;0,R29*R13/R13,0))</f>
        <v>0.004354481670790589</v>
      </c>
      <c r="S32" s="37">
        <f>SUM(IF(H13&gt;0,H29*S13/H13,0),IF(I13&gt;0,I29*S13/I13,0),IF(J13&gt;0,J29*S13/J13,0),IF(K13&gt;0,K29*S13/K13,0),IF(L13&gt;0,L29*S13/L13,0),IF(M13&gt;0,M29*S13/M13,0),IF(N13&gt;0,N29*S13/N13,0),IF(O13&gt;0,O29*S13/O13,0),IF(P13&gt;0,P29*S13/P13,0),IF(Q13&gt;0,Q29*S13/Q13,0),IF(R13&gt;0,R29*S13/R13,0),IF(S13&gt;0,S29*S13/S13,0))</f>
        <v>0.0044392134975820485</v>
      </c>
      <c r="T32" s="37">
        <f>SUM(IF(I13&gt;0,I29*T13/I13,0),IF(J13&gt;0,J29*T13/J13,0),IF(K13&gt;0,K29*T13/K13,0),IF(L13&gt;0,L29*T13/L13,0),IF(M13&gt;0,M29*T13/M13,0),IF(N13&gt;0,N29*T13/N13,0),IF(O13&gt;0,O29*T13/O13,0),IF(P13&gt;0,P29*T13/P13,0),IF(Q13&gt;0,Q29*T13/Q13,0),IF(R13&gt;0,R29*T13/R13,0),IF(S13&gt;0,S29*T13/S13,0),IF(T13&gt;0,T29*T13/T13,0))</f>
        <v>0.0031087142591034378</v>
      </c>
      <c r="U32" s="37">
        <f>SUM(IF(J13&gt;0,J29*U13/J13,0),IF(K13&gt;0,K29*U13/K13,0),IF(L13&gt;0,L29*U13/L13,0),IF(M13&gt;0,M29*U13/M13,0),IF(N13&gt;0,N29*U13/N13,0),IF(O13&gt;0,O29*U13/O13,0),IF(P13&gt;0,P29*U13/P13,0),IF(Q13&gt;0,Q29*U13/Q13,0),IF(R13&gt;0,R29*U13/R13,0),IF(S13&gt;0,S29*U13/S13,0),IF(T13&gt;0,T29*U13/T13,0),IF(U13&gt;0,U29*U13/U13,0))</f>
        <v>0.0031538862689016616</v>
      </c>
      <c r="V32" s="37">
        <f>SUM(IF(K13&gt;0,K29*V13/K13,0),IF(L13&gt;0,L29*V13/L13,0),IF(M13&gt;0,M29*V13/M13,0),IF(N13&gt;0,N29*V13/N13,0),IF(O13&gt;0,O29*V13/O13,0),IF(P13&gt;0,P29*V13/P13,0),IF(Q13&gt;0,Q29*V13/Q13,0),IF(R13&gt;0,R29*V13/R13,0),IF(S13&gt;0,S29*V13/S13,0),IF(T13&gt;0,T29*V13/T13,0),IF(U13&gt;0,U29*V13/U13,0),IF(V13&gt;0,V29*V13/V13,0))</f>
        <v>0.003198279903723862</v>
      </c>
      <c r="W32" s="37">
        <f>SUM(IF(L13&gt;0,L29*W13/L13,0),IF(M13&gt;0,M29*W13/M13,0),IF(N13&gt;0,N29*W13/N13,0),IF(O13&gt;0,O29*W13/O13,0),IF(P13&gt;0,P29*W13/P13,0),IF(Q13&gt;0,Q29*W13/Q13,0),IF(R13&gt;0,R29*W13/R13,0),IF(S13&gt;0,S29*W13/S13,0),IF(T13&gt;0,T29*W13/T13,0),IF(U13&gt;0,U29*W13/U13,0),IF(V13&gt;0,V29*W13/V13,0),IF(W13&gt;0,W29*W13/W13,0))</f>
        <v>0.0032418891011786626</v>
      </c>
      <c r="X32" s="37">
        <f>SUM(IF(M13&gt;0,M29*X13/M13,0),IF(N13&gt;0,N29*X13/N13,0),IF(O13&gt;0,O29*X13/O13,0),IF(P13&gt;0,P29*X13/P13,0),IF(Q13&gt;0,Q29*X13/Q13,0),IF(R13&gt;0,R29*X13/R13,0),IF(S13&gt;0,S29*X13/S13,0),IF(T13&gt;0,T29*X13/T13,0),IF(U13&gt;0,U29*X13/U13,0),IF(V13&gt;0,V29*X13/V13,0),IF(W13&gt;0,W29*X13/W13,0),IF(X13&gt;0,X29*X13/X13,0))</f>
        <v>0.0032847080562296276</v>
      </c>
      <c r="Y32" s="37">
        <f>SUM(IF(N13&gt;0,N29*Y13/N13,0),IF(O13&gt;0,O29*Y13/O13,0),IF(P13&gt;0,P29*Y13/P13,0),IF(Q13&gt;0,Q29*Y13/Q13,0),IF(R13&gt;0,R29*Y13/R13,0),IF(S13&gt;0,S29*Y13/S13,0),IF(T13&gt;0,T29*Y13/T13,0),IF(U13&gt;0,U29*Y13/U13,0),IF(V13&gt;0,V29*Y13/V13,0),IF(W13&gt;0,W29*Y13/W13,0),IF(X13&gt;0,X29*Y13/X13,0),IF(Y13&gt;0,Y29*Y13/Y13,0))</f>
        <v>0.0033267311981366237</v>
      </c>
      <c r="Z32" s="37">
        <f>SUM(IF(O13&gt;0,O29*Z13/O13,0),IF(P13&gt;0,P29*Z13/P13,0),IF(Q13&gt;0,Q29*Z13/Q13,0),IF(R13&gt;0,R29*Z13/R13,0),IF(S13&gt;0,S29*Z13/S13,0),IF(T13&gt;0,T29*Z13/T13,0),IF(U13&gt;0,U29*Z13/U13,0),IF(V13&gt;0,V29*Z13/V13,0),IF(W13&gt;0,W29*Z13/W13,0),IF(X13&gt;0,X29*Z13/X13,0),IF(Y13&gt;0,Y29*Z13/Y13,0),IF(Z13&gt;0,Z29*Z13/Z13,0))</f>
        <v>0.003367953169706678</v>
      </c>
      <c r="AA32" s="37">
        <f>SUM(IF(P13&gt;0,P29*AA13/P13,0),IF(Q13&gt;0,Q29*AA13/Q13,0),IF(R13&gt;0,R29*AA13/R13,0),IF(S13&gt;0,S29*AA13/S13,0),IF(T13&gt;0,T29*AA13/T13,0),IF(U13&gt;0,U29*AA13/U13,0),IF(V13&gt;0,V29*AA13/V13,0),IF(W13&gt;0,W29*AA13/W13,0),IF(X13&gt;0,X29*AA13/X13,0),IF(Y13&gt;0,Y29*AA13/Y13,0),IF(Z13&gt;0,Z29*AA13/Z13,0),IF(AA13&gt;0,AA29*AA13/AA13,0))</f>
        <v>0.0034083688086222396</v>
      </c>
      <c r="AB32" s="37">
        <f>SUM(IF(Q13&gt;0,Q29*AB13/Q13,0),IF(R13&gt;0,R29*AB13/R13,0),IF(S13&gt;0,S29*AB13/S13,0),IF(T13&gt;0,T29*AB13/T13,0),IF(U13&gt;0,U29*AB13/U13,0),IF(V13&gt;0,V29*AB13/V13,0),IF(W13&gt;0,W29*AB13/W13,0),IF(X13&gt;0,X29*AB13/X13,0),IF(Y13&gt;0,Y29*AB13/Y13,0),IF(Z13&gt;0,Z29*AB13/Z13,0),IF(AA13&gt;0,AA29*AB13/AA13,0),IF(AB13&gt;0,AB29*AB13/AB13,0))</f>
        <v>0.0034479731306380377</v>
      </c>
      <c r="AC32" s="37">
        <f>SUM(IF(R13&gt;0,R29*AC13/R13,0),IF(S13&gt;0,S29*AC13/S13,0),IF(T13&gt;0,T29*AC13/T13,0),IF(U13&gt;0,U29*AC13/U13,0),IF(V13&gt;0,V29*AC13/V13,0),IF(W13&gt;0,W29*AC13/W13,0),IF(X13&gt;0,X29*AC13/X13,0),IF(Y13&gt;0,Y29*AC13/Y13,0),IF(Z13&gt;0,Z29*AC13/Z13,0),IF(AA13&gt;0,AA29*AC13/AA13,0),IF(AB13&gt;0,AB29*AC13/AB13,0),IF(AC13&gt;0,AC29*AC13/AC13,0))</f>
        <v>0.003486761314458678</v>
      </c>
      <c r="AD32" s="37">
        <f>SUM(IF(S13&gt;0,S29*AD13/S13,0),IF(T13&gt;0,T29*AD13/T13,0),IF(U13&gt;0,U29*AD13/U13,0),IF(V13&gt;0,V29*AD13/V13,0),IF(W13&gt;0,W29*AD13/W13,0),IF(X13&gt;0,X29*AD13/X13,0),IF(Y13&gt;0,Y29*AD13/Y13,0),IF(Z13&gt;0,Z29*AD13/Z13,0),IF(AA13&gt;0,AA29*AD13/AA13,0),IF(AB13&gt;0,AB29*AD13/AB13,0),IF(AC13&gt;0,AC29*AD13/AC13,0),IF(AD13&gt;0,AD29*AD13/AD13,0))</f>
        <v>0.0035247286881279704</v>
      </c>
      <c r="AE32" s="37">
        <f>SUM(IF(T13&gt;0,T29*AE13/T13,0),IF(U13&gt;0,U29*AE13/U13,0),IF(V13&gt;0,V29*AE13/V13,0),IF(W13&gt;0,W29*AE13/W13,0),IF(X13&gt;0,X29*AE13/X13,0),IF(Y13&gt;0,Y29*AE13/Y13,0),IF(Z13&gt;0,Z29*AE13/Z13,0),IF(AA13&gt;0,AA29*AE13/AA13,0),IF(AB13&gt;0,AB29*AE13/AB13,0),IF(AC13&gt;0,AC29*AE13/AC13,0),IF(AD13&gt;0,AD29*AE13/AD13,0),IF(AE13&gt;0,AE29*AE13/AE13,0))</f>
        <v>0.003561870716777939</v>
      </c>
      <c r="AF32" s="37">
        <f>SUM(IF(U13&gt;0,U29*AF13/U13,0),IF(V13&gt;0,V29*AF13/V13,0),IF(W13&gt;0,W29*AF13/W13,0),IF(X13&gt;0,X29*AF13/X13,0),IF(Y13&gt;0,Y29*AF13/Y13,0),IF(Z13&gt;0,Z29*AF13/Z13,0),IF(AA13&gt;0,AA29*AF13/AA13,0),IF(AB13&gt;0,AB29*AF13/AB13,0),IF(AC13&gt;0,AC29*AF13/AC13,0),IF(AD13&gt;0,AD29*AF13/AD13,0),IF(AE13&gt;0,AE29*AF13/AE13,0),IF(AF13&gt;0,AF29*AF13/AF13,0))</f>
        <v>0.003147732991600751</v>
      </c>
      <c r="AG32" s="37">
        <f>SUM(IF(V13&gt;0,V29*AG13/V13,0),IF(W13&gt;0,W29*AG13/W13,0),IF(X13&gt;0,X29*AG13/X13,0),IF(Y13&gt;0,Y29*AG13/Y13,0),IF(Z13&gt;0,Z29*AG13/Z13,0),IF(AA13&gt;0,AA29*AG13/AA13,0),IF(AB13&gt;0,AB29*AG13/AB13,0),IF(AC13&gt;0,AC29*AG13/AC13,0),IF(AD13&gt;0,AD29*AG13/AD13,0),IF(AE13&gt;0,AE29*AG13/AE13,0),IF(AF13&gt;0,AF29*AG13/AF13,0),IF(AG13&gt;0,AG29*AG13/AG13,0))</f>
        <v>0.0031157713676311606</v>
      </c>
      <c r="AH32" s="37">
        <f>SUM(IF(W13&gt;0,W29*AH13/W13,0),IF(X13&gt;0,X29*AH13/X13,0),IF(Y13&gt;0,Y29*AH13/Y13,0),IF(Z13&gt;0,Z29*AH13/Z13,0),IF(AA13&gt;0,AA29*AH13/AA13,0),IF(AB13&gt;0,AB29*AH13/AB13,0),IF(AC13&gt;0,AC29*AH13/AC13,0),IF(AD13&gt;0,AD29*AH13/AD13,0),IF(AE13&gt;0,AE29*AH13/AE13,0),IF(AF13&gt;0,AF29*AH13/AF13,0),IF(AG13&gt;0,AG29*AH13/AG13,0),IF(AH13&gt;0,AH29*AH13/AH13,0))</f>
        <v>0.003083262623924234</v>
      </c>
      <c r="AI32" s="37">
        <f>SUM(IF(X13&gt;0,X29*AI13/X13,0),IF(Y13&gt;0,Y29*AI13/Y13,0),IF(Z13&gt;0,Z29*AI13/Z13,0),IF(AA13&gt;0,AA29*AI13/AA13,0),IF(AB13&gt;0,AB29*AI13/AB13,0),IF(AC13&gt;0,AC29*AI13/AC13,0),IF(AD13&gt;0,AD29*AI13/AD13,0),IF(AE13&gt;0,AE29*AI13/AE13,0),IF(AF13&gt;0,AF29*AI13/AF13,0),IF(AG13&gt;0,AG29*AI13/AG13,0),IF(AH13&gt;0,AH29*AI13/AH13,0),IF(AI13&gt;0,AI29*AI13/AI13,0))</f>
        <v>0.003050197299680897</v>
      </c>
      <c r="AJ32" s="37">
        <f>SUM(IF(Y13&gt;0,Y29*AJ13/Y13,0),IF(Z13&gt;0,Z29*AJ13/Z13,0),IF(AA13&gt;0,AA29*AJ13/AA13,0),IF(AB13&gt;0,AB29*AJ13/AB13,0),IF(AC13&gt;0,AC29*AJ13/AC13,0),IF(AD13&gt;0,AD29*AJ13/AD13,0),IF(AE13&gt;0,AE29*AJ13/AE13,0),IF(AF13&gt;0,AF29*AJ13/AF13,0),IF(AG13&gt;0,AG29*AJ13/AG13,0),IF(AH13&gt;0,AH29*AJ13/AH13,0),IF(AI13&gt;0,AI29*AJ13/AI13,0),IF(AJ13&gt;0,AJ29*AJ13/AJ13,0))</f>
        <v>0.003016566202373347</v>
      </c>
      <c r="AK32" s="37">
        <f>SUM(IF(Z13&gt;0,Z29*AK13/Z13,0),IF(AA13&gt;0,AA29*AK13/AA13,0),IF(AB13&gt;0,AB29*AK13/AB13,0),IF(AC13&gt;0,AC29*AK13/AC13,0),IF(AD13&gt;0,AD29*AK13/AD13,0),IF(AE13&gt;0,AE29*AK13/AE13,0),IF(AF13&gt;0,AF29*AK13/AF13,0),IF(AG13&gt;0,AG29*AK13/AG13,0),IF(AH13&gt;0,AH29*AK13/AH13,0),IF(AI13&gt;0,AI29*AK13/AI13,0),IF(AJ13&gt;0,AJ29*AK13/AJ13,0),IF(AK13&gt;0,AK29*AK13/AK13,0))</f>
        <v>0.003007007988377673</v>
      </c>
      <c r="AL32" s="37">
        <f>SUM(IF(AA13&gt;0,AA29*AL13/AA13,0),IF(AB13&gt;0,AB29*AL13/AB13,0),IF(AC13&gt;0,AC29*AL13/AC13,0),IF(AD13&gt;0,AD29*AL13/AD13,0),IF(AE13&gt;0,AE29*AL13/AE13,0),IF(AF13&gt;0,AF29*AL13/AF13,0),IF(AG13&gt;0,AG29*AL13/AG13,0),IF(AH13&gt;0,AH29*AL13/AH13,0),IF(AI13&gt;0,AI29*AL13/AI13,0),IF(AJ13&gt;0,AJ29*AL13/AJ13,0),IF(AK13&gt;0,AK29*AL13/AK13,0),IF(AL13&gt;0,AL29*AL13/AL13,0))</f>
        <v>0.002997193516742586</v>
      </c>
      <c r="AM32" s="37">
        <f>SUM(IF(AB13&gt;0,AB29*AM13/AB13,0),IF(AC13&gt;0,AC29*AM13/AC13,0),IF(AD13&gt;0,AD29*AM13/AD13,0),IF(AE13&gt;0,AE29*AM13/AE13,0),IF(AF13&gt;0,AF29*AM13/AF13,0),IF(AG13&gt;0,AG29*AM13/AG13,0),IF(AH13&gt;0,AH29*AM13/AH13,0),IF(AI13&gt;0,AI29*AM13/AI13,0),IF(AJ13&gt;0,AJ29*AM13/AJ13,0),IF(AK13&gt;0,AK29*AM13/AK13,0),IF(AL13&gt;0,AL29*AM13/AL13,0),IF(AM13&gt;0,AM29*AM13/AM13,0))</f>
        <v>0.0029871175446040486</v>
      </c>
      <c r="AN32" s="37">
        <f>SUM(IF(AC13&gt;0,AC29*AN13/AC13,0),IF(AD13&gt;0,AD29*AN13/AD13,0),IF(AE13&gt;0,AE29*AN13/AE13,0),IF(AF13&gt;0,AF29*AN13/AF13,0),IF(AG13&gt;0,AG29*AN13/AG13,0),IF(AH13&gt;0,AH29*AN13/AH13,0),IF(AI13&gt;0,AI29*AN13/AI13,0),IF(AJ13&gt;0,AJ29*AN13/AJ13,0),IF(AK13&gt;0,AK29*AN13/AK13,0),IF(AL13&gt;0,AL29*AN13/AL13,0),IF(AM13&gt;0,AM29*AN13/AM13,0),IF(AN13&gt;0,AN29*AN13/AN13,0))</f>
        <v>0.0029767749701045685</v>
      </c>
      <c r="AO32" s="37">
        <f>SUM(IF(AD13&gt;0,AD29*AO13/AD13,0),IF(AE13&gt;0,AE29*AO13/AE13,0),IF(AF13&gt;0,AF29*AO13/AF13,0),IF(AG13&gt;0,AG29*AO13/AG13,0),IF(AH13&gt;0,AH29*AO13/AH13,0),IF(AI13&gt;0,AI29*AO13/AI13,0),IF(AJ13&gt;0,AJ29*AO13/AJ13,0),IF(AK13&gt;0,AK29*AO13/AK13,0),IF(AL13&gt;0,AL29*AO13/AL13,0),IF(AM13&gt;0,AM29*AO13/AM13,0),IF(AN13&gt;0,AN29*AO13/AN13,0),IF(AO13&gt;0,AO29*AO13/AO13,0))</f>
        <v>0.0029661608192258224</v>
      </c>
      <c r="AP32" s="37">
        <f>SUM(IF(AE13&gt;0,AE29*AP13/AE13,0),IF(AF13&gt;0,AF29*AP13/AF13,0),IF(AG13&gt;0,AG29*AP13/AG13,0),IF(AH13&gt;0,AH29*AP13/AH13,0),IF(AI13&gt;0,AI29*AP13/AI13,0),IF(AJ13&gt;0,AJ29*AP13/AJ13,0),IF(AK13&gt;0,AK29*AP13/AK13,0),IF(AL13&gt;0,AL29*AP13/AL13,0),IF(AM13&gt;0,AM29*AP13/AM13,0),IF(AN13&gt;0,AN29*AP13/AN13,0),IF(AO13&gt;0,AO29*AP13/AO13,0),IF(AP13&gt;0,AP29*AP13/AP13,0))</f>
        <v>0.0029552702339616637</v>
      </c>
      <c r="AQ32" s="37">
        <f>SUM(IF(AF13&gt;0,AF29*AQ13/AF13,0),IF(AG13&gt;0,AG29*AQ13/AG13,0),IF(AH13&gt;0,AH29*AQ13/AH13,0),IF(AI13&gt;0,AI29*AQ13/AI13,0),IF(AJ13&gt;0,AJ29*AQ13/AJ13,0),IF(AK13&gt;0,AK29*AQ13/AK13,0),IF(AL13&gt;0,AL29*AQ13/AL13,0),IF(AM13&gt;0,AM29*AQ13/AM13,0),IF(AN13&gt;0,AN29*AQ13/AN13,0),IF(AO13&gt;0,AO29*AQ13/AO13,0),IF(AP13&gt;0,AP29*AQ13/AP13,0),IF(AQ13&gt;0,AQ29*AQ13/AQ13,0))</f>
        <v>0.002944098461695575</v>
      </c>
    </row>
    <row r="33" ht="28" customHeight="1">
      <c r="A33" s="2" t="str">
        <v>PRO.YREL</v>
      </c>
      <c r="B33" s="6" t="str">
        <v>Pro annual billing recognised in the month, gross</v>
      </c>
      <c r="C33" s="2" t="str">
        <v>EUR</v>
      </c>
      <c r="D33" s="2" t="str">
        <v>NA</v>
      </c>
      <c r="E33" s="2"/>
      <c r="F33" s="6" t="str"/>
      <c r="G33" s="2"/>
      <c r="H33" s="35">
        <f>SUM(H30:H30)/12</f>
        <v>0.134995</v>
      </c>
      <c r="I33" s="35">
        <f>SUM(H30:I30)/12</f>
        <v>0.14368867800000001</v>
      </c>
      <c r="J33" s="35">
        <f>SUM(H30:J30)/12</f>
        <v>0.15112161069600002</v>
      </c>
      <c r="K33" s="35">
        <f>SUM(H30:K30)/12</f>
        <v>0.157918119616124</v>
      </c>
      <c r="L33" s="35">
        <f>SUM(H30:L30)/12</f>
        <v>0.1640814757324204</v>
      </c>
      <c r="M33" s="35">
        <f>SUM(H30:M30)/12</f>
        <v>0.16986081327801908</v>
      </c>
      <c r="N33" s="35">
        <f>SUM(H30:N30)/12</f>
        <v>0.1753807451908017</v>
      </c>
      <c r="O33" s="35">
        <f>SUM(H30:O30)/12</f>
        <v>0.18064258926304919</v>
      </c>
      <c r="P33" s="35">
        <f>SUM(H30:P30)/12</f>
        <v>0.1856476380070913</v>
      </c>
      <c r="Q33" s="35">
        <f>SUM(H30:Q30)/12</f>
        <v>0.19039716109737018</v>
      </c>
      <c r="R33" s="35">
        <f>SUM(H30:R30)/12</f>
        <v>0.195013900691084</v>
      </c>
      <c r="S33" s="35">
        <f>SUM(H30:S30)/12</f>
        <v>0.19949851220661677</v>
      </c>
      <c r="T33" s="35">
        <f>SUM(I30:T30)/12</f>
        <v>0.11610488982943006</v>
      </c>
      <c r="U33" s="35">
        <f>SUM(J30:U30)/12</f>
        <v>0.11484204092678894</v>
      </c>
      <c r="V33" s="35">
        <f>SUM(K30:V30)/12</f>
        <v>0.11436425896307766</v>
      </c>
      <c r="W33" s="35">
        <f>SUM(L30:W30)/12</f>
        <v>0.1142658135302177</v>
      </c>
      <c r="X33" s="35">
        <f>SUM(M30:X30)/12</f>
        <v>0.1145446534625345</v>
      </c>
      <c r="Y33" s="35">
        <f>SUM(N30:Y30)/12</f>
        <v>0.11503891323789577</v>
      </c>
      <c r="Z33" s="35">
        <f>SUM(O30:Z30)/12</f>
        <v>0.11566766328308331</v>
      </c>
      <c r="AA33" s="35">
        <f>SUM(P30:AA30)/12</f>
        <v>0.11643011328560675</v>
      </c>
      <c r="AB33" s="35">
        <f>SUM(Q30:AB30)/12</f>
        <v>0.11732548705891728</v>
      </c>
      <c r="AC33" s="35">
        <f>SUM(R30:AC30)/12</f>
        <v>0.11835302120488118</v>
      </c>
      <c r="AD33" s="35">
        <f>SUM(S30:AD30)/12</f>
        <v>0.11943299337991857</v>
      </c>
      <c r="AE33" s="35">
        <f>SUM(T30:AE30)/12</f>
        <v>0.12056503599085777</v>
      </c>
      <c r="AF33" s="35">
        <f>SUM(U30:AF30)/12</f>
        <v>0.09103742479749459</v>
      </c>
      <c r="AG33" s="35">
        <f>SUM(V30:AG30)/12</f>
        <v>0.0901744338094354</v>
      </c>
      <c r="AH33" s="35">
        <f>SUM(W30:AH30)/12</f>
        <v>0.08955226875366713</v>
      </c>
      <c r="AI33" s="35">
        <f>SUM(X30:AI30)/12</f>
        <v>0.089028886039507</v>
      </c>
      <c r="AJ33" s="35">
        <f>SUM(Y30:AJ30)/12</f>
        <v>0.08860353257221122</v>
      </c>
      <c r="AK33" s="35">
        <f>SUM(Z30:AK30)/12</f>
        <v>0.0882500502461282</v>
      </c>
      <c r="AL33" s="35">
        <f>SUM(AA30:AL30)/12</f>
        <v>0.08794006568715962</v>
      </c>
      <c r="AM33" s="35">
        <f>SUM(AB30:AM30)/12</f>
        <v>0.08767325631005042</v>
      </c>
      <c r="AN33" s="35">
        <f>SUM(AC30:AN30)/12</f>
        <v>0.08744930631804321</v>
      </c>
      <c r="AO33" s="35">
        <f>SUM(AD30:AO30)/12</f>
        <v>0.08726790605200306</v>
      </c>
      <c r="AP33" s="35">
        <f>SUM(AE30:AP30)/12</f>
        <v>0.08710111171921257</v>
      </c>
      <c r="AQ33" s="35">
        <f>SUM(AF30:AQ30)/12</f>
        <v>0.08694875503911555</v>
      </c>
    </row>
    <row r="34" ht="28" customHeight="1">
      <c r="A34" s="2" t="str">
        <v>R1.GROSS_BILL</v>
      </c>
      <c r="B34" s="6" t="str">
        <v>Subscription billing, gross (incl. VAT)</v>
      </c>
      <c r="C34" s="2" t="str">
        <v>EUR</v>
      </c>
      <c r="D34" s="2" t="str">
        <v>NA</v>
      </c>
      <c r="E34" s="2"/>
      <c r="F34" s="6" t="str"/>
      <c r="G34" s="2"/>
      <c r="H34" s="36">
        <f>SUM(H18*'Inputs'!$E$15*'Inputs'!$E$59/'Inputs'!$E$60+H26*'Inputs'!$E$17*'Inputs'!$E$59/'Inputs'!$E$60,H22,H30)</f>
        <v>4.0792</v>
      </c>
      <c r="I34" s="36">
        <f>SUM(I18*'Inputs'!$E$15*'Inputs'!$E$59/'Inputs'!$E$60+I26*'Inputs'!$E$17*'Inputs'!$E$59/'Inputs'!$E$60,I22,I30)</f>
        <v>1.02659088</v>
      </c>
      <c r="J34" s="36">
        <f>SUM(J18*'Inputs'!$E$15*'Inputs'!$E$59/'Inputs'!$E$60+J26*'Inputs'!$E$17*'Inputs'!$E$59/'Inputs'!$E$60,J22,J30)</f>
        <v>0.9689388211199998</v>
      </c>
      <c r="K34" s="36">
        <f>SUM(K18*'Inputs'!$E$15*'Inputs'!$E$59/'Inputs'!$E$60+K26*'Inputs'!$E$17*'Inputs'!$E$59/'Inputs'!$E$60,K22,K30)</f>
        <v>0.9247780234937599</v>
      </c>
      <c r="L34" s="36">
        <f>SUM(L18*'Inputs'!$E$15*'Inputs'!$E$59/'Inputs'!$E$60+L26*'Inputs'!$E$17*'Inputs'!$E$59/'Inputs'!$E$60,L22,L30)</f>
        <v>0.8793584367810093</v>
      </c>
      <c r="M34" s="36">
        <f>SUM(M18*'Inputs'!$E$15*'Inputs'!$E$59/'Inputs'!$E$60+M26*'Inputs'!$E$17*'Inputs'!$E$59/'Inputs'!$E$60,M22,M30)</f>
        <v>0.8402501092436994</v>
      </c>
      <c r="N34" s="36">
        <f>SUM(N18*'Inputs'!$E$15*'Inputs'!$E$59/'Inputs'!$E$60+N26*'Inputs'!$E$17*'Inputs'!$E$59/'Inputs'!$E$60,N22,N30)</f>
        <v>0.8052096183495031</v>
      </c>
      <c r="O34" s="36">
        <f>SUM(O18*'Inputs'!$E$15*'Inputs'!$E$59/'Inputs'!$E$60+O26*'Inputs'!$E$17*'Inputs'!$E$59/'Inputs'!$E$60,O22,O30)</f>
        <v>0.7711892333157988</v>
      </c>
      <c r="P34" s="36">
        <f>SUM(P18*'Inputs'!$E$15*'Inputs'!$E$59/'Inputs'!$E$60+P26*'Inputs'!$E$17*'Inputs'!$E$59/'Inputs'!$E$60,P22,P30)</f>
        <v>0.7381074214797736</v>
      </c>
      <c r="Q34" s="36">
        <f>SUM(Q18*'Inputs'!$E$15*'Inputs'!$E$59/'Inputs'!$E$60+Q26*'Inputs'!$E$17*'Inputs'!$E$59/'Inputs'!$E$60,Q22,Q30)</f>
        <v>0.7058898501100022</v>
      </c>
      <c r="R34" s="36">
        <f>SUM(R18*'Inputs'!$E$15*'Inputs'!$E$59/'Inputs'!$E$60+R26*'Inputs'!$E$17*'Inputs'!$E$59/'Inputs'!$E$60,R22,R30)</f>
        <v>0.6781399596602692</v>
      </c>
      <c r="S34" s="36">
        <f>SUM(S18*'Inputs'!$E$15*'Inputs'!$E$59/'Inputs'!$E$60+S26*'Inputs'!$E$17*'Inputs'!$E$59/'Inputs'!$E$60,S22,S30)</f>
        <v>0.6517948744726121</v>
      </c>
      <c r="T34" s="36">
        <f>SUM(T18*'Inputs'!$E$15*'Inputs'!$E$59/'Inputs'!$E$60+T26*'Inputs'!$E$17*'Inputs'!$E$59/'Inputs'!$E$60,T22,T30)</f>
        <v>1.7606493138858448</v>
      </c>
      <c r="U34" s="36">
        <f>SUM(U18*'Inputs'!$E$15*'Inputs'!$E$59/'Inputs'!$E$60+U26*'Inputs'!$E$17*'Inputs'!$E$59/'Inputs'!$E$60,U22,U30)</f>
        <v>0.6808780021267633</v>
      </c>
      <c r="V34" s="36">
        <f>SUM(V18*'Inputs'!$E$15*'Inputs'!$E$59/'Inputs'!$E$60+V26*'Inputs'!$E$17*'Inputs'!$E$59/'Inputs'!$E$60,V22,V30)</f>
        <v>0.6513052813668775</v>
      </c>
      <c r="W34" s="36">
        <f>SUM(W18*'Inputs'!$E$15*'Inputs'!$E$59/'Inputs'!$E$60+W26*'Inputs'!$E$17*'Inputs'!$E$59/'Inputs'!$E$60,W22,W30)</f>
        <v>0.6283991409549239</v>
      </c>
      <c r="X34" s="36">
        <f>SUM(X18*'Inputs'!$E$15*'Inputs'!$E$59/'Inputs'!$E$60+X26*'Inputs'!$E$17*'Inputs'!$E$59/'Inputs'!$E$60,X22,X30)</f>
        <v>0.6068154758513127</v>
      </c>
      <c r="Y34" s="36">
        <f>SUM(Y18*'Inputs'!$E$15*'Inputs'!$E$59/'Inputs'!$E$60+Y26*'Inputs'!$E$17*'Inputs'!$E$59/'Inputs'!$E$60,Y22,Y30)</f>
        <v>0.5885034412179506</v>
      </c>
      <c r="Z34" s="36">
        <f>SUM(Z18*'Inputs'!$E$15*'Inputs'!$E$59/'Inputs'!$E$60+Z26*'Inputs'!$E$17*'Inputs'!$E$59/'Inputs'!$E$60,Z22,Z30)</f>
        <v>0.5723115022241787</v>
      </c>
      <c r="AA34" s="36">
        <f>SUM(AA18*'Inputs'!$E$15*'Inputs'!$E$59/'Inputs'!$E$60+AA26*'Inputs'!$E$17*'Inputs'!$E$59/'Inputs'!$E$60,AA22,AA30)</f>
        <v>0.5571079119387274</v>
      </c>
      <c r="AB34" s="36">
        <f>SUM(AB18*'Inputs'!$E$15*'Inputs'!$E$59/'Inputs'!$E$60+AB26*'Inputs'!$E$17*'Inputs'!$E$59/'Inputs'!$E$60,AB22,AB30)</f>
        <v>0.5428049882442707</v>
      </c>
      <c r="AC34" s="36">
        <f>SUM(AC18*'Inputs'!$E$15*'Inputs'!$E$59/'Inputs'!$E$60+AC26*'Inputs'!$E$17*'Inputs'!$E$59/'Inputs'!$E$60,AC22,AC30)</f>
        <v>0.5293229300440191</v>
      </c>
      <c r="AD34" s="36">
        <f>SUM(AD18*'Inputs'!$E$15*'Inputs'!$E$59/'Inputs'!$E$60+AD26*'Inputs'!$E$17*'Inputs'!$E$59/'Inputs'!$E$60,AD22,AD30)</f>
        <v>0.5176096135266994</v>
      </c>
      <c r="AE34" s="36">
        <f>SUM(AE18*'Inputs'!$E$15*'Inputs'!$E$59/'Inputs'!$E$60+AE26*'Inputs'!$E$17*'Inputs'!$E$59/'Inputs'!$E$60,AE22,AE30)</f>
        <v>0.5065736048881264</v>
      </c>
      <c r="AF34" s="36">
        <f>SUM(AF18*'Inputs'!$E$15*'Inputs'!$E$59/'Inputs'!$E$60+AF26*'Inputs'!$E$17*'Inputs'!$E$59/'Inputs'!$E$60,AF22,AF30)</f>
        <v>0.8930253933056415</v>
      </c>
      <c r="AG34" s="36">
        <f>SUM(AG18*'Inputs'!$E$15*'Inputs'!$E$59/'Inputs'!$E$60+AG26*'Inputs'!$E$17*'Inputs'!$E$59/'Inputs'!$E$60,AG22,AG30)</f>
        <v>0.5128704927989262</v>
      </c>
      <c r="AH34" s="36">
        <f>SUM(AH18*'Inputs'!$E$15*'Inputs'!$E$59/'Inputs'!$E$60+AH26*'Inputs'!$E$17*'Inputs'!$E$59/'Inputs'!$E$60,AH22,AH30)</f>
        <v>0.499505100780788</v>
      </c>
      <c r="AI34" s="36">
        <f>SUM(AI18*'Inputs'!$E$15*'Inputs'!$E$59/'Inputs'!$E$60+AI26*'Inputs'!$E$17*'Inputs'!$E$59/'Inputs'!$E$60,AI22,AI30)</f>
        <v>0.48824754252352637</v>
      </c>
      <c r="AJ34" s="36">
        <f>SUM(AJ18*'Inputs'!$E$15*'Inputs'!$E$59/'Inputs'!$E$60+AJ26*'Inputs'!$E$17*'Inputs'!$E$59/'Inputs'!$E$60,AJ22,AJ30)</f>
        <v>0.4772478248927833</v>
      </c>
      <c r="AK34" s="36">
        <f>SUM(AK18*'Inputs'!$E$15*'Inputs'!$E$59/'Inputs'!$E$60+AK26*'Inputs'!$E$17*'Inputs'!$E$59/'Inputs'!$E$60,AK22,AK30)</f>
        <v>0.4681292219856531</v>
      </c>
      <c r="AL34" s="36">
        <f>SUM(AL18*'Inputs'!$E$15*'Inputs'!$E$59/'Inputs'!$E$60+AL26*'Inputs'!$E$17*'Inputs'!$E$59/'Inputs'!$E$60,AL22,AL30)</f>
        <v>0.4597553828751068</v>
      </c>
      <c r="AM34" s="36">
        <f>SUM(AM18*'Inputs'!$E$15*'Inputs'!$E$59/'Inputs'!$E$60+AM26*'Inputs'!$E$17*'Inputs'!$E$59/'Inputs'!$E$60,AM22,AM30)</f>
        <v>0.4517299643828893</v>
      </c>
      <c r="AN34" s="36">
        <f>SUM(AN18*'Inputs'!$E$15*'Inputs'!$E$59/'Inputs'!$E$60+AN26*'Inputs'!$E$17*'Inputs'!$E$59/'Inputs'!$E$60,AN22,AN30)</f>
        <v>0.4440220696564551</v>
      </c>
      <c r="AO34" s="36">
        <f>SUM(AO18*'Inputs'!$E$15*'Inputs'!$E$59/'Inputs'!$E$60+AO26*'Inputs'!$E$17*'Inputs'!$E$59/'Inputs'!$E$60,AO22,AO30)</f>
        <v>0.4366035815649685</v>
      </c>
      <c r="AP34" s="36">
        <f>SUM(AP18*'Inputs'!$E$15*'Inputs'!$E$59/'Inputs'!$E$60+AP26*'Inputs'!$E$17*'Inputs'!$E$59/'Inputs'!$E$60,AP22,AP30)</f>
        <v>0.42980608933487874</v>
      </c>
      <c r="AQ34" s="36">
        <f>SUM(AQ18*'Inputs'!$E$15*'Inputs'!$E$59/'Inputs'!$E$60+AQ26*'Inputs'!$E$17*'Inputs'!$E$59/'Inputs'!$E$60,AQ22,AQ30)</f>
        <v>0.42324744114332885</v>
      </c>
    </row>
    <row r="35" ht="28" customHeight="1">
      <c r="A35" s="2" t="str">
        <v>R1.GROSS_SERVICE</v>
      </c>
      <c r="B35" s="6" t="str">
        <v>Subscription service recognised, gross (incl. VAT)</v>
      </c>
      <c r="C35" s="2" t="str">
        <v>EUR</v>
      </c>
      <c r="D35" s="2" t="str">
        <v>NA</v>
      </c>
      <c r="E35" s="2"/>
      <c r="F35" s="6" t="str"/>
      <c r="G35" s="2"/>
      <c r="H35" s="36">
        <f>SUM(H18*'Inputs'!$E$15*'Inputs'!$E$59/'Inputs'!$E$60+H26*'Inputs'!$E$17*'Inputs'!$E$59/'Inputs'!$E$60,H25,H33)</f>
        <v>1.10942</v>
      </c>
      <c r="I35" s="36">
        <f>SUM(I18*'Inputs'!$E$15*'Inputs'!$E$59/'Inputs'!$E$60+I26*'Inputs'!$E$17*'Inputs'!$E$59/'Inputs'!$E$60,I25,I33)</f>
        <v>1.105317048</v>
      </c>
      <c r="J35" s="36">
        <f>SUM(J18*'Inputs'!$E$15*'Inputs'!$E$59/'Inputs'!$E$60+J26*'Inputs'!$E$17*'Inputs'!$E$59/'Inputs'!$E$60,J25,J33)</f>
        <v>1.0927870704959999</v>
      </c>
      <c r="K35" s="36">
        <f>SUM(K18*'Inputs'!$E$15*'Inputs'!$E$59/'Inputs'!$E$60+K26*'Inputs'!$E$17*'Inputs'!$E$59/'Inputs'!$E$60,K25,K33)</f>
        <v>1.077492392136304</v>
      </c>
      <c r="L35" s="36">
        <f>SUM(L18*'Inputs'!$E$15*'Inputs'!$E$59/'Inputs'!$E$60+L26*'Inputs'!$E$17*'Inputs'!$E$59/'Inputs'!$E$60,L25,L33)</f>
        <v>1.0595941655628638</v>
      </c>
      <c r="M35" s="36">
        <f>SUM(M18*'Inputs'!$E$15*'Inputs'!$E$59/'Inputs'!$E$60+M26*'Inputs'!$E$17*'Inputs'!$E$59/'Inputs'!$E$60,M25,M33)</f>
        <v>1.0412601893360796</v>
      </c>
      <c r="N35" s="36">
        <f>SUM(N18*'Inputs'!$E$15*'Inputs'!$E$59/'Inputs'!$E$60+N26*'Inputs'!$E$17*'Inputs'!$E$59/'Inputs'!$E$60,N25,N33)</f>
        <v>1.0234846579647185</v>
      </c>
      <c r="O35" s="36">
        <f>SUM(O18*'Inputs'!$E$15*'Inputs'!$E$59/'Inputs'!$E$60+O26*'Inputs'!$E$17*'Inputs'!$E$59/'Inputs'!$E$60,O25,O33)</f>
        <v>1.0061814500477784</v>
      </c>
      <c r="P35" s="36">
        <f>SUM(P18*'Inputs'!$E$15*'Inputs'!$E$59/'Inputs'!$E$60+P26*'Inputs'!$E$17*'Inputs'!$E$59/'Inputs'!$E$60,P25,P33)</f>
        <v>0.989272224547713</v>
      </c>
      <c r="Q35" s="36">
        <f>SUM(Q18*'Inputs'!$E$15*'Inputs'!$E$59/'Inputs'!$E$60+Q26*'Inputs'!$E$17*'Inputs'!$E$59/'Inputs'!$E$60,Q25,Q33)</f>
        <v>0.9726857360769356</v>
      </c>
      <c r="R35" s="36">
        <f>SUM(R18*'Inputs'!$E$15*'Inputs'!$E$59/'Inputs'!$E$60+R26*'Inputs'!$E$17*'Inputs'!$E$59/'Inputs'!$E$60,R25,R33)</f>
        <v>0.9573556687046672</v>
      </c>
      <c r="S35" s="36">
        <f>SUM(S18*'Inputs'!$E$15*'Inputs'!$E$59/'Inputs'!$E$60+S26*'Inputs'!$E$17*'Inputs'!$E$59/'Inputs'!$E$60,S25,S33)</f>
        <v>0.9431504307671411</v>
      </c>
      <c r="T35" s="36">
        <f>SUM(T18*'Inputs'!$E$15*'Inputs'!$E$59/'Inputs'!$E$60+T26*'Inputs'!$E$17*'Inputs'!$E$59/'Inputs'!$E$60,T25,T33)</f>
        <v>0.754463299506527</v>
      </c>
      <c r="U35" s="36">
        <f>SUM(U18*'Inputs'!$E$15*'Inputs'!$E$59/'Inputs'!$E$60+U26*'Inputs'!$E$17*'Inputs'!$E$59/'Inputs'!$E$60,U25,U33)</f>
        <v>0.7322202839368677</v>
      </c>
      <c r="V35" s="36">
        <f>SUM(V18*'Inputs'!$E$15*'Inputs'!$E$59/'Inputs'!$E$60+V26*'Inputs'!$E$17*'Inputs'!$E$59/'Inputs'!$E$60,V25,V33)</f>
        <v>0.7131078925629368</v>
      </c>
      <c r="W35" s="36">
        <f>SUM(W18*'Inputs'!$E$15*'Inputs'!$E$59/'Inputs'!$E$60+W26*'Inputs'!$E$17*'Inputs'!$E$59/'Inputs'!$E$60,W25,W33)</f>
        <v>0.6961747339279201</v>
      </c>
      <c r="X35" s="36">
        <f>SUM(X18*'Inputs'!$E$15*'Inputs'!$E$59/'Inputs'!$E$60+X26*'Inputs'!$E$17*'Inputs'!$E$59/'Inputs'!$E$60,X25,X33)</f>
        <v>0.6812893191148408</v>
      </c>
      <c r="Y35" s="36">
        <f>SUM(Y18*'Inputs'!$E$15*'Inputs'!$E$59/'Inputs'!$E$60+Y26*'Inputs'!$E$17*'Inputs'!$E$59/'Inputs'!$E$60,Y25,Y33)</f>
        <v>0.6680119870116017</v>
      </c>
      <c r="Z35" s="36">
        <f>SUM(Z18*'Inputs'!$E$15*'Inputs'!$E$59/'Inputs'!$E$60+Z26*'Inputs'!$E$17*'Inputs'!$E$59/'Inputs'!$E$60,Z25,Z33)</f>
        <v>0.6560753592041663</v>
      </c>
      <c r="AA35" s="36">
        <f>SUM(AA18*'Inputs'!$E$15*'Inputs'!$E$59/'Inputs'!$E$60+AA26*'Inputs'!$E$17*'Inputs'!$E$59/'Inputs'!$E$60,AA25,AA33)</f>
        <v>0.6453818110695717</v>
      </c>
      <c r="AB35" s="36">
        <f>SUM(AB18*'Inputs'!$E$15*'Inputs'!$E$59/'Inputs'!$E$60+AB26*'Inputs'!$E$17*'Inputs'!$E$59/'Inputs'!$E$60,AB25,AB33)</f>
        <v>0.635842375861204</v>
      </c>
      <c r="AC35" s="36">
        <f>SUM(AC18*'Inputs'!$E$15*'Inputs'!$E$59/'Inputs'!$E$60+AC26*'Inputs'!$E$17*'Inputs'!$E$59/'Inputs'!$E$60,AC25,AC33)</f>
        <v>0.6273759669209702</v>
      </c>
      <c r="AD35" s="36">
        <f>SUM(AD18*'Inputs'!$E$15*'Inputs'!$E$59/'Inputs'!$E$60+AD26*'Inputs'!$E$17*'Inputs'!$E$59/'Inputs'!$E$60,AD25,AD33)</f>
        <v>0.6197507345517816</v>
      </c>
      <c r="AE35" s="36">
        <f>SUM(AE18*'Inputs'!$E$15*'Inputs'!$E$59/'Inputs'!$E$60+AE26*'Inputs'!$E$17*'Inputs'!$E$59/'Inputs'!$E$60,AE25,AE33)</f>
        <v>0.61290003952669</v>
      </c>
      <c r="AF35" s="36">
        <f>SUM(AF18*'Inputs'!$E$15*'Inputs'!$E$59/'Inputs'!$E$60+AF26*'Inputs'!$E$17*'Inputs'!$E$59/'Inputs'!$E$60,AF25,AF33)</f>
        <v>0.545342726683562</v>
      </c>
      <c r="AG35" s="36">
        <f>SUM(AG18*'Inputs'!$E$15*'Inputs'!$E$59/'Inputs'!$E$60+AG26*'Inputs'!$E$17*'Inputs'!$E$59/'Inputs'!$E$60,AG25,AG33)</f>
        <v>0.5355904042540653</v>
      </c>
      <c r="AH35" s="36">
        <f>SUM(AH18*'Inputs'!$E$15*'Inputs'!$E$59/'Inputs'!$E$60+AH26*'Inputs'!$E$17*'Inputs'!$E$59/'Inputs'!$E$60,AH25,AH33)</f>
        <v>0.5266169778336506</v>
      </c>
      <c r="AI35" s="36">
        <f>SUM(AI18*'Inputs'!$E$15*'Inputs'!$E$59/'Inputs'!$E$60+AI26*'Inputs'!$E$17*'Inputs'!$E$59/'Inputs'!$E$60,AI25,AI33)</f>
        <v>0.5181118698799099</v>
      </c>
      <c r="AJ35" s="36">
        <f>SUM(AJ18*'Inputs'!$E$15*'Inputs'!$E$59/'Inputs'!$E$60+AJ26*'Inputs'!$E$17*'Inputs'!$E$59/'Inputs'!$E$60,AJ25,AJ33)</f>
        <v>0.5100494531204709</v>
      </c>
      <c r="AK35" s="36">
        <f>SUM(AK18*'Inputs'!$E$15*'Inputs'!$E$59/'Inputs'!$E$60+AK26*'Inputs'!$E$17*'Inputs'!$E$59/'Inputs'!$E$60,AK25,AK33)</f>
        <v>0.5025452878373311</v>
      </c>
      <c r="AL35" s="36">
        <f>SUM(AL18*'Inputs'!$E$15*'Inputs'!$E$59/'Inputs'!$E$60+AL26*'Inputs'!$E$17*'Inputs'!$E$59/'Inputs'!$E$60,AL25,AL33)</f>
        <v>0.4955054524986483</v>
      </c>
      <c r="AM35" s="36">
        <f>SUM(AM18*'Inputs'!$E$15*'Inputs'!$E$59/'Inputs'!$E$60+AM26*'Inputs'!$E$17*'Inputs'!$E$59/'Inputs'!$E$60,AM25,AM33)</f>
        <v>0.48889546765701725</v>
      </c>
      <c r="AN35" s="36">
        <f>SUM(AN18*'Inputs'!$E$15*'Inputs'!$E$59/'Inputs'!$E$60+AN26*'Inputs'!$E$17*'Inputs'!$E$59/'Inputs'!$E$60,AN25,AN33)</f>
        <v>0.482683909658174</v>
      </c>
      <c r="AO35" s="36">
        <f>SUM(AO18*'Inputs'!$E$15*'Inputs'!$E$59/'Inputs'!$E$60+AO26*'Inputs'!$E$17*'Inputs'!$E$59/'Inputs'!$E$60,AO25,AO33)</f>
        <v>0.47684213595688074</v>
      </c>
      <c r="AP35" s="36">
        <f>SUM(AP18*'Inputs'!$E$15*'Inputs'!$E$59/'Inputs'!$E$60+AP26*'Inputs'!$E$17*'Inputs'!$E$59/'Inputs'!$E$60,AP25,AP33)</f>
        <v>0.47128875780130275</v>
      </c>
      <c r="AQ35" s="36">
        <f>SUM(AQ18*'Inputs'!$E$15*'Inputs'!$E$59/'Inputs'!$E$60+AQ26*'Inputs'!$E$17*'Inputs'!$E$59/'Inputs'!$E$60,AQ25,AQ33)</f>
        <v>0.4660002289546744</v>
      </c>
    </row>
    <row r="36" ht="22" customHeight="1">
      <c r="A36" s="2" t="str">
        <v>R1.TRANSACTIONS</v>
      </c>
      <c r="B36" s="6" t="str">
        <v>Subscription payments (count)</v>
      </c>
      <c r="C36" s="2" t="str">
        <v>EUR</v>
      </c>
      <c r="D36" s="2" t="str">
        <v>NA</v>
      </c>
      <c r="E36" s="2"/>
      <c r="F36" s="6" t="str"/>
      <c r="G36" s="2"/>
      <c r="H36" s="35">
        <f>SUM(H18,H20,H26,H28)</f>
        <v>0.07999999999999999</v>
      </c>
      <c r="I36" s="35">
        <f>SUM(I18,I20,I26,I28)</f>
        <v>0.056111999999999995</v>
      </c>
      <c r="J36" s="35">
        <f>SUM(J18,J20,J26,J28)</f>
        <v>0.05406028799999999</v>
      </c>
      <c r="K36" s="35">
        <f>SUM(K18,K20,K26,K28)</f>
        <v>0.052020044223999994</v>
      </c>
      <c r="L36" s="35">
        <f>SUM(L18,L20,L26,L28)</f>
        <v>0.049891169867072</v>
      </c>
      <c r="M36" s="35">
        <f>SUM(M18,M20,M26,M28)</f>
        <v>0.04782875306059394</v>
      </c>
      <c r="N36" s="35">
        <f>SUM(N18,N20,N26,N28)</f>
        <v>0.04586035418863125</v>
      </c>
      <c r="O36" s="35">
        <f>SUM(O18,O20,O26,O28)</f>
        <v>0.04395813222909304</v>
      </c>
      <c r="P36" s="35">
        <f>SUM(P18,P20,P26,P28)</f>
        <v>0.0421166840240596</v>
      </c>
      <c r="Q36" s="35">
        <f>SUM(Q18,Q20,Q26,Q28)</f>
        <v>0.04033108325564533</v>
      </c>
      <c r="R36" s="35">
        <f>SUM(R18,R20,R26,R28)</f>
        <v>0.038668837029020575</v>
      </c>
      <c r="S36" s="35">
        <f>SUM(S18,S20,S26,S28)</f>
        <v>0.03709937415698809</v>
      </c>
      <c r="T36" s="35">
        <f>SUM(T18,T20,T26,T28)</f>
        <v>0.044014619855249446</v>
      </c>
      <c r="U36" s="35">
        <f>SUM(U18,U20,U26,U28)</f>
        <v>0.034846416048027865</v>
      </c>
      <c r="V36" s="35">
        <f>SUM(V18,V20,V26,V28)</f>
        <v>0.033550582840567306</v>
      </c>
      <c r="W36" s="35">
        <f>SUM(W18,W20,W26,W28)</f>
        <v>0.03238838074717787</v>
      </c>
      <c r="X36" s="35">
        <f>SUM(X18,X20,X26,X28)</f>
        <v>0.031312666432876786</v>
      </c>
      <c r="Y36" s="35">
        <f>SUM(Y18,Y20,Y26,Y28)</f>
        <v>0.030331003420334034</v>
      </c>
      <c r="Z36" s="35">
        <f>SUM(Z18,Z20,Z26,Z28)</f>
        <v>0.029428603205894896</v>
      </c>
      <c r="AA36" s="35">
        <f>SUM(AA18,AA20,AA26,AA28)</f>
        <v>0.02859138613951002</v>
      </c>
      <c r="AB36" s="35">
        <f>SUM(AB18,AB20,AB26,AB28)</f>
        <v>0.027813518721759065</v>
      </c>
      <c r="AC36" s="35">
        <f>SUM(AC18,AC20,AC26,AC28)</f>
        <v>0.02708969163308929</v>
      </c>
      <c r="AD36" s="35">
        <f>SUM(AD18,AD20,AD26,AD28)</f>
        <v>0.02642263250084709</v>
      </c>
      <c r="AE36" s="35">
        <f>SUM(AE18,AE20,AE26,AE28)</f>
        <v>0.02580034771017428</v>
      </c>
      <c r="AF36" s="35">
        <f>SUM(AF18,AF20,AF26,AF28)</f>
        <v>0.028158834856398737</v>
      </c>
      <c r="AG36" s="35">
        <f>SUM(AG18,AG20,AG26,AG28)</f>
        <v>0.024866672684370098</v>
      </c>
      <c r="AH36" s="35">
        <f>SUM(AH18,AH20,AH26,AH28)</f>
        <v>0.024309299687957506</v>
      </c>
      <c r="AI36" s="35">
        <f>SUM(AI18,AI20,AI26,AI28)</f>
        <v>0.02378359842716197</v>
      </c>
      <c r="AJ36" s="35">
        <f>SUM(AJ18,AJ20,AJ26,AJ28)</f>
        <v>0.023274433773635986</v>
      </c>
      <c r="AK36" s="35">
        <f>SUM(AK18,AK20,AK26,AK28)</f>
        <v>0.02280378636646451</v>
      </c>
      <c r="AL36" s="35">
        <f>SUM(AL18,AL20,AL26,AL28)</f>
        <v>0.022361033460113318</v>
      </c>
      <c r="AM36" s="35">
        <f>SUM(AM18,AM20,AM26,AM28)</f>
        <v>0.02194123247991341</v>
      </c>
      <c r="AN36" s="35">
        <f>SUM(AN18,AN20,AN26,AN28)</f>
        <v>0.021542328474685523</v>
      </c>
      <c r="AO36" s="35">
        <f>SUM(AO18,AO20,AO26,AO28)</f>
        <v>0.021162451285994758</v>
      </c>
      <c r="AP36" s="35">
        <f>SUM(AP18,AP20,AP26,AP28)</f>
        <v>0.02080254488915303</v>
      </c>
      <c r="AQ36" s="35">
        <f>SUM(AQ18,AQ20,AQ26,AQ28)</f>
        <v>0.02045840191179651</v>
      </c>
    </row>
    <row r="37" ht="28" customHeight="1">
      <c r="A37" s="2" t="str">
        <v>DE.GATE</v>
      </c>
      <c r="B37" s="6" t="str">
        <v>Germany: copy trading licensed (1 = yes)</v>
      </c>
      <c r="C37" s="2" t="str">
        <v>flag</v>
      </c>
      <c r="D37" s="2" t="str">
        <v>NA</v>
      </c>
      <c r="E37" s="2"/>
      <c r="F37" s="6" t="str"/>
      <c r="G37" s="2"/>
      <c r="H37" s="38">
        <f>IF($E$11+H$6&gt;='Inputs'!$E$12,1,0)</f>
        <v>1</v>
      </c>
      <c r="I37" s="38">
        <f>IF($E$11+I$6&gt;='Inputs'!$E$12,1,0)</f>
        <v>1</v>
      </c>
      <c r="J37" s="38">
        <f>IF($E$11+J$6&gt;='Inputs'!$E$12,1,0)</f>
        <v>1</v>
      </c>
      <c r="K37" s="38">
        <f>IF($E$11+K$6&gt;='Inputs'!$E$12,1,0)</f>
        <v>1</v>
      </c>
      <c r="L37" s="38">
        <f>IF($E$11+L$6&gt;='Inputs'!$E$12,1,0)</f>
        <v>1</v>
      </c>
      <c r="M37" s="38">
        <f>IF($E$11+M$6&gt;='Inputs'!$E$12,1,0)</f>
        <v>1</v>
      </c>
      <c r="N37" s="38">
        <f>IF($E$11+N$6&gt;='Inputs'!$E$12,1,0)</f>
        <v>1</v>
      </c>
      <c r="O37" s="38">
        <f>IF($E$11+O$6&gt;='Inputs'!$E$12,1,0)</f>
        <v>1</v>
      </c>
      <c r="P37" s="38">
        <f>IF($E$11+P$6&gt;='Inputs'!$E$12,1,0)</f>
        <v>1</v>
      </c>
      <c r="Q37" s="38">
        <f>IF($E$11+Q$6&gt;='Inputs'!$E$12,1,0)</f>
        <v>1</v>
      </c>
      <c r="R37" s="38">
        <f>IF($E$11+R$6&gt;='Inputs'!$E$12,1,0)</f>
        <v>1</v>
      </c>
      <c r="S37" s="38">
        <f>IF($E$11+S$6&gt;='Inputs'!$E$12,1,0)</f>
        <v>1</v>
      </c>
      <c r="T37" s="38">
        <f>IF($E$11+T$6&gt;='Inputs'!$E$12,1,0)</f>
        <v>1</v>
      </c>
      <c r="U37" s="38">
        <f>IF($E$11+U$6&gt;='Inputs'!$E$12,1,0)</f>
        <v>1</v>
      </c>
      <c r="V37" s="38">
        <f>IF($E$11+V$6&gt;='Inputs'!$E$12,1,0)</f>
        <v>1</v>
      </c>
      <c r="W37" s="38">
        <f>IF($E$11+W$6&gt;='Inputs'!$E$12,1,0)</f>
        <v>1</v>
      </c>
      <c r="X37" s="38">
        <f>IF($E$11+X$6&gt;='Inputs'!$E$12,1,0)</f>
        <v>1</v>
      </c>
      <c r="Y37" s="38">
        <f>IF($E$11+Y$6&gt;='Inputs'!$E$12,1,0)</f>
        <v>1</v>
      </c>
      <c r="Z37" s="38">
        <f>IF($E$11+Z$6&gt;='Inputs'!$E$12,1,0)</f>
        <v>1</v>
      </c>
      <c r="AA37" s="38">
        <f>IF($E$11+AA$6&gt;='Inputs'!$E$12,1,0)</f>
        <v>1</v>
      </c>
      <c r="AB37" s="38">
        <f>IF($E$11+AB$6&gt;='Inputs'!$E$12,1,0)</f>
        <v>1</v>
      </c>
      <c r="AC37" s="38">
        <f>IF($E$11+AC$6&gt;='Inputs'!$E$12,1,0)</f>
        <v>1</v>
      </c>
      <c r="AD37" s="38">
        <f>IF($E$11+AD$6&gt;='Inputs'!$E$12,1,0)</f>
        <v>1</v>
      </c>
      <c r="AE37" s="38">
        <f>IF($E$11+AE$6&gt;='Inputs'!$E$12,1,0)</f>
        <v>1</v>
      </c>
      <c r="AF37" s="38">
        <f>IF($E$11+AF$6&gt;='Inputs'!$E$12,1,0)</f>
        <v>1</v>
      </c>
      <c r="AG37" s="38">
        <f>IF($E$11+AG$6&gt;='Inputs'!$E$12,1,0)</f>
        <v>1</v>
      </c>
      <c r="AH37" s="38">
        <f>IF($E$11+AH$6&gt;='Inputs'!$E$12,1,0)</f>
        <v>1</v>
      </c>
      <c r="AI37" s="38">
        <f>IF($E$11+AI$6&gt;='Inputs'!$E$12,1,0)</f>
        <v>1</v>
      </c>
      <c r="AJ37" s="38">
        <f>IF($E$11+AJ$6&gt;='Inputs'!$E$12,1,0)</f>
        <v>1</v>
      </c>
      <c r="AK37" s="38">
        <f>IF($E$11+AK$6&gt;='Inputs'!$E$12,1,0)</f>
        <v>1</v>
      </c>
      <c r="AL37" s="38">
        <f>IF($E$11+AL$6&gt;='Inputs'!$E$12,1,0)</f>
        <v>1</v>
      </c>
      <c r="AM37" s="38">
        <f>IF($E$11+AM$6&gt;='Inputs'!$E$12,1,0)</f>
        <v>1</v>
      </c>
      <c r="AN37" s="38">
        <f>IF($E$11+AN$6&gt;='Inputs'!$E$12,1,0)</f>
        <v>1</v>
      </c>
      <c r="AO37" s="38">
        <f>IF($E$11+AO$6&gt;='Inputs'!$E$12,1,0)</f>
        <v>1</v>
      </c>
      <c r="AP37" s="38">
        <f>IF($E$11+AP$6&gt;='Inputs'!$E$12,1,0)</f>
        <v>1</v>
      </c>
      <c r="AQ37" s="38">
        <f>IF($E$11+AQ$6&gt;='Inputs'!$E$12,1,0)</f>
        <v>1</v>
      </c>
    </row>
    <row r="38" ht="22" customHeight="1">
      <c r="A38" s="2" t="str">
        <v>DE.COPIERS</v>
      </c>
      <c r="B38" s="6" t="str">
        <v>Germany: copiers</v>
      </c>
      <c r="C38" s="2" t="str">
        <v>count</v>
      </c>
      <c r="D38" s="2" t="str">
        <v>NA</v>
      </c>
      <c r="E38" s="2"/>
      <c r="F38" s="6" t="str"/>
      <c r="G38" s="2"/>
      <c r="H38" s="38">
        <f>(0*H14*(1-'Inputs'!$E$30)+MAX(0,H13-0*H14)*'Inputs'!$E$29)*H37</f>
        <v>0.025</v>
      </c>
      <c r="I38" s="38">
        <f>(H38*I14*(1-'Inputs'!$E$30)+MAX(0,I13-H38*I14)*'Inputs'!$E$29)*I37</f>
        <v>0.0335125</v>
      </c>
      <c r="J38" s="38">
        <f>(I38*J14*(1-'Inputs'!$E$30)+MAX(0,J13-I38*J14)*'Inputs'!$E$29)*J37</f>
        <v>0.041283375</v>
      </c>
      <c r="K38" s="38">
        <f>(J38*K14*(1-'Inputs'!$E$30)+MAX(0,K13-J38*K14)*'Inputs'!$E$29)*K37</f>
        <v>0.04837643078125</v>
      </c>
      <c r="L38" s="38">
        <f>(K38*L14*(1-'Inputs'!$E$30)+MAX(0,L13-K38*L14)*'Inputs'!$E$29)*L37</f>
        <v>0.052740394695312505</v>
      </c>
      <c r="M38" s="38">
        <f>(L38*M14*(1-'Inputs'!$E$30)+MAX(0,M13-L38*M14)*'Inputs'!$E$29)*M37</f>
        <v>0.057112013477438286</v>
      </c>
      <c r="N38" s="38">
        <f>(M38*N14*(1-'Inputs'!$E$30)+MAX(0,N13-M38*N14)*'Inputs'!$E$29)*N37</f>
        <v>0.06128376925390472</v>
      </c>
      <c r="O38" s="38">
        <f>(N38*O14*(1-'Inputs'!$E$30)+MAX(0,O13-N38*O14)*'Inputs'!$E$29)*O37</f>
        <v>0.06433244225099735</v>
      </c>
      <c r="P38" s="38">
        <f>(O38*P14*(1-'Inputs'!$E$30)+MAX(0,P13-O38*P14)*'Inputs'!$E$29)*P37</f>
        <v>0.06637631560572478</v>
      </c>
      <c r="Q38" s="38">
        <f>(P38*Q14*(1-'Inputs'!$E$30)+MAX(0,Q13-P38*Q14)*'Inputs'!$E$29)*Q37</f>
        <v>0.06752167859488509</v>
      </c>
      <c r="R38" s="38">
        <f>(Q38*R14*(1-'Inputs'!$E$30)+MAX(0,R13-Q38*R14)*'Inputs'!$E$29)*R37</f>
        <v>0.06969817345497832</v>
      </c>
      <c r="S38" s="38">
        <f>(R38*S14*(1-'Inputs'!$E$30)+MAX(0,S13-R38*S14)*'Inputs'!$E$29)*S37</f>
        <v>0.07134557006100765</v>
      </c>
      <c r="T38" s="38">
        <f>(S38*T14*(1-'Inputs'!$E$30)+MAX(0,T13-S38*T14)*'Inputs'!$E$29)*T37</f>
        <v>0.07251683994079977</v>
      </c>
      <c r="U38" s="38">
        <f>(T38*U14*(1-'Inputs'!$E$30)+MAX(0,U13-T38*U14)*'Inputs'!$E$29)*U37</f>
        <v>0.07482962445870796</v>
      </c>
      <c r="V38" s="38">
        <f>(U38*V14*(1-'Inputs'!$E$30)+MAX(0,V13-U38*V14)*'Inputs'!$E$29)*V37</f>
        <v>0.07686530143999946</v>
      </c>
      <c r="W38" s="38">
        <f>(V38*W14*(1-'Inputs'!$E$30)+MAX(0,W13-V38*W14)*'Inputs'!$E$29)*W37</f>
        <v>0.07864895679775726</v>
      </c>
      <c r="X38" s="38">
        <f>(W38*X14*(1-'Inputs'!$E$30)+MAX(0,X13-W38*X14)*'Inputs'!$E$29)*X37</f>
        <v>0.08020341394179223</v>
      </c>
      <c r="Y38" s="38">
        <f>(X38*Y14*(1-'Inputs'!$E$30)+MAX(0,Y13-X38*Y14)*'Inputs'!$E$29)*Y37</f>
        <v>0.08154943715847747</v>
      </c>
      <c r="Z38" s="38">
        <f>(Y38*Z14*(1-'Inputs'!$E$30)+MAX(0,Z13-Y38*Z14)*'Inputs'!$E$29)*Z37</f>
        <v>0.08270591676259675</v>
      </c>
      <c r="AA38" s="38">
        <f>(Z38*AA14*(1-'Inputs'!$E$30)+MAX(0,AA13-Z38*AA14)*'Inputs'!$E$29)*AA37</f>
        <v>0.08369003765054578</v>
      </c>
      <c r="AB38" s="38">
        <f>(AA38*AB14*(1-'Inputs'!$E$30)+MAX(0,AB13-AA38*AB14)*'Inputs'!$E$29)*AB37</f>
        <v>0.0845174327389337</v>
      </c>
      <c r="AC38" s="38">
        <f>(AB38*AC14*(1-'Inputs'!$E$30)+MAX(0,AC13-AB38*AC14)*'Inputs'!$E$29)*AC37</f>
        <v>0.08520232264027047</v>
      </c>
      <c r="AD38" s="38">
        <f>(AC38*AD14*(1-'Inputs'!$E$30)+MAX(0,AD13-AC38*AD14)*'Inputs'!$E$29)*AD37</f>
        <v>0.0857576428068412</v>
      </c>
      <c r="AE38" s="38">
        <f>(AD38*AE14*(1-'Inputs'!$E$30)+MAX(0,AE13-AD38*AE14)*'Inputs'!$E$29)*AE37</f>
        <v>0.08619515926401894</v>
      </c>
      <c r="AF38" s="38">
        <f>(AE38*AF14*(1-'Inputs'!$E$30)+MAX(0,AF13-AE38*AF14)*'Inputs'!$E$29)*AF37</f>
        <v>0.08652557395419704</v>
      </c>
      <c r="AG38" s="38">
        <f>(AF38*AG14*(1-'Inputs'!$E$30)+MAX(0,AG13-AF38*AG14)*'Inputs'!$E$29)*AG37</f>
        <v>0.08596388516528877</v>
      </c>
      <c r="AH38" s="38">
        <f>(AG38*AH14*(1-'Inputs'!$E$30)+MAX(0,AH13-AG38*AH14)*'Inputs'!$E$29)*AH37</f>
        <v>0.08529878619867584</v>
      </c>
      <c r="AI38" s="38">
        <f>(AH38*AI14*(1-'Inputs'!$E$30)+MAX(0,AI13-AH38*AI14)*'Inputs'!$E$29)*AI37</f>
        <v>0.08454022748606789</v>
      </c>
      <c r="AJ38" s="38">
        <f>(AI38*AJ14*(1-'Inputs'!$E$30)+MAX(0,AJ13-AI38*AJ14)*'Inputs'!$E$29)*AJ37</f>
        <v>0.08369721502431787</v>
      </c>
      <c r="AK38" s="38">
        <f>(AJ38*AK14*(1-'Inputs'!$E$30)+MAX(0,AK13-AJ38*AK14)*'Inputs'!$E$29)*AK37</f>
        <v>0.08346201390555684</v>
      </c>
      <c r="AL38" s="38">
        <f>(AK38*AL14*(1-'Inputs'!$E$30)+MAX(0,AL13-AK38*AL14)*'Inputs'!$E$29)*AL37</f>
        <v>0.0831665845984345</v>
      </c>
      <c r="AM38" s="38">
        <f>(AL38*AM14*(1-'Inputs'!$E$30)+MAX(0,AM13-AL38*AM14)*'Inputs'!$E$29)*AM37</f>
        <v>0.0828164902230553</v>
      </c>
      <c r="AN38" s="38">
        <f>(AM38*AN14*(1-'Inputs'!$E$30)+MAX(0,AN13-AM38*AN14)*'Inputs'!$E$29)*AN37</f>
        <v>0.08241678331776689</v>
      </c>
      <c r="AO38" s="38">
        <f>(AN38*AO14*(1-'Inputs'!$E$30)+MAX(0,AO13-AN38*AO14)*'Inputs'!$E$29)*AO37</f>
        <v>0.0819720524445159</v>
      </c>
      <c r="AP38" s="38">
        <f>(AO38*AP14*(1-'Inputs'!$E$30)+MAX(0,AP13-AO38*AP14)*'Inputs'!$E$29)*AP37</f>
        <v>0.08148646456024673</v>
      </c>
      <c r="AQ38" s="38">
        <f>(AP38*AQ14*(1-'Inputs'!$E$30)+MAX(0,AQ13-AP38*AQ14)*'Inputs'!$E$29)*AQ37</f>
        <v>0.0809638035373917</v>
      </c>
    </row>
    <row r="39" ht="28" customHeight="1">
      <c r="A39" s="2" t="str">
        <v>DE.U.FREE</v>
      </c>
      <c r="B39" s="6" t="str">
        <v>Germany: not yet identity-checked: non-payers</v>
      </c>
      <c r="C39" s="2" t="str">
        <v>count</v>
      </c>
      <c r="D39" s="2" t="str">
        <v>NA</v>
      </c>
      <c r="E39" s="2"/>
      <c r="F39" s="6" t="str"/>
      <c r="G39" s="2"/>
      <c r="H39" s="38">
        <f>(H13-H40+SUM(0*H14*'Inputs'!$E$23,0*H14*(1-'Inputs'!$E$24),0*H14*'Inputs'!$E$23,0*H14*(1-'Inputs'!$E$24)))*(1-'Inputs'!$E$29*H37)</f>
        <v>0.897</v>
      </c>
      <c r="I39" s="38">
        <f>(H39*I14-I40+SUM(H41*I14*'Inputs'!$E$23,H54*I14*(1-'Inputs'!$E$24),H42*I14*'Inputs'!$E$23,H66*I14*(1-'Inputs'!$E$24)))*(1-'Inputs'!$E$29*I37)</f>
        <v>0.60982023375</v>
      </c>
      <c r="J39" s="38">
        <f>(I39*J14-J40+SUM(I41*J14*'Inputs'!$E$23,I54*J14*(1-'Inputs'!$E$24),I42*J14*'Inputs'!$E$23,I66*J14*(1-'Inputs'!$E$24)))*(1-'Inputs'!$E$29*J37)</f>
        <v>0.5076647185106251</v>
      </c>
      <c r="K39" s="38">
        <f>(J39*K14-K40+SUM(J41*K14*'Inputs'!$E$23,J54*K14*(1-'Inputs'!$E$24),J42*K14*'Inputs'!$E$23,J66*K14*(1-'Inputs'!$E$24)))*(1-'Inputs'!$E$29*K37)</f>
        <v>0.45198081084791497</v>
      </c>
      <c r="L39" s="38">
        <f>(K39*L14-L40+SUM(K41*L14*'Inputs'!$E$23,K54*L14*(1-'Inputs'!$E$24),K42*L14*'Inputs'!$E$23,K66*L14*(1-'Inputs'!$E$24)))*(1-'Inputs'!$E$29*L37)</f>
        <v>0.3990870616283236</v>
      </c>
      <c r="M39" s="38">
        <f>(L39*M14-M40+SUM(L41*M14*'Inputs'!$E$23,L54*M14*(1-'Inputs'!$E$24),L42*M14*'Inputs'!$E$23,L66*M14*(1-'Inputs'!$E$24)))*(1-'Inputs'!$E$29*M37)</f>
        <v>0.36437099971081466</v>
      </c>
      <c r="N39" s="38">
        <f>(M39*N14-N40+SUM(M41*N14*'Inputs'!$E$23,M54*N14*(1-'Inputs'!$E$24),M42*N14*'Inputs'!$E$23,M66*N14*(1-'Inputs'!$E$24)))*(1-'Inputs'!$E$29*N37)</f>
        <v>0.3388550835735225</v>
      </c>
      <c r="O39" s="38">
        <f>(N39*O14-O40+SUM(N41*O14*'Inputs'!$E$23,N54*O14*(1-'Inputs'!$E$24),N42*O14*'Inputs'!$E$23,N66*O14*(1-'Inputs'!$E$24)))*(1-'Inputs'!$E$29*O37)</f>
        <v>0.31450827607475024</v>
      </c>
      <c r="P39" s="38">
        <f>(O39*P14-P40+SUM(O41*P14*'Inputs'!$E$23,O54*P14*(1-'Inputs'!$E$24),O42*P14*'Inputs'!$E$23,O66*P14*(1-'Inputs'!$E$24)))*(1-'Inputs'!$E$29*P37)</f>
        <v>0.29128330770698746</v>
      </c>
      <c r="Q39" s="38">
        <f>(P39*Q14-Q40+SUM(P41*Q14*'Inputs'!$E$23,P54*Q14*(1-'Inputs'!$E$24),P42*Q14*'Inputs'!$E$23,P66*Q14*(1-'Inputs'!$E$24)))*(1-'Inputs'!$E$29*Q37)</f>
        <v>0.2691348328020231</v>
      </c>
      <c r="R39" s="38">
        <f>(Q39*R14-R40+SUM(Q41*R14*'Inputs'!$E$23,Q54*R14*(1-'Inputs'!$E$24),Q42*R14*'Inputs'!$E$23,Q66*R14*(1-'Inputs'!$E$24)))*(1-'Inputs'!$E$29*R37)</f>
        <v>0.25472255995587556</v>
      </c>
      <c r="S39" s="38">
        <f>(R39*S14-S40+SUM(R41*S14*'Inputs'!$E$23,R54*S14*(1-'Inputs'!$E$24),R42*S14*'Inputs'!$E$23,R66*S14*(1-'Inputs'!$E$24)))*(1-'Inputs'!$E$29*S37)</f>
        <v>0.24091761138415688</v>
      </c>
      <c r="T39" s="38">
        <f>(S39*T14-T40+SUM(S41*T14*'Inputs'!$E$23,S54*T14*(1-'Inputs'!$E$24),S42*T14*'Inputs'!$E$23,S66*T14*(1-'Inputs'!$E$24)))*(1-'Inputs'!$E$29*T37)</f>
        <v>0.2307272751285693</v>
      </c>
      <c r="U39" s="38">
        <f>(T39*U14-U40+SUM(T41*U14*'Inputs'!$E$23,T54*U14*(1-'Inputs'!$E$24),T42*U14*'Inputs'!$E$23,T66*U14*(1-'Inputs'!$E$24)))*(1-'Inputs'!$E$29*U37)</f>
        <v>0.2228256741012836</v>
      </c>
      <c r="V39" s="38">
        <f>(U39*V14-V40+SUM(U41*V14*'Inputs'!$E$23,U54*V14*(1-'Inputs'!$E$24),U42*V14*'Inputs'!$E$23,U66*V14*(1-'Inputs'!$E$24)))*(1-'Inputs'!$E$29*V37)</f>
        <v>0.2151854707809564</v>
      </c>
      <c r="W39" s="38">
        <f>(V39*W14-W40+SUM(V41*W14*'Inputs'!$E$23,V54*W14*(1-'Inputs'!$E$24),V42*W14*'Inputs'!$E$23,V66*W14*(1-'Inputs'!$E$24)))*(1-'Inputs'!$E$29*W37)</f>
        <v>0.20779805956803668</v>
      </c>
      <c r="X39" s="38">
        <f>(W39*X14-X40+SUM(W41*X14*'Inputs'!$E$23,W54*X14*(1-'Inputs'!$E$24),W42*X14*'Inputs'!$E$23,W66*X14*(1-'Inputs'!$E$24)))*(1-'Inputs'!$E$29*X37)</f>
        <v>0.2006551372522019</v>
      </c>
      <c r="Y39" s="38">
        <f>(X39*Y14-Y40+SUM(X41*Y14*'Inputs'!$E$23,X54*Y14*(1-'Inputs'!$E$24),X42*Y14*'Inputs'!$E$23,X66*Y14*(1-'Inputs'!$E$24)))*(1-'Inputs'!$E$29*Y37)</f>
        <v>0.1937486895620842</v>
      </c>
      <c r="Z39" s="38">
        <f>(Y39*Z14-Z40+SUM(Y41*Z14*'Inputs'!$E$23,Y54*Z14*(1-'Inputs'!$E$24),Y42*Z14*'Inputs'!$E$23,Y66*Z14*(1-'Inputs'!$E$24)))*(1-'Inputs'!$E$29*Z37)</f>
        <v>0.1870709786328929</v>
      </c>
      <c r="AA39" s="38">
        <f>(Z39*AA14-AA40+SUM(Z41*AA14*'Inputs'!$E$23,Z54*AA14*(1-'Inputs'!$E$24),Z42*AA14*'Inputs'!$E$23,Z66*AA14*(1-'Inputs'!$E$24)))*(1-'Inputs'!$E$29*AA37)</f>
        <v>0.18061453130216243</v>
      </c>
      <c r="AB39" s="38">
        <f>(AA39*AB14-AB40+SUM(AA41*AB14*'Inputs'!$E$23,AA54*AB14*(1-'Inputs'!$E$24),AA42*AB14*'Inputs'!$E$23,AA66*AB14*(1-'Inputs'!$E$24)))*(1-'Inputs'!$E$29*AB37)</f>
        <v>0.17437212815409345</v>
      </c>
      <c r="AC39" s="38">
        <f>(AB39*AC14-AC40+SUM(AB41*AC14*'Inputs'!$E$23,AB54*AC14*(1-'Inputs'!$E$24),AB42*AC14*'Inputs'!$E$23,AB66*AC14*(1-'Inputs'!$E$24)))*(1-'Inputs'!$E$29*AC37)</f>
        <v>0.16833679324197667</v>
      </c>
      <c r="AD39" s="38">
        <f>(AC39*AD14-AD40+SUM(AC41*AD14*'Inputs'!$E$23,AC54*AD14*(1-'Inputs'!$E$24),AC42*AD14*'Inputs'!$E$23,AC66*AD14*(1-'Inputs'!$E$24)))*(1-'Inputs'!$E$29*AD37)</f>
        <v>0.16250178442613164</v>
      </c>
      <c r="AE39" s="38">
        <f>(AD39*AE14-AE40+SUM(AD41*AE14*'Inputs'!$E$23,AD54*AE14*(1-'Inputs'!$E$24),AD42*AE14*'Inputs'!$E$23,AD66*AE14*(1-'Inputs'!$E$24)))*(1-'Inputs'!$E$29*AE37)</f>
        <v>0.15686058427179467</v>
      </c>
      <c r="AF39" s="38">
        <f>(AE39*AF14-AF40+SUM(AE41*AF14*'Inputs'!$E$23,AE54*AF14*(1-'Inputs'!$E$24),AE42*AF14*'Inputs'!$E$23,AE66*AF14*(1-'Inputs'!$E$24)))*(1-'Inputs'!$E$29*AF37)</f>
        <v>0.15212449279331128</v>
      </c>
      <c r="AG39" s="38">
        <f>(AF39*AG14-AG40+SUM(AF41*AG14*'Inputs'!$E$23,AF54*AG14*(1-'Inputs'!$E$24),AF42*AG14*'Inputs'!$E$23,AF66*AG14*(1-'Inputs'!$E$24)))*(1-'Inputs'!$E$29*AG37)</f>
        <v>0.14554406716815774</v>
      </c>
      <c r="AH39" s="38">
        <f>(AG39*AH14-AH40+SUM(AG41*AH14*'Inputs'!$E$23,AG54*AH14*(1-'Inputs'!$E$24),AG42*AH14*'Inputs'!$E$23,AG66*AH14*(1-'Inputs'!$E$24)))*(1-'Inputs'!$E$29*AH37)</f>
        <v>0.1392084405252115</v>
      </c>
      <c r="AI39" s="38">
        <f>(AH39*AI14-AI40+SUM(AH41*AI14*'Inputs'!$E$23,AH54*AI14*(1-'Inputs'!$E$24),AH42*AI14*'Inputs'!$E$23,AH66*AI14*(1-'Inputs'!$E$24)))*(1-'Inputs'!$E$29*AI37)</f>
        <v>0.1331091466664055</v>
      </c>
      <c r="AJ39" s="38">
        <f>(AI39*AJ14-AJ40+SUM(AI41*AJ14*'Inputs'!$E$23,AI54*AJ14*(1-'Inputs'!$E$24),AI42*AJ14*'Inputs'!$E$23,AI66*AJ14*(1-'Inputs'!$E$24)))*(1-'Inputs'!$E$29*AJ37)</f>
        <v>0.12723800445877353</v>
      </c>
      <c r="AK39" s="38">
        <f>(AJ39*AK14-AK40+SUM(AJ41*AK14*'Inputs'!$E$23,AJ54*AK14*(1-'Inputs'!$E$24),AJ42*AK14*'Inputs'!$E$23,AJ66*AK14*(1-'Inputs'!$E$24)))*(1-'Inputs'!$E$29*AK37)</f>
        <v>0.12259195990145903</v>
      </c>
      <c r="AL39" s="38">
        <f>(AK39*AL14-AL40+SUM(AK41*AL14*'Inputs'!$E$23,AK54*AL14*(1-'Inputs'!$E$24),AK42*AL14*'Inputs'!$E$23,AK66*AL14*(1-'Inputs'!$E$24)))*(1-'Inputs'!$E$29*AL37)</f>
        <v>0.11810418312371</v>
      </c>
      <c r="AM39" s="38">
        <f>(AL39*AM14-AM40+SUM(AL41*AM14*'Inputs'!$E$23,AL54*AM14*(1-'Inputs'!$E$24),AL42*AM14*'Inputs'!$E$23,AL66*AM14*(1-'Inputs'!$E$24)))*(1-'Inputs'!$E$29*AM37)</f>
        <v>0.11376949397813277</v>
      </c>
      <c r="AN39" s="38">
        <f>(AM39*AN14-AN40+SUM(AM41*AN14*'Inputs'!$E$23,AM54*AN14*(1-'Inputs'!$E$24),AM42*AN14*'Inputs'!$E$23,AM66*AN14*(1-'Inputs'!$E$24)))*(1-'Inputs'!$E$29*AN37)</f>
        <v>0.10958287968684056</v>
      </c>
      <c r="AO39" s="38">
        <f>(AN39*AO14-AO40+SUM(AN41*AO14*'Inputs'!$E$23,AN54*AO14*(1-'Inputs'!$E$24),AN42*AO14*'Inputs'!$E$23,AN66*AO14*(1-'Inputs'!$E$24)))*(1-'Inputs'!$E$29*AO37)</f>
        <v>0.10553948918513216</v>
      </c>
      <c r="AP39" s="38">
        <f>(AO39*AP14-AP40+SUM(AO41*AP14*'Inputs'!$E$23,AO54*AP14*(1-'Inputs'!$E$24),AO42*AP14*'Inputs'!$E$23,AO66*AP14*(1-'Inputs'!$E$24)))*(1-'Inputs'!$E$29*AP37)</f>
        <v>0.10163462769795376</v>
      </c>
      <c r="AQ39" s="38">
        <f>(AP39*AQ14-AQ40+SUM(AP41*AQ14*'Inputs'!$E$23,AP54*AQ14*(1-'Inputs'!$E$24),AP42*AQ14*'Inputs'!$E$23,AP66*AQ14*(1-'Inputs'!$E$24)))*(1-'Inputs'!$E$29*AQ37)</f>
        <v>0.09786375153462337</v>
      </c>
    </row>
    <row r="40" ht="28" customHeight="1">
      <c r="A40" s="2" t="str">
        <v>DE.U.NEW</v>
      </c>
      <c r="B40" s="6" t="str">
        <v>Germany: not yet identity-checked: new payers</v>
      </c>
      <c r="C40" s="2" t="str">
        <v>count</v>
      </c>
      <c r="D40" s="2" t="str">
        <v>NA</v>
      </c>
      <c r="E40" s="2"/>
      <c r="F40" s="6" t="str"/>
      <c r="G40" s="2"/>
      <c r="H40" s="38">
        <f>H13*'Inputs'!$E$20*H15</f>
        <v>0.08</v>
      </c>
      <c r="I40" s="38">
        <f>H39*I14*'Inputs'!$E$21*I15</f>
        <v>0.0050232</v>
      </c>
      <c r="J40" s="38">
        <f>I39*J14*'Inputs'!$E$21*J15</f>
        <v>0.004181624460000001</v>
      </c>
      <c r="K40" s="38">
        <f>J39*K14*'Inputs'!$E$21*K15</f>
        <v>0.0037228746024112512</v>
      </c>
      <c r="L40" s="38">
        <f>K39*L14*'Inputs'!$E$21*L15</f>
        <v>0.003287133169803018</v>
      </c>
      <c r="M40" s="38">
        <f>L39*M14*'Inputs'!$E$21*M15</f>
        <v>0.0030011347034449936</v>
      </c>
      <c r="N40" s="38">
        <f>M39*N14*'Inputs'!$E$21*N15</f>
        <v>0.002790926806295602</v>
      </c>
      <c r="O40" s="38">
        <f>N39*O14*'Inputs'!$E$21*O15</f>
        <v>0.002590358861095372</v>
      </c>
      <c r="P40" s="38">
        <f>O39*P14*'Inputs'!$E$21*P15</f>
        <v>0.002399039873314374</v>
      </c>
      <c r="Q40" s="38">
        <f>P39*Q14*'Inputs'!$E$21*Q15</f>
        <v>0.002216594926940978</v>
      </c>
      <c r="R40" s="38">
        <f>Q39*R14*'Inputs'!$E$21*R15</f>
        <v>0.002097871517226026</v>
      </c>
      <c r="S40" s="38">
        <f>R39*S14*'Inputs'!$E$21*S15</f>
        <v>0.001984154677551031</v>
      </c>
      <c r="T40" s="38">
        <f>S39*T14*'Inputs'!$E$21*T15</f>
        <v>0.0018752505967199239</v>
      </c>
      <c r="U40" s="38">
        <f>T39*U14*'Inputs'!$E$21*U15</f>
        <v>0.0018330000190769674</v>
      </c>
      <c r="V40" s="38">
        <f>U39*V14*'Inputs'!$E$21*V15</f>
        <v>0.0017701396208325746</v>
      </c>
      <c r="W40" s="38">
        <f>V39*W14*'Inputs'!$E$21*W15</f>
        <v>0.0017093606411332312</v>
      </c>
      <c r="X40" s="38">
        <f>W39*X14*'Inputs'!$E$21*X15</f>
        <v>0.0016505945157177383</v>
      </c>
      <c r="Y40" s="38">
        <f>X39*Y14*'Inputs'!$E$21*Y15</f>
        <v>0.0015937750901746325</v>
      </c>
      <c r="Z40" s="38">
        <f>Y39*Z14*'Inputs'!$E$21*Z15</f>
        <v>0.0015388385127808701</v>
      </c>
      <c r="AA40" s="38">
        <f>Z39*AA14*'Inputs'!$E$21*AA15</f>
        <v>0.0014857231346496426</v>
      </c>
      <c r="AB40" s="38">
        <f>AA39*AB14*'Inputs'!$E$21*AB15</f>
        <v>0.0014343694164726478</v>
      </c>
      <c r="AC40" s="38">
        <f>AB39*AC14*'Inputs'!$E$21*AC15</f>
        <v>0.0013847198412236831</v>
      </c>
      <c r="AD40" s="38">
        <f>AC39*AD14*'Inputs'!$E$21*AD15</f>
        <v>0.0013367188322622149</v>
      </c>
      <c r="AE40" s="38">
        <f>AD39*AE14*'Inputs'!$E$21*AE15</f>
        <v>0.0012903126763388361</v>
      </c>
      <c r="AF40" s="38">
        <f>AE39*AF14*'Inputs'!$E$21*AF15</f>
        <v>0.0012454494510602643</v>
      </c>
      <c r="AG40" s="38">
        <f>AF39*AG14*'Inputs'!$E$21*AG15</f>
        <v>0.0011967126766407152</v>
      </c>
      <c r="AH40" s="38">
        <f>AG39*AH14*'Inputs'!$E$21*AH15</f>
        <v>0.001144617748576698</v>
      </c>
      <c r="AI40" s="38">
        <f>AH39*AI14*'Inputs'!$E$21*AI15</f>
        <v>0.001094466359991318</v>
      </c>
      <c r="AJ40" s="38">
        <f>AI39*AJ14*'Inputs'!$E$21*AJ15</f>
        <v>0.0010461911878342045</v>
      </c>
      <c r="AK40" s="38">
        <f>AJ39*AK14*'Inputs'!$E$21*AK15</f>
        <v>0.001007989385972102</v>
      </c>
      <c r="AL40" s="38">
        <f>AK39*AL14*'Inputs'!$E$21*AL15</f>
        <v>0.00097108909876041</v>
      </c>
      <c r="AM40" s="38">
        <f>AL39*AM14*'Inputs'!$E$21*AM15</f>
        <v>0.0009354477020924315</v>
      </c>
      <c r="AN40" s="38">
        <f>AM39*AN14*'Inputs'!$E$21*AN15</f>
        <v>0.0009010239523084227</v>
      </c>
      <c r="AO40" s="38">
        <f>AN39*AO14*'Inputs'!$E$21*AO15</f>
        <v>0.0008677779391417374</v>
      </c>
      <c r="AP40" s="38">
        <f>AO39*AP14*'Inputs'!$E$21*AP15</f>
        <v>0.0008356710406467803</v>
      </c>
      <c r="AQ40" s="38">
        <f>AP39*AQ14*'Inputs'!$E$21*AQ15</f>
        <v>0.0008046658799810408</v>
      </c>
    </row>
    <row r="41" ht="28" customHeight="1">
      <c r="A41" s="2" t="str">
        <v>DE.U.PLUS.M</v>
      </c>
      <c r="B41" s="6" t="str">
        <v>Germany: not yet identity-checked: Plus monthly</v>
      </c>
      <c r="C41" s="2" t="str">
        <v>count</v>
      </c>
      <c r="D41" s="2" t="str">
        <v>NA</v>
      </c>
      <c r="E41" s="2"/>
      <c r="F41" s="6" t="str"/>
      <c r="G41" s="2"/>
      <c r="H41" s="38">
        <f>(0*H14*(1-'Inputs'!$E$23)+H40*(1-'Inputs'!$E$19)*(1-'Inputs'!$E$22))*(1-'Inputs'!$E$29*H37)</f>
        <v>0.04094999999999999</v>
      </c>
      <c r="I41" s="38">
        <f>(H41*I14*(1-'Inputs'!$E$23)+I40*(1-'Inputs'!$E$19)*(1-'Inputs'!$E$22))*(1-'Inputs'!$E$29*I37)</f>
        <v>0.028004271749999993</v>
      </c>
      <c r="J41" s="38">
        <f>(I41*J14*(1-'Inputs'!$E$23)+J40*(1-'Inputs'!$E$19)*(1-'Inputs'!$E$22))*(1-'Inputs'!$E$29*J37)</f>
        <v>0.023437717686337498</v>
      </c>
      <c r="K41" s="38">
        <f>(J41*K14*(1-'Inputs'!$E$23)+K40*(1-'Inputs'!$E$19)*(1-'Inputs'!$E$22))*(1-'Inputs'!$E$29*K37)</f>
        <v>0.02096783520287863</v>
      </c>
      <c r="L41" s="38">
        <f>(K41*L14*(1-'Inputs'!$E$23)+L40*(1-'Inputs'!$E$19)*(1-'Inputs'!$E$22))*(1-'Inputs'!$E$29*L37)</f>
        <v>0.01859506654925116</v>
      </c>
      <c r="M41" s="38">
        <f>(L41*M14*(1-'Inputs'!$E$23)+M40*(1-'Inputs'!$E$19)*(1-'Inputs'!$E$22))*(1-'Inputs'!$E$29*M37)</f>
        <v>0.01704477025439961</v>
      </c>
      <c r="N41" s="38">
        <f>(M41*N14*(1-'Inputs'!$E$23)+N40*(1-'Inputs'!$E$19)*(1-'Inputs'!$E$22))*(1-'Inputs'!$E$29*N37)</f>
        <v>0.015908047326413464</v>
      </c>
      <c r="O41" s="38">
        <f>(N41*O14*(1-'Inputs'!$E$23)+O40*(1-'Inputs'!$E$19)*(1-'Inputs'!$E$22))*(1-'Inputs'!$E$29*O37)</f>
        <v>0.014813047599478634</v>
      </c>
      <c r="P41" s="38">
        <f>(O41*P14*(1-'Inputs'!$E$23)+P40*(1-'Inputs'!$E$19)*(1-'Inputs'!$E$22))*(1-'Inputs'!$E$29*P37)</f>
        <v>0.013759588437202427</v>
      </c>
      <c r="Q41" s="38">
        <f>(P41*Q14*(1-'Inputs'!$E$23)+Q40*(1-'Inputs'!$E$19)*(1-'Inputs'!$E$22))*(1-'Inputs'!$E$29*Q37)</f>
        <v>0.012747292669579286</v>
      </c>
      <c r="R41" s="38">
        <f>(Q41*R14*(1-'Inputs'!$E$23)+R40*(1-'Inputs'!$E$19)*(1-'Inputs'!$E$22))*(1-'Inputs'!$E$29*R37)</f>
        <v>0.012093882495731364</v>
      </c>
      <c r="S41" s="38">
        <f>(R41*S14*(1-'Inputs'!$E$23)+S40*(1-'Inputs'!$E$19)*(1-'Inputs'!$E$22))*(1-'Inputs'!$E$29*S37)</f>
        <v>0.011463560176637045</v>
      </c>
      <c r="T41" s="38">
        <f>(S41*T14*(1-'Inputs'!$E$23)+T40*(1-'Inputs'!$E$19)*(1-'Inputs'!$E$22))*(1-'Inputs'!$E$29*T37)</f>
        <v>0.01085604459114098</v>
      </c>
      <c r="U41" s="38">
        <f>(T41*U14*(1-'Inputs'!$E$23)+U40*(1-'Inputs'!$E$19)*(1-'Inputs'!$E$22))*(1-'Inputs'!$E$29*U37)</f>
        <v>0.010503403381841735</v>
      </c>
      <c r="V41" s="38">
        <f>(U41*V14*(1-'Inputs'!$E$23)+V40*(1-'Inputs'!$E$19)*(1-'Inputs'!$E$22))*(1-'Inputs'!$E$29*V37)</f>
        <v>0.01016006602524269</v>
      </c>
      <c r="W41" s="38">
        <f>(V41*W14*(1-'Inputs'!$E$23)+W40*(1-'Inputs'!$E$19)*(1-'Inputs'!$E$22))*(1-'Inputs'!$E$29*W37)</f>
        <v>0.009826015033859067</v>
      </c>
      <c r="X41" s="38">
        <f>(W41*X14*(1-'Inputs'!$E$23)+X40*(1-'Inputs'!$E$19)*(1-'Inputs'!$E$22))*(1-'Inputs'!$E$29*X37)</f>
        <v>0.009501199184263542</v>
      </c>
      <c r="Y41" s="38">
        <f>(X41*Y14*(1-'Inputs'!$E$23)+Y40*(1-'Inputs'!$E$19)*(1-'Inputs'!$E$22))*(1-'Inputs'!$E$29*Y37)</f>
        <v>0.009185538750690697</v>
      </c>
      <c r="Z41" s="38">
        <f>(Y41*Z14*(1-'Inputs'!$E$23)+Z40*(1-'Inputs'!$E$19)*(1-'Inputs'!$E$22))*(1-'Inputs'!$E$29*Z37)</f>
        <v>0.008878930067355205</v>
      </c>
      <c r="AA41" s="38">
        <f>(Z41*AA14*(1-'Inputs'!$E$23)+AA40*(1-'Inputs'!$E$19)*(1-'Inputs'!$E$22))*(1-'Inputs'!$E$29*AA37)</f>
        <v>0.008581249502083164</v>
      </c>
      <c r="AB41" s="38">
        <f>(AA41*AB14*(1-'Inputs'!$E$23)+AB40*(1-'Inputs'!$E$19)*(1-'Inputs'!$E$22))*(1-'Inputs'!$E$29*AB37)</f>
        <v>0.00829235691380414</v>
      </c>
      <c r="AC41" s="38">
        <f>(AB41*AC14*(1-'Inputs'!$E$23)+AC40*(1-'Inputs'!$E$19)*(1-'Inputs'!$E$22))*(1-'Inputs'!$E$29*AC37)</f>
        <v>0.008012098657618415</v>
      </c>
      <c r="AD41" s="38">
        <f>(AC41*AD14*(1-'Inputs'!$E$23)+AD40*(1-'Inputs'!$E$19)*(1-'Inputs'!$E$22))*(1-'Inputs'!$E$29*AD37)</f>
        <v>0.007740310193391923</v>
      </c>
      <c r="AE41" s="38">
        <f>(AD41*AE14*(1-'Inputs'!$E$23)+AE40*(1-'Inputs'!$E$19)*(1-'Inputs'!$E$22))*(1-'Inputs'!$E$29*AE37)</f>
        <v>0.007476818347011157</v>
      </c>
      <c r="AF41" s="38">
        <f>(AE41*AF14*(1-'Inputs'!$E$23)+AF40*(1-'Inputs'!$E$19)*(1-'Inputs'!$E$22))*(1-'Inputs'!$E$29*AF37)</f>
        <v>0.007221443267437455</v>
      </c>
      <c r="AG41" s="38">
        <f>(AF41*AG14*(1-'Inputs'!$E$23)+AG40*(1-'Inputs'!$E$19)*(1-'Inputs'!$E$22))*(1-'Inputs'!$E$29*AG37)</f>
        <v>0.006913005748072116</v>
      </c>
      <c r="AH41" s="38">
        <f>(AG41*AH14*(1-'Inputs'!$E$23)+AH40*(1-'Inputs'!$E$19)*(1-'Inputs'!$E$22))*(1-'Inputs'!$E$29*AH37)</f>
        <v>0.006615506842233462</v>
      </c>
      <c r="AI41" s="38">
        <f>(AH41*AI14*(1-'Inputs'!$E$23)+AI40*(1-'Inputs'!$E$19)*(1-'Inputs'!$E$22))*(1-'Inputs'!$E$29*AI37)</f>
        <v>0.006328638268175442</v>
      </c>
      <c r="AJ41" s="38">
        <f>(AI41*AJ14*(1-'Inputs'!$E$23)+AJ40*(1-'Inputs'!$E$19)*(1-'Inputs'!$E$22))*(1-'Inputs'!$E$29*AJ37)</f>
        <v>0.006052093166773774</v>
      </c>
      <c r="AK41" s="38">
        <f>(AJ41*AK14*(1-'Inputs'!$E$23)+AK40*(1-'Inputs'!$E$19)*(1-'Inputs'!$E$22))*(1-'Inputs'!$E$29*AK37)</f>
        <v>0.005833381764922098</v>
      </c>
      <c r="AL41" s="38">
        <f>(AK41*AL14*(1-'Inputs'!$E$23)+AL40*(1-'Inputs'!$E$19)*(1-'Inputs'!$E$22))*(1-'Inputs'!$E$29*AL37)</f>
        <v>0.005621835993805014</v>
      </c>
      <c r="AM41" s="38">
        <f>(AL41*AM14*(1-'Inputs'!$E$23)+AM40*(1-'Inputs'!$E$19)*(1-'Inputs'!$E$22))*(1-'Inputs'!$E$29*AM37)</f>
        <v>0.005417256867560041</v>
      </c>
      <c r="AN41" s="38">
        <f>(AM41*AN14*(1-'Inputs'!$E$23)+AN40*(1-'Inputs'!$E$19)*(1-'Inputs'!$E$22))*(1-'Inputs'!$E$29*AN37)</f>
        <v>0.005219447428563871</v>
      </c>
      <c r="AO41" s="38">
        <f>(AN41*AO14*(1-'Inputs'!$E$23)+AO40*(1-'Inputs'!$E$19)*(1-'Inputs'!$E$22))*(1-'Inputs'!$E$29*AO37)</f>
        <v>0.00502821321158816</v>
      </c>
      <c r="AP41" s="38">
        <f>(AO41*AP14*(1-'Inputs'!$E$23)+AP40*(1-'Inputs'!$E$19)*(1-'Inputs'!$E$22))*(1-'Inputs'!$E$29*AP37)</f>
        <v>0.004843362628861659</v>
      </c>
      <c r="AQ41" s="38">
        <f>(AP41*AQ14*(1-'Inputs'!$E$23)+AQ40*(1-'Inputs'!$E$19)*(1-'Inputs'!$E$22))*(1-'Inputs'!$E$29*AQ37)</f>
        <v>0.0046647072864025516</v>
      </c>
    </row>
    <row r="42" ht="28" customHeight="1">
      <c r="A42" s="2" t="str">
        <v>DE.U.PRO.M</v>
      </c>
      <c r="B42" s="6" t="str">
        <v>Germany: not yet identity-checked: Pro monthly</v>
      </c>
      <c r="C42" s="2" t="str">
        <v>count</v>
      </c>
      <c r="D42" s="2" t="str">
        <v>NA</v>
      </c>
      <c r="E42" s="2"/>
      <c r="F42" s="6" t="str"/>
      <c r="G42" s="2"/>
      <c r="H42" s="38">
        <f>(0*H14*(1-'Inputs'!$E$23)+H40*'Inputs'!$E$19*(1-'Inputs'!$E$22))*(1-'Inputs'!$E$29*H37)* (1-H37)</f>
        <v>0.0</v>
      </c>
      <c r="I42" s="38">
        <f>(H42*I14*(1-'Inputs'!$E$23)+I40*'Inputs'!$E$19*(1-'Inputs'!$E$22))*(1-'Inputs'!$E$29*I37)* (1-I37)</f>
        <v>0.0</v>
      </c>
      <c r="J42" s="38">
        <f>(I42*J14*(1-'Inputs'!$E$23)+J40*'Inputs'!$E$19*(1-'Inputs'!$E$22))*(1-'Inputs'!$E$29*J37)* (1-J37)</f>
        <v>0.0</v>
      </c>
      <c r="K42" s="38">
        <f>(J42*K14*(1-'Inputs'!$E$23)+K40*'Inputs'!$E$19*(1-'Inputs'!$E$22))*(1-'Inputs'!$E$29*K37)* (1-K37)</f>
        <v>0.0</v>
      </c>
      <c r="L42" s="38">
        <f>(K42*L14*(1-'Inputs'!$E$23)+L40*'Inputs'!$E$19*(1-'Inputs'!$E$22))*(1-'Inputs'!$E$29*L37)* (1-L37)</f>
        <v>0.0</v>
      </c>
      <c r="M42" s="38">
        <f>(L42*M14*(1-'Inputs'!$E$23)+M40*'Inputs'!$E$19*(1-'Inputs'!$E$22))*(1-'Inputs'!$E$29*M37)* (1-M37)</f>
        <v>0.0</v>
      </c>
      <c r="N42" s="38">
        <f>(M42*N14*(1-'Inputs'!$E$23)+N40*'Inputs'!$E$19*(1-'Inputs'!$E$22))*(1-'Inputs'!$E$29*N37)* (1-N37)</f>
        <v>0.0</v>
      </c>
      <c r="O42" s="38">
        <f>(N42*O14*(1-'Inputs'!$E$23)+O40*'Inputs'!$E$19*(1-'Inputs'!$E$22))*(1-'Inputs'!$E$29*O37)* (1-O37)</f>
        <v>0.0</v>
      </c>
      <c r="P42" s="38">
        <f>(O42*P14*(1-'Inputs'!$E$23)+P40*'Inputs'!$E$19*(1-'Inputs'!$E$22))*(1-'Inputs'!$E$29*P37)* (1-P37)</f>
        <v>0.0</v>
      </c>
      <c r="Q42" s="38">
        <f>(P42*Q14*(1-'Inputs'!$E$23)+Q40*'Inputs'!$E$19*(1-'Inputs'!$E$22))*(1-'Inputs'!$E$29*Q37)* (1-Q37)</f>
        <v>0.0</v>
      </c>
      <c r="R42" s="38">
        <f>(Q42*R14*(1-'Inputs'!$E$23)+R40*'Inputs'!$E$19*(1-'Inputs'!$E$22))*(1-'Inputs'!$E$29*R37)* (1-R37)</f>
        <v>0.0</v>
      </c>
      <c r="S42" s="38">
        <f>(R42*S14*(1-'Inputs'!$E$23)+S40*'Inputs'!$E$19*(1-'Inputs'!$E$22))*(1-'Inputs'!$E$29*S37)* (1-S37)</f>
        <v>0.0</v>
      </c>
      <c r="T42" s="38">
        <f>(S42*T14*(1-'Inputs'!$E$23)+T40*'Inputs'!$E$19*(1-'Inputs'!$E$22))*(1-'Inputs'!$E$29*T37)* (1-T37)</f>
        <v>0.0</v>
      </c>
      <c r="U42" s="38">
        <f>(T42*U14*(1-'Inputs'!$E$23)+U40*'Inputs'!$E$19*(1-'Inputs'!$E$22))*(1-'Inputs'!$E$29*U37)* (1-U37)</f>
        <v>0.0</v>
      </c>
      <c r="V42" s="38">
        <f>(U42*V14*(1-'Inputs'!$E$23)+V40*'Inputs'!$E$19*(1-'Inputs'!$E$22))*(1-'Inputs'!$E$29*V37)* (1-V37)</f>
        <v>0.0</v>
      </c>
      <c r="W42" s="38">
        <f>(V42*W14*(1-'Inputs'!$E$23)+W40*'Inputs'!$E$19*(1-'Inputs'!$E$22))*(1-'Inputs'!$E$29*W37)* (1-W37)</f>
        <v>0.0</v>
      </c>
      <c r="X42" s="38">
        <f>(W42*X14*(1-'Inputs'!$E$23)+X40*'Inputs'!$E$19*(1-'Inputs'!$E$22))*(1-'Inputs'!$E$29*X37)* (1-X37)</f>
        <v>0.0</v>
      </c>
      <c r="Y42" s="38">
        <f>(X42*Y14*(1-'Inputs'!$E$23)+Y40*'Inputs'!$E$19*(1-'Inputs'!$E$22))*(1-'Inputs'!$E$29*Y37)* (1-Y37)</f>
        <v>0.0</v>
      </c>
      <c r="Z42" s="38">
        <f>(Y42*Z14*(1-'Inputs'!$E$23)+Z40*'Inputs'!$E$19*(1-'Inputs'!$E$22))*(1-'Inputs'!$E$29*Z37)* (1-Z37)</f>
        <v>0.0</v>
      </c>
      <c r="AA42" s="38">
        <f>(Z42*AA14*(1-'Inputs'!$E$23)+AA40*'Inputs'!$E$19*(1-'Inputs'!$E$22))*(1-'Inputs'!$E$29*AA37)* (1-AA37)</f>
        <v>0.0</v>
      </c>
      <c r="AB42" s="38">
        <f>(AA42*AB14*(1-'Inputs'!$E$23)+AB40*'Inputs'!$E$19*(1-'Inputs'!$E$22))*(1-'Inputs'!$E$29*AB37)* (1-AB37)</f>
        <v>0.0</v>
      </c>
      <c r="AC42" s="38">
        <f>(AB42*AC14*(1-'Inputs'!$E$23)+AC40*'Inputs'!$E$19*(1-'Inputs'!$E$22))*(1-'Inputs'!$E$29*AC37)* (1-AC37)</f>
        <v>0.0</v>
      </c>
      <c r="AD42" s="38">
        <f>(AC42*AD14*(1-'Inputs'!$E$23)+AD40*'Inputs'!$E$19*(1-'Inputs'!$E$22))*(1-'Inputs'!$E$29*AD37)* (1-AD37)</f>
        <v>0.0</v>
      </c>
      <c r="AE42" s="38">
        <f>(AD42*AE14*(1-'Inputs'!$E$23)+AE40*'Inputs'!$E$19*(1-'Inputs'!$E$22))*(1-'Inputs'!$E$29*AE37)* (1-AE37)</f>
        <v>0.0</v>
      </c>
      <c r="AF42" s="38">
        <f>(AE42*AF14*(1-'Inputs'!$E$23)+AF40*'Inputs'!$E$19*(1-'Inputs'!$E$22))*(1-'Inputs'!$E$29*AF37)* (1-AF37)</f>
        <v>0.0</v>
      </c>
      <c r="AG42" s="38">
        <f>(AF42*AG14*(1-'Inputs'!$E$23)+AG40*'Inputs'!$E$19*(1-'Inputs'!$E$22))*(1-'Inputs'!$E$29*AG37)* (1-AG37)</f>
        <v>0.0</v>
      </c>
      <c r="AH42" s="38">
        <f>(AG42*AH14*(1-'Inputs'!$E$23)+AH40*'Inputs'!$E$19*(1-'Inputs'!$E$22))*(1-'Inputs'!$E$29*AH37)* (1-AH37)</f>
        <v>0.0</v>
      </c>
      <c r="AI42" s="38">
        <f>(AH42*AI14*(1-'Inputs'!$E$23)+AI40*'Inputs'!$E$19*(1-'Inputs'!$E$22))*(1-'Inputs'!$E$29*AI37)* (1-AI37)</f>
        <v>0.0</v>
      </c>
      <c r="AJ42" s="38">
        <f>(AI42*AJ14*(1-'Inputs'!$E$23)+AJ40*'Inputs'!$E$19*(1-'Inputs'!$E$22))*(1-'Inputs'!$E$29*AJ37)* (1-AJ37)</f>
        <v>0.0</v>
      </c>
      <c r="AK42" s="38">
        <f>(AJ42*AK14*(1-'Inputs'!$E$23)+AK40*'Inputs'!$E$19*(1-'Inputs'!$E$22))*(1-'Inputs'!$E$29*AK37)* (1-AK37)</f>
        <v>0.0</v>
      </c>
      <c r="AL42" s="38">
        <f>(AK42*AL14*(1-'Inputs'!$E$23)+AL40*'Inputs'!$E$19*(1-'Inputs'!$E$22))*(1-'Inputs'!$E$29*AL37)* (1-AL37)</f>
        <v>0.0</v>
      </c>
      <c r="AM42" s="38">
        <f>(AL42*AM14*(1-'Inputs'!$E$23)+AM40*'Inputs'!$E$19*(1-'Inputs'!$E$22))*(1-'Inputs'!$E$29*AM37)* (1-AM37)</f>
        <v>0.0</v>
      </c>
      <c r="AN42" s="38">
        <f>(AM42*AN14*(1-'Inputs'!$E$23)+AN40*'Inputs'!$E$19*(1-'Inputs'!$E$22))*(1-'Inputs'!$E$29*AN37)* (1-AN37)</f>
        <v>0.0</v>
      </c>
      <c r="AO42" s="38">
        <f>(AN42*AO14*(1-'Inputs'!$E$23)+AO40*'Inputs'!$E$19*(1-'Inputs'!$E$22))*(1-'Inputs'!$E$29*AO37)* (1-AO37)</f>
        <v>0.0</v>
      </c>
      <c r="AP42" s="38">
        <f>(AO42*AP14*(1-'Inputs'!$E$23)+AP40*'Inputs'!$E$19*(1-'Inputs'!$E$22))*(1-'Inputs'!$E$29*AP37)* (1-AP37)</f>
        <v>0.0</v>
      </c>
      <c r="AQ42" s="38">
        <f>(AP42*AQ14*(1-'Inputs'!$E$23)+AQ40*'Inputs'!$E$19*(1-'Inputs'!$E$22))*(1-'Inputs'!$E$29*AQ37)* (1-AQ37)</f>
        <v>0.0</v>
      </c>
    </row>
    <row r="43" ht="28" customHeight="1">
      <c r="A43" s="2" t="str">
        <v>DE.U.PLUS.Y0</v>
      </c>
      <c r="B43" s="6" t="str">
        <v>Germany: not yet identity-checked: Plus annual, plan month 1</v>
      </c>
      <c r="C43" s="2" t="str">
        <v>count</v>
      </c>
      <c r="D43" s="2" t="str">
        <v>NA</v>
      </c>
      <c r="E43" s="2"/>
      <c r="F43" s="6" t="str"/>
      <c r="G43" s="2"/>
      <c r="H43" s="38">
        <f>(H40*(1-'Inputs'!$E$19)*'Inputs'!$E$22+0*H14*'Inputs'!$E$24)*(1-'Inputs'!$E$29*H37)</f>
        <v>0.01755</v>
      </c>
      <c r="I43" s="38">
        <f>(I40*(1-'Inputs'!$E$19)*'Inputs'!$E$22+H54*I14*'Inputs'!$E$24)*(1-'Inputs'!$E$29*I37)</f>
        <v>0.0011019645</v>
      </c>
      <c r="J43" s="38">
        <f>(J40*(1-'Inputs'!$E$19)*'Inputs'!$E$22+I54*J14*'Inputs'!$E$24)*(1-'Inputs'!$E$29*J37)</f>
        <v>0.0009173438659125001</v>
      </c>
      <c r="K43" s="38">
        <f>(K40*(1-'Inputs'!$E$19)*'Inputs'!$E$22+J54*K14*'Inputs'!$E$24)*(1-'Inputs'!$E$29*K37)</f>
        <v>0.0008167056159039683</v>
      </c>
      <c r="L43" s="38">
        <f>(L40*(1-'Inputs'!$E$19)*'Inputs'!$E$22+K54*L14*'Inputs'!$E$24)*(1-'Inputs'!$E$29*L37)</f>
        <v>0.000721114839125537</v>
      </c>
      <c r="M43" s="38">
        <f>(M40*(1-'Inputs'!$E$19)*'Inputs'!$E$22+L54*M14*'Inputs'!$E$24)*(1-'Inputs'!$E$29*M37)</f>
        <v>0.0006583739255682454</v>
      </c>
      <c r="N43" s="38">
        <f>(N40*(1-'Inputs'!$E$19)*'Inputs'!$E$22+M54*N14*'Inputs'!$E$24)*(1-'Inputs'!$E$29*N37)</f>
        <v>0.0006122595681310976</v>
      </c>
      <c r="O43" s="38">
        <f>(O40*(1-'Inputs'!$E$19)*'Inputs'!$E$22+N54*O14*'Inputs'!$E$24)*(1-'Inputs'!$E$29*O37)</f>
        <v>0.0005682599751527973</v>
      </c>
      <c r="P43" s="38">
        <f>(P40*(1-'Inputs'!$E$19)*'Inputs'!$E$22+O54*P14*'Inputs'!$E$24)*(1-'Inputs'!$E$29*P37)</f>
        <v>0.0005262893722083407</v>
      </c>
      <c r="Q43" s="38">
        <f>(Q40*(1-'Inputs'!$E$19)*'Inputs'!$E$22+P54*Q14*'Inputs'!$E$24)*(1-'Inputs'!$E$29*Q37)</f>
        <v>0.0004862655120976771</v>
      </c>
      <c r="R43" s="38">
        <f>(R40*(1-'Inputs'!$E$19)*'Inputs'!$E$22+Q54*R14*'Inputs'!$E$24)*(1-'Inputs'!$E$29*R37)</f>
        <v>0.0004602205640914595</v>
      </c>
      <c r="S43" s="38">
        <f>(S40*(1-'Inputs'!$E$19)*'Inputs'!$E$22+R54*S14*'Inputs'!$E$24)*(1-'Inputs'!$E$29*S37)</f>
        <v>0.0004352739323877574</v>
      </c>
      <c r="T43" s="38">
        <f>(T40*(1-'Inputs'!$E$19)*'Inputs'!$E$22+S54*T14*'Inputs'!$E$24)*(1-'Inputs'!$E$29*T37)</f>
        <v>0.002043318841781907</v>
      </c>
      <c r="U43" s="38">
        <f>(U40*(1-'Inputs'!$E$19)*'Inputs'!$E$22+T54*U14*'Inputs'!$E$24)*(1-'Inputs'!$E$29*U37)</f>
        <v>0.0005474824552810548</v>
      </c>
      <c r="V43" s="38">
        <f>(V40*(1-'Inputs'!$E$19)*'Inputs'!$E$22+U54*V14*'Inputs'!$E$24)*(1-'Inputs'!$E$29*V37)</f>
        <v>0.0005285194347501593</v>
      </c>
      <c r="W43" s="38">
        <f>(W40*(1-'Inputs'!$E$19)*'Inputs'!$E$22+V54*W14*'Inputs'!$E$24)*(1-'Inputs'!$E$29*W37)</f>
        <v>0.0005101937037049949</v>
      </c>
      <c r="X43" s="38">
        <f>(X40*(1-'Inputs'!$E$19)*'Inputs'!$E$22+W54*X14*'Inputs'!$E$24)*(1-'Inputs'!$E$29*X37)</f>
        <v>0.0004924836536998748</v>
      </c>
      <c r="Y43" s="38">
        <f>(Y40*(1-'Inputs'!$E$19)*'Inputs'!$E$22+X54*Y14*'Inputs'!$E$24)*(1-'Inputs'!$E$29*Y37)</f>
        <v>0.0004753684898136118</v>
      </c>
      <c r="Z43" s="38">
        <f>(Z40*(1-'Inputs'!$E$19)*'Inputs'!$E$22+Y54*Z14*'Inputs'!$E$24)*(1-'Inputs'!$E$29*Z37)</f>
        <v>0.00045882818925474273</v>
      </c>
      <c r="AA43" s="38">
        <f>(AA40*(1-'Inputs'!$E$19)*'Inputs'!$E$22+Z54*AA14*'Inputs'!$E$24)*(1-'Inputs'!$E$29*AA37)</f>
        <v>0.0004428434632085635</v>
      </c>
      <c r="AB43" s="38">
        <f>(AB40*(1-'Inputs'!$E$19)*'Inputs'!$E$22+AA54*AB14*'Inputs'!$E$24)*(1-'Inputs'!$E$29*AB37)</f>
        <v>0.00042739572158696115</v>
      </c>
      <c r="AC43" s="38">
        <f>(AC40*(1-'Inputs'!$E$19)*'Inputs'!$E$22+AB54*AC14*'Inputs'!$E$24)*(1-'Inputs'!$E$29*AC37)</f>
        <v>0.0004124670403815225</v>
      </c>
      <c r="AD43" s="38">
        <f>(AD40*(1-'Inputs'!$E$19)*'Inputs'!$E$22+AC54*AD14*'Inputs'!$E$24)*(1-'Inputs'!$E$29*AD37)</f>
        <v>0.00039804013135514877</v>
      </c>
      <c r="AE43" s="38">
        <f>(AE40*(1-'Inputs'!$E$19)*'Inputs'!$E$22+AD54*AE14*'Inputs'!$E$24)*(1-'Inputs'!$E$29*AE37)</f>
        <v>0.0003840983138379998</v>
      </c>
      <c r="AF43" s="38">
        <f>(AF40*(1-'Inputs'!$E$19)*'Inputs'!$E$22+AE54*AF14*'Inputs'!$E$24)*(1-'Inputs'!$E$29*AF37)</f>
        <v>0.000757026207671444</v>
      </c>
      <c r="AG43" s="38">
        <f>(AG40*(1-'Inputs'!$E$19)*'Inputs'!$E$22+AF54*AG14*'Inputs'!$E$24)*(1-'Inputs'!$E$29*AG37)</f>
        <v>0.0003908896076298859</v>
      </c>
      <c r="AH43" s="38">
        <f>(AH40*(1-'Inputs'!$E$19)*'Inputs'!$E$22+AG54*AH14*'Inputs'!$E$24)*(1-'Inputs'!$E$29*AH37)</f>
        <v>0.00037377287976943756</v>
      </c>
      <c r="AI43" s="38">
        <f>(AI40*(1-'Inputs'!$E$19)*'Inputs'!$E$22+AH54*AI14*'Inputs'!$E$24)*(1-'Inputs'!$E$29*AI37)</f>
        <v>0.00035730107815520727</v>
      </c>
      <c r="AJ43" s="38">
        <f>(AJ40*(1-'Inputs'!$E$19)*'Inputs'!$E$22+AI54*AJ14*'Inputs'!$E$24)*(1-'Inputs'!$E$29*AJ37)</f>
        <v>0.0003414514453384978</v>
      </c>
      <c r="AK43" s="38">
        <f>(AK40*(1-'Inputs'!$E$19)*'Inputs'!$E$22+AJ54*AK14*'Inputs'!$E$24)*(1-'Inputs'!$E$29*AK37)</f>
        <v>0.00032889791252102454</v>
      </c>
      <c r="AL43" s="38">
        <f>(AL40*(1-'Inputs'!$E$19)*'Inputs'!$E$22+AK54*AL14*'Inputs'!$E$24)*(1-'Inputs'!$E$29*AL37)</f>
        <v>0.00031677628496401127</v>
      </c>
      <c r="AM43" s="38">
        <f>(AM40*(1-'Inputs'!$E$19)*'Inputs'!$E$22+AL54*AM14*'Inputs'!$E$24)*(1-'Inputs'!$E$29*AM37)</f>
        <v>0.0003050721661784659</v>
      </c>
      <c r="AN43" s="38">
        <f>(AN40*(1-'Inputs'!$E$19)*'Inputs'!$E$22+AM54*AN14*'Inputs'!$E$24)*(1-'Inputs'!$E$29*AN37)</f>
        <v>0.0002937716470741806</v>
      </c>
      <c r="AO43" s="38">
        <f>(AO40*(1-'Inputs'!$E$19)*'Inputs'!$E$22+AN54*AO14*'Inputs'!$E$24)*(1-'Inputs'!$E$29*AO37)</f>
        <v>0.0002828612871307955</v>
      </c>
      <c r="AP43" s="38">
        <f>(AP40*(1-'Inputs'!$E$19)*'Inputs'!$E$22+AO54*AP14*'Inputs'!$E$24)*(1-'Inputs'!$E$29*AP37)</f>
        <v>0.0002723280965987272</v>
      </c>
      <c r="AQ43" s="38">
        <f>(AQ40*(1-'Inputs'!$E$19)*'Inputs'!$E$22+AP54*AQ14*'Inputs'!$E$24)*(1-'Inputs'!$E$29*AQ37)</f>
        <v>0.00026215951964290464</v>
      </c>
    </row>
    <row r="44" ht="28" customHeight="1">
      <c r="A44" s="2" t="str">
        <v>DE.U.PLUS.Y1</v>
      </c>
      <c r="B44" s="6" t="str">
        <v>Germany: not yet identity-checked: Plus annual, plan month 2</v>
      </c>
      <c r="C44" s="2" t="str">
        <v>count</v>
      </c>
      <c r="D44" s="2" t="str">
        <v>NA</v>
      </c>
      <c r="E44" s="2"/>
      <c r="F44" s="6" t="str"/>
      <c r="G44" s="2"/>
      <c r="H44" s="38">
        <f>0*H14*(1-'Inputs'!$E$29*H37)</f>
        <v>0.0</v>
      </c>
      <c r="I44" s="38">
        <f>H43*I14*(1-'Inputs'!$E$29*I37)</f>
        <v>0.011977874999999999</v>
      </c>
      <c r="J44" s="38">
        <f>I43*J14*(1-'Inputs'!$E$29*J37)</f>
        <v>0.000920927475</v>
      </c>
      <c r="K44" s="38">
        <f>J43*K14*(1-'Inputs'!$E$29*K37)</f>
        <v>0.0008198760801592969</v>
      </c>
      <c r="L44" s="38">
        <f>K43*L14*(1-'Inputs'!$E$29*L37)</f>
        <v>0.0007238981595512446</v>
      </c>
      <c r="M44" s="38">
        <f>L43*M14*(1-'Inputs'!$E$29*M37)</f>
        <v>0.0006609017500585545</v>
      </c>
      <c r="N44" s="38">
        <f>M43*N14*(1-'Inputs'!$E$29*N37)</f>
        <v>0.0006145990634958886</v>
      </c>
      <c r="O44" s="38">
        <f>N43*O14*(1-'Inputs'!$E$29*O37)</f>
        <v>0.0005704218309754726</v>
      </c>
      <c r="P44" s="38">
        <f>O43*P14*(1-'Inputs'!$E$29*P37)</f>
        <v>0.000528283546668211</v>
      </c>
      <c r="Q44" s="38">
        <f>P43*Q14*(1-'Inputs'!$E$29*Q37)</f>
        <v>0.0004881013019078575</v>
      </c>
      <c r="R44" s="38">
        <f>Q43*R14*(1-'Inputs'!$E$29*R37)</f>
        <v>0.0004619522364927932</v>
      </c>
      <c r="S44" s="38">
        <f>R43*S14*(1-'Inputs'!$E$29*S37)</f>
        <v>0.0004369067591999842</v>
      </c>
      <c r="T44" s="38">
        <f>S43*T14*(1-'Inputs'!$E$29*T37)</f>
        <v>0.00041292202775162926</v>
      </c>
      <c r="U44" s="38">
        <f>T43*U14*(1-'Inputs'!$E$29*U37)</f>
        <v>0.001978400899412794</v>
      </c>
      <c r="V44" s="38">
        <f>U43*V14*(1-'Inputs'!$E$29*V37)</f>
        <v>0.0005300625589766576</v>
      </c>
      <c r="W44" s="38">
        <f>V43*W14*(1-'Inputs'!$E$29*W37)</f>
        <v>0.000511677530227311</v>
      </c>
      <c r="X44" s="38">
        <f>W43*X14*(1-'Inputs'!$E$29*X37)</f>
        <v>0.0004939109259271758</v>
      </c>
      <c r="Y44" s="38">
        <f>X43*Y14*(1-'Inputs'!$E$29*Y37)</f>
        <v>0.00047674176548339665</v>
      </c>
      <c r="Z44" s="38">
        <f>Y43*Z14*(1-'Inputs'!$E$29*Z37)</f>
        <v>0.00046014985830519046</v>
      </c>
      <c r="AA44" s="38">
        <f>Z43*AA14*(1-'Inputs'!$E$29*AA37)</f>
        <v>0.0004441157636210309</v>
      </c>
      <c r="AB44" s="38">
        <f>AA43*AB14*(1-'Inputs'!$E$29*AB37)</f>
        <v>0.00042862075344128115</v>
      </c>
      <c r="AC44" s="38">
        <f>AB43*AC14*(1-'Inputs'!$E$29*AC37)</f>
        <v>0.0004136467783373806</v>
      </c>
      <c r="AD44" s="38">
        <f>AC43*AD14*(1-'Inputs'!$E$29*AD37)</f>
        <v>0.00039917643574700673</v>
      </c>
      <c r="AE44" s="38">
        <f>AD43*AE14*(1-'Inputs'!$E$29*AE37)</f>
        <v>0.0003851929405483501</v>
      </c>
      <c r="AF44" s="38">
        <f>AE43*AF14*(1-'Inputs'!$E$29*AF37)</f>
        <v>0.0003716800976763201</v>
      </c>
      <c r="AG44" s="38">
        <f>AF43*AG14*(1-'Inputs'!$E$29*AG37)</f>
        <v>0.0007257988766049969</v>
      </c>
      <c r="AH44" s="38">
        <f>AG43*AH14*(1-'Inputs'!$E$29*AH37)</f>
        <v>0.0003746577510418652</v>
      </c>
      <c r="AI44" s="38">
        <f>AH43*AI14*(1-'Inputs'!$E$29*AI37)</f>
        <v>0.00035814530677907744</v>
      </c>
      <c r="AJ44" s="38">
        <f>AI43*AJ14*(1-'Inputs'!$E$29*AJ37)</f>
        <v>0.00034225682223288273</v>
      </c>
      <c r="AK44" s="38">
        <f>AJ43*AK14*(1-'Inputs'!$E$29*AK37)</f>
        <v>0.00032967247908290837</v>
      </c>
      <c r="AL44" s="38">
        <f>AK43*AL14*(1-'Inputs'!$E$29*AL37)</f>
        <v>0.00031752127980923175</v>
      </c>
      <c r="AM44" s="38">
        <f>AL43*AM14*(1-'Inputs'!$E$29*AM37)</f>
        <v>0.000305788763159382</v>
      </c>
      <c r="AN44" s="38">
        <f>AM43*AN14*(1-'Inputs'!$E$29*AN37)</f>
        <v>0.00029446096039834535</v>
      </c>
      <c r="AO44" s="38">
        <f>AN43*AO14*(1-'Inputs'!$E$29*AO37)</f>
        <v>0.00028352437593890723</v>
      </c>
      <c r="AP44" s="38">
        <f>AO43*AP14*(1-'Inputs'!$E$29*AP37)</f>
        <v>0.00027296596906563965</v>
      </c>
      <c r="AQ44" s="38">
        <f>AP43*AQ14*(1-'Inputs'!$E$29*AQ37)</f>
        <v>0.0002627731366577201</v>
      </c>
    </row>
    <row r="45" ht="28" customHeight="1">
      <c r="A45" s="2" t="str">
        <v>DE.U.PLUS.Y2</v>
      </c>
      <c r="B45" s="6" t="str">
        <v>Germany: not yet identity-checked: Plus annual, plan month 3</v>
      </c>
      <c r="C45" s="2" t="str">
        <v>count</v>
      </c>
      <c r="D45" s="2" t="str">
        <v>NA</v>
      </c>
      <c r="E45" s="2"/>
      <c r="F45" s="6" t="str"/>
      <c r="G45" s="2"/>
      <c r="H45" s="38">
        <f>0*H14*(1-'Inputs'!$E$29*H37)</f>
        <v>0.0</v>
      </c>
      <c r="I45" s="38">
        <f>H44*I14*(1-'Inputs'!$E$29*I37)</f>
        <v>0.0</v>
      </c>
      <c r="J45" s="38">
        <f>I44*J14*(1-'Inputs'!$E$29*J37)</f>
        <v>0.01001008125</v>
      </c>
      <c r="K45" s="38">
        <f>J44*K14*(1-'Inputs'!$E$29*K37)</f>
        <v>0.00082307893078125</v>
      </c>
      <c r="L45" s="38">
        <f>K44*L14*(1-'Inputs'!$E$29*L37)</f>
        <v>0.0007267083437775586</v>
      </c>
      <c r="M45" s="38">
        <f>L44*M14*(1-'Inputs'!$E$29*M37)</f>
        <v>0.0006634526632287156</v>
      </c>
      <c r="N45" s="38">
        <f>M44*N14*(1-'Inputs'!$E$29*N37)</f>
        <v>0.0006169588145493422</v>
      </c>
      <c r="O45" s="38">
        <f>N44*O14*(1-'Inputs'!$E$29*O37)</f>
        <v>0.0005726014608236695</v>
      </c>
      <c r="P45" s="38">
        <f>O44*P14*(1-'Inputs'!$E$29*P37)</f>
        <v>0.0005302933184475469</v>
      </c>
      <c r="Q45" s="38">
        <f>P44*Q14*(1-'Inputs'!$E$29*Q37)</f>
        <v>0.0004899507771233835</v>
      </c>
      <c r="R45" s="38">
        <f>Q44*R14*(1-'Inputs'!$E$29*R37)</f>
        <v>0.00046369623681246464</v>
      </c>
      <c r="S45" s="38">
        <f>R44*S14*(1-'Inputs'!$E$29*S37)</f>
        <v>0.0004385507087230925</v>
      </c>
      <c r="T45" s="38">
        <f>S44*T14*(1-'Inputs'!$E$29*T37)</f>
        <v>0.0004144710067005256</v>
      </c>
      <c r="U45" s="38">
        <f>T44*U14*(1-'Inputs'!$E$29*U37)</f>
        <v>0.0003998031508282702</v>
      </c>
      <c r="V45" s="38">
        <f>U44*V14*(1-'Inputs'!$E$29*V37)</f>
        <v>0.0019154517798860235</v>
      </c>
      <c r="W45" s="38">
        <f>V44*W14*(1-'Inputs'!$E$29*W37)</f>
        <v>0.0005131714809529296</v>
      </c>
      <c r="X45" s="38">
        <f>W44*X14*(1-'Inputs'!$E$29*X37)</f>
        <v>0.0004953473962838862</v>
      </c>
      <c r="Y45" s="38">
        <f>X44*Y14*(1-'Inputs'!$E$29*Y37)</f>
        <v>0.0004781234159734322</v>
      </c>
      <c r="Z45" s="38">
        <f>Y44*Z14*(1-'Inputs'!$E$29*Z37)</f>
        <v>0.00046147916939418</v>
      </c>
      <c r="AA45" s="38">
        <f>Z44*AA14*(1-'Inputs'!$E$29*AA37)</f>
        <v>0.0004453950530660567</v>
      </c>
      <c r="AB45" s="38">
        <f>AA44*AB14*(1-'Inputs'!$E$29*AB37)</f>
        <v>0.00042985219165072046</v>
      </c>
      <c r="AC45" s="38">
        <f>AB44*AC14*(1-'Inputs'!$E$29*AC37)</f>
        <v>0.00041483240199785754</v>
      </c>
      <c r="AD45" s="38">
        <f>AC44*AD14*(1-'Inputs'!$E$29*AD37)</f>
        <v>0.0004003181599242872</v>
      </c>
      <c r="AE45" s="38">
        <f>AD44*AE14*(1-'Inputs'!$E$29*AE37)</f>
        <v>0.0003862925694439783</v>
      </c>
      <c r="AF45" s="38">
        <f>AE44*AF14*(1-'Inputs'!$E$29*AF37)</f>
        <v>0.0003727393341997944</v>
      </c>
      <c r="AG45" s="38">
        <f>AF44*AG14*(1-'Inputs'!$E$29*AG37)</f>
        <v>0.00035634829364717183</v>
      </c>
      <c r="AH45" s="38">
        <f>AG44*AH14*(1-'Inputs'!$E$29*AH37)</f>
        <v>0.0006956597707120774</v>
      </c>
      <c r="AI45" s="38">
        <f>AH44*AI14*(1-'Inputs'!$E$29*AI37)</f>
        <v>0.0003589931812784768</v>
      </c>
      <c r="AJ45" s="38">
        <f>AI44*AJ14*(1-'Inputs'!$E$29*AJ37)</f>
        <v>0.00034306550438837946</v>
      </c>
      <c r="AK45" s="38">
        <f>AJ44*AK14*(1-'Inputs'!$E$29*AK37)</f>
        <v>0.00033045007308929713</v>
      </c>
      <c r="AL45" s="38">
        <f>AK44*AL14*(1-'Inputs'!$E$29*AL37)</f>
        <v>0.0003182690539867619</v>
      </c>
      <c r="AM45" s="38">
        <f>AL44*AM14*(1-'Inputs'!$E$29*AM37)</f>
        <v>0.0003065079175377029</v>
      </c>
      <c r="AN45" s="38">
        <f>AM44*AN14*(1-'Inputs'!$E$29*AN37)</f>
        <v>0.0002951526322668818</v>
      </c>
      <c r="AO45" s="38">
        <f>AN44*AO14*(1-'Inputs'!$E$29*AO37)</f>
        <v>0.00028418964480336924</v>
      </c>
      <c r="AP45" s="38">
        <f>AO44*AP14*(1-'Inputs'!$E$29*AP37)</f>
        <v>0.00027360586108097617</v>
      </c>
      <c r="AQ45" s="38">
        <f>AP44*AQ14*(1-'Inputs'!$E$29*AQ37)</f>
        <v>0.00026338862859928485</v>
      </c>
    </row>
    <row r="46" ht="28" customHeight="1">
      <c r="A46" s="2" t="str">
        <v>DE.U.PLUS.Y3</v>
      </c>
      <c r="B46" s="6" t="str">
        <v>Germany: not yet identity-checked: Plus annual, plan month 4</v>
      </c>
      <c r="C46" s="2" t="str">
        <v>count</v>
      </c>
      <c r="D46" s="2" t="str">
        <v>NA</v>
      </c>
      <c r="E46" s="2"/>
      <c r="F46" s="6" t="str"/>
      <c r="G46" s="2"/>
      <c r="H46" s="38">
        <f>0*H14*(1-'Inputs'!$E$29*H37)</f>
        <v>0.0</v>
      </c>
      <c r="I46" s="38">
        <f>H45*I14*(1-'Inputs'!$E$29*I37)</f>
        <v>0.0</v>
      </c>
      <c r="J46" s="38">
        <f>I45*J14*(1-'Inputs'!$E$29*J37)</f>
        <v>0.0</v>
      </c>
      <c r="K46" s="38">
        <f>J45*K14*(1-'Inputs'!$E$29*K37)</f>
        <v>0.008946510117187502</v>
      </c>
      <c r="L46" s="38">
        <f>K45*L14*(1-'Inputs'!$E$29*L37)</f>
        <v>0.0007295472341015624</v>
      </c>
      <c r="M46" s="38">
        <f>L45*M14*(1-'Inputs'!$E$29*M37)</f>
        <v>0.0006660281970721324</v>
      </c>
      <c r="N46" s="38">
        <f>M45*N14*(1-'Inputs'!$E$29*N37)</f>
        <v>0.0006193401191310616</v>
      </c>
      <c r="O46" s="38">
        <f>N45*O14*(1-'Inputs'!$E$29*O37)</f>
        <v>0.0005747999622218038</v>
      </c>
      <c r="P46" s="38">
        <f>O45*P14*(1-'Inputs'!$E$29*P37)</f>
        <v>0.0005323196138703765</v>
      </c>
      <c r="Q46" s="38">
        <f>P45*Q14*(1-'Inputs'!$E$29*Q37)</f>
        <v>0.0004918147179016579</v>
      </c>
      <c r="R46" s="38">
        <f>Q45*R14*(1-'Inputs'!$E$29*R37)</f>
        <v>0.0004654532382672143</v>
      </c>
      <c r="S46" s="38">
        <f>R45*S14*(1-'Inputs'!$E$29*S37)</f>
        <v>0.000440206361658149</v>
      </c>
      <c r="T46" s="38">
        <f>S45*T14*(1-'Inputs'!$E$29*T37)</f>
        <v>0.00041603053719406876</v>
      </c>
      <c r="U46" s="38">
        <f>T45*U14*(1-'Inputs'!$E$29*U37)</f>
        <v>0.0004013029174251443</v>
      </c>
      <c r="V46" s="38">
        <f>U45*V14*(1-'Inputs'!$E$29*V37)</f>
        <v>0.0003870821414837343</v>
      </c>
      <c r="W46" s="38">
        <f>V45*W14*(1-'Inputs'!$E$29*W37)</f>
        <v>0.0018544136157734583</v>
      </c>
      <c r="X46" s="38">
        <f>W45*X14*(1-'Inputs'!$E$29*X37)</f>
        <v>0.0004967936677310276</v>
      </c>
      <c r="Y46" s="38">
        <f>X45*Y14*(1-'Inputs'!$E$29*Y37)</f>
        <v>0.00047951397058124053</v>
      </c>
      <c r="Z46" s="38">
        <f>Y45*Z14*(1-'Inputs'!$E$29*Z37)</f>
        <v>0.00046281658718867123</v>
      </c>
      <c r="AA46" s="38">
        <f>Z45*AA14*(1-'Inputs'!$E$29*AA37)</f>
        <v>0.0004466817395059971</v>
      </c>
      <c r="AB46" s="38">
        <f>AA45*AB14*(1-'Inputs'!$E$29*AB37)</f>
        <v>0.00043109039442743887</v>
      </c>
      <c r="AC46" s="38">
        <f>AB45*AC14*(1-'Inputs'!$E$29*AC37)</f>
        <v>0.0004160242259266624</v>
      </c>
      <c r="AD46" s="38">
        <f>AC45*AD14*(1-'Inputs'!$E$29*AD37)</f>
        <v>0.00040146558015570434</v>
      </c>
      <c r="AE46" s="38">
        <f>AD45*AE14*(1-'Inputs'!$E$29*AE37)</f>
        <v>0.0003873974431953876</v>
      </c>
      <c r="AF46" s="38">
        <f>AE45*AF14*(1-'Inputs'!$E$29*AF37)</f>
        <v>0.0003738034111837594</v>
      </c>
      <c r="AG46" s="38">
        <f>AF45*AG14*(1-'Inputs'!$E$29*AG37)</f>
        <v>0.00035736383666405285</v>
      </c>
      <c r="AH46" s="38">
        <f>AG45*AH14*(1-'Inputs'!$E$29*AH37)</f>
        <v>0.0003415507797584333</v>
      </c>
      <c r="AI46" s="38">
        <f>AH45*AI14*(1-'Inputs'!$E$29*AI37)</f>
        <v>0.0006665739958159259</v>
      </c>
      <c r="AJ46" s="38">
        <f>AI45*AJ14*(1-'Inputs'!$E$29*AJ37)</f>
        <v>0.00034387767890885673</v>
      </c>
      <c r="AK46" s="38">
        <f>AJ45*AK14*(1-'Inputs'!$E$29*AK37)</f>
        <v>0.0003312308583360206</v>
      </c>
      <c r="AL46" s="38">
        <f>AK45*AL14*(1-'Inputs'!$E$29*AL37)</f>
        <v>0.0003190197508889952</v>
      </c>
      <c r="AM46" s="38">
        <f>AL45*AM14*(1-'Inputs'!$E$29*AM37)</f>
        <v>0.0003072297548459959</v>
      </c>
      <c r="AN46" s="38">
        <f>AM45*AN14*(1-'Inputs'!$E$29*AN37)</f>
        <v>0.00029584677257986976</v>
      </c>
      <c r="AO46" s="38">
        <f>AN45*AO14*(1-'Inputs'!$E$29*AO37)</f>
        <v>0.0002848571899420319</v>
      </c>
      <c r="AP46" s="38">
        <f>AO45*AP14*(1-'Inputs'!$E$29*AP37)</f>
        <v>0.00027424785688789303</v>
      </c>
      <c r="AQ46" s="38">
        <f>AP45*AQ14*(1-'Inputs'!$E$29*AQ37)</f>
        <v>0.00026400606923097984</v>
      </c>
    </row>
    <row r="47" ht="28" customHeight="1">
      <c r="A47" s="2" t="str">
        <v>DE.U.PLUS.Y4</v>
      </c>
      <c r="B47" s="6" t="str">
        <v>Germany: not yet identity-checked: Plus annual, plan month 5</v>
      </c>
      <c r="C47" s="2" t="str">
        <v>count</v>
      </c>
      <c r="D47" s="2" t="str">
        <v>NA</v>
      </c>
      <c r="E47" s="2"/>
      <c r="F47" s="6" t="str"/>
      <c r="G47" s="2"/>
      <c r="H47" s="38">
        <f>0*H14*(1-'Inputs'!$E$29*H37)</f>
        <v>0.0</v>
      </c>
      <c r="I47" s="38">
        <f>H46*I14*(1-'Inputs'!$E$29*I37)</f>
        <v>0.0</v>
      </c>
      <c r="J47" s="38">
        <f>I46*J14*(1-'Inputs'!$E$29*J37)</f>
        <v>0.0</v>
      </c>
      <c r="K47" s="38">
        <f>J46*K14*(1-'Inputs'!$E$29*K37)</f>
        <v>0.0</v>
      </c>
      <c r="L47" s="38">
        <f>K46*L14*(1-'Inputs'!$E$29*L37)</f>
        <v>0.007929861240234376</v>
      </c>
      <c r="M47" s="38">
        <f>L46*M14*(1-'Inputs'!$E$29*M37)</f>
        <v>0.0006686300400540819</v>
      </c>
      <c r="N47" s="38">
        <f>M46*N14*(1-'Inputs'!$E$29*N37)</f>
        <v>0.0006217444073731874</v>
      </c>
      <c r="O47" s="38">
        <f>N46*O14*(1-'Inputs'!$E$29*O37)</f>
        <v>0.0005770185443237724</v>
      </c>
      <c r="P47" s="38">
        <f>O46*P14*(1-'Inputs'!$E$29*P37)</f>
        <v>0.000534363453251549</v>
      </c>
      <c r="Q47" s="38">
        <f>P46*Q14*(1-'Inputs'!$E$29*Q37)</f>
        <v>0.0004936939833517333</v>
      </c>
      <c r="R47" s="38">
        <f>Q46*R14*(1-'Inputs'!$E$29*R37)</f>
        <v>0.0004672239820065749</v>
      </c>
      <c r="S47" s="38">
        <f>R46*S14*(1-'Inputs'!$E$29*S37)</f>
        <v>0.00044187435711815143</v>
      </c>
      <c r="T47" s="38">
        <f>S46*T14*(1-'Inputs'!$E$29*T37)</f>
        <v>0.00041760117011354134</v>
      </c>
      <c r="U47" s="38">
        <f>T46*U14*(1-'Inputs'!$E$29*U37)</f>
        <v>0.0004028129003352989</v>
      </c>
      <c r="V47" s="38">
        <f>U46*V14*(1-'Inputs'!$E$29*V37)</f>
        <v>0.00038853418823434424</v>
      </c>
      <c r="W47" s="38">
        <f>V46*W14*(1-'Inputs'!$E$29*W37)</f>
        <v>0.00037474730563715755</v>
      </c>
      <c r="X47" s="38">
        <f>W46*X14*(1-'Inputs'!$E$29*X37)</f>
        <v>0.0017952302025040926</v>
      </c>
      <c r="Y47" s="38">
        <f>X46*Y14*(1-'Inputs'!$E$29*Y37)</f>
        <v>0.00048091401299462516</v>
      </c>
      <c r="Z47" s="38">
        <f>Y46*Z14*(1-'Inputs'!$E$29*Z37)</f>
        <v>0.00046416262404104974</v>
      </c>
      <c r="AA47" s="38">
        <f>Z46*AA14*(1-'Inputs'!$E$29*AA37)</f>
        <v>0.000447976272708165</v>
      </c>
      <c r="AB47" s="38">
        <f>AA46*AB14*(1-'Inputs'!$E$29*AB37)</f>
        <v>0.0004323357566313519</v>
      </c>
      <c r="AC47" s="38">
        <f>AB46*AC14*(1-'Inputs'!$E$29*AC37)</f>
        <v>0.0004172225968125856</v>
      </c>
      <c r="AD47" s="38">
        <f>AC46*AD14*(1-'Inputs'!$E$29*AD37)</f>
        <v>0.00040261900086902545</v>
      </c>
      <c r="AE47" s="38">
        <f>AD46*AE14*(1-'Inputs'!$E$29*AE37)</f>
        <v>0.00038850782915441013</v>
      </c>
      <c r="AF47" s="38">
        <f>AE46*AF14*(1-'Inputs'!$E$29*AF37)</f>
        <v>0.0003748725634529803</v>
      </c>
      <c r="AG47" s="38">
        <f>AF46*AG14*(1-'Inputs'!$E$29*AG37)</f>
        <v>0.0003583840204724293</v>
      </c>
      <c r="AH47" s="38">
        <f>AG46*AH14*(1-'Inputs'!$E$29*AH37)</f>
        <v>0.00034252415192122346</v>
      </c>
      <c r="AI47" s="38">
        <f>AH46*AI14*(1-'Inputs'!$E$29*AI37)</f>
        <v>0.0003272704238806022</v>
      </c>
      <c r="AJ47" s="38">
        <f>AI46*AJ14*(1-'Inputs'!$E$29*AJ37)</f>
        <v>0.0006385077223078869</v>
      </c>
      <c r="AK47" s="38">
        <f>AJ46*AK14*(1-'Inputs'!$E$29*AK37)</f>
        <v>0.0003320150154724717</v>
      </c>
      <c r="AL47" s="38">
        <f>AK46*AL14*(1-'Inputs'!$E$29*AL37)</f>
        <v>0.0003197735286460369</v>
      </c>
      <c r="AM47" s="38">
        <f>AL46*AM14*(1-'Inputs'!$E$29*AM37)</f>
        <v>0.0003079544135030276</v>
      </c>
      <c r="AN47" s="38">
        <f>AM46*AN14*(1-'Inputs'!$E$29*AN37)</f>
        <v>0.00029654350250352644</v>
      </c>
      <c r="AO47" s="38">
        <f>AN46*AO14*(1-'Inputs'!$E$29*AO37)</f>
        <v>0.00028552711742146724</v>
      </c>
      <c r="AP47" s="38">
        <f>AO46*AP14*(1-'Inputs'!$E$29*AP37)</f>
        <v>0.0002748920493382577</v>
      </c>
      <c r="AQ47" s="38">
        <f>AP46*AQ14*(1-'Inputs'!$E$29*AQ37)</f>
        <v>0.0002646255398401885</v>
      </c>
    </row>
    <row r="48" ht="28" customHeight="1">
      <c r="A48" s="2" t="str">
        <v>DE.U.PLUS.Y5</v>
      </c>
      <c r="B48" s="6" t="str">
        <v>Germany: not yet identity-checked: Plus annual, plan month 6</v>
      </c>
      <c r="C48" s="2" t="str">
        <v>count</v>
      </c>
      <c r="D48" s="2" t="str">
        <v>NA</v>
      </c>
      <c r="E48" s="2"/>
      <c r="F48" s="6" t="str"/>
      <c r="G48" s="2"/>
      <c r="H48" s="38">
        <f>0*H14*(1-'Inputs'!$E$29*H37)</f>
        <v>0.0</v>
      </c>
      <c r="I48" s="38">
        <f>H47*I14*(1-'Inputs'!$E$29*I37)</f>
        <v>0.0</v>
      </c>
      <c r="J48" s="38">
        <f>I47*J14*(1-'Inputs'!$E$29*J37)</f>
        <v>0.0</v>
      </c>
      <c r="K48" s="38">
        <f>J47*K14*(1-'Inputs'!$E$29*K37)</f>
        <v>0.0</v>
      </c>
      <c r="L48" s="38">
        <f>K47*L14*(1-'Inputs'!$E$29*L37)</f>
        <v>0.0</v>
      </c>
      <c r="M48" s="38">
        <f>L47*M14*(1-'Inputs'!$E$29*M37)</f>
        <v>0.007267717826674804</v>
      </c>
      <c r="N48" s="38">
        <f>M47*N14*(1-'Inputs'!$E$29*N37)</f>
        <v>0.0006241732554760181</v>
      </c>
      <c r="O48" s="38">
        <f>N47*O14*(1-'Inputs'!$E$29*O37)</f>
        <v>0.0005792585395360196</v>
      </c>
      <c r="P48" s="38">
        <f>O47*P14*(1-'Inputs'!$E$29*P37)</f>
        <v>0.0005364259606823906</v>
      </c>
      <c r="Q48" s="38">
        <f>P47*Q14*(1-'Inputs'!$E$29*Q37)</f>
        <v>0.0004955895197534183</v>
      </c>
      <c r="R48" s="38">
        <f>Q47*R14*(1-'Inputs'!$E$29*R37)</f>
        <v>0.0004690092841841466</v>
      </c>
      <c r="S48" s="38">
        <f>R47*S14*(1-'Inputs'!$E$29*S37)</f>
        <v>0.00044355539870755763</v>
      </c>
      <c r="T48" s="38">
        <f>S47*T14*(1-'Inputs'!$E$29*T37)</f>
        <v>0.0004191835117526247</v>
      </c>
      <c r="U48" s="38">
        <f>T47*U14*(1-'Inputs'!$E$29*U37)</f>
        <v>0.00040433363293805905</v>
      </c>
      <c r="V48" s="38">
        <f>U47*V14*(1-'Inputs'!$E$29*V37)</f>
        <v>0.0003899961262337212</v>
      </c>
      <c r="W48" s="38">
        <f>V47*W14*(1-'Inputs'!$E$29*W37)</f>
        <v>0.00037615308117969345</v>
      </c>
      <c r="X48" s="38">
        <f>W47*X14*(1-'Inputs'!$E$29*X37)</f>
        <v>0.00036278728524448227</v>
      </c>
      <c r="Y48" s="38">
        <f>X47*Y14*(1-'Inputs'!$E$29*Y37)</f>
        <v>0.0017378469513883367</v>
      </c>
      <c r="Z48" s="38">
        <f>Y47*Z14*(1-'Inputs'!$E$29*Z37)</f>
        <v>0.0004655178449527109</v>
      </c>
      <c r="AA48" s="38">
        <f>Z47*AA14*(1-'Inputs'!$E$29*AA37)</f>
        <v>0.0004492791485962553</v>
      </c>
      <c r="AB48" s="38">
        <f>AA47*AB14*(1-'Inputs'!$E$29*AB37)</f>
        <v>0.0004335887135846911</v>
      </c>
      <c r="AC48" s="38">
        <f>AB47*AC14*(1-'Inputs'!$E$29*AC37)</f>
        <v>0.00041842789681324777</v>
      </c>
      <c r="AD48" s="38">
        <f>AC47*AD14*(1-'Inputs'!$E$29*AD37)</f>
        <v>0.00040377875758195787</v>
      </c>
      <c r="AE48" s="38">
        <f>AD47*AE14*(1-'Inputs'!$E$29*AE37)</f>
        <v>0.0003896240219230662</v>
      </c>
      <c r="AF48" s="38">
        <f>AE47*AF14*(1-'Inputs'!$E$29*AF37)</f>
        <v>0.0003759470497155833</v>
      </c>
      <c r="AG48" s="38">
        <f>AF47*AG14*(1-'Inputs'!$E$29*AG37)</f>
        <v>0.0003594090702105448</v>
      </c>
      <c r="AH48" s="38">
        <f>AG47*AH14*(1-'Inputs'!$E$29*AH37)</f>
        <v>0.00034350197216467587</v>
      </c>
      <c r="AI48" s="38">
        <f>AH47*AI14*(1-'Inputs'!$E$29*AI37)</f>
        <v>0.00032820309901762055</v>
      </c>
      <c r="AJ48" s="38">
        <f>AI47*AJ14*(1-'Inputs'!$E$29*AJ37)</f>
        <v>0.0003134906165593137</v>
      </c>
      <c r="AK48" s="38">
        <f>AJ47*AK14*(1-'Inputs'!$E$29*AK37)</f>
        <v>0.0006164812789652853</v>
      </c>
      <c r="AL48" s="38">
        <f>AK47*AL14*(1-'Inputs'!$E$29*AL37)</f>
        <v>0.00032053056165858777</v>
      </c>
      <c r="AM48" s="38">
        <f>AL47*AM14*(1-'Inputs'!$E$29*AM37)</f>
        <v>0.0003086820461540924</v>
      </c>
      <c r="AN48" s="38">
        <f>AM47*AN14*(1-'Inputs'!$E$29*AN37)</f>
        <v>0.0002972429556420527</v>
      </c>
      <c r="AO48" s="38">
        <f>AN47*AO14*(1-'Inputs'!$E$29*AO37)</f>
        <v>0.0002861995441814017</v>
      </c>
      <c r="AP48" s="38">
        <f>AO47*AP14*(1-'Inputs'!$E$29*AP37)</f>
        <v>0.0002755385407881224</v>
      </c>
      <c r="AQ48" s="38">
        <f>AP47*AQ14*(1-'Inputs'!$E$29*AQ37)</f>
        <v>0.0002652471300209585</v>
      </c>
    </row>
    <row r="49" ht="28" customHeight="1">
      <c r="A49" s="2" t="str">
        <v>DE.U.PLUS.Y6</v>
      </c>
      <c r="B49" s="6" t="str">
        <v>Germany: not yet identity-checked: Plus annual, plan month 7</v>
      </c>
      <c r="C49" s="2" t="str">
        <v>count</v>
      </c>
      <c r="D49" s="2" t="str">
        <v>NA</v>
      </c>
      <c r="E49" s="2"/>
      <c r="F49" s="6" t="str"/>
      <c r="G49" s="2"/>
      <c r="H49" s="38">
        <f>0*H14*(1-'Inputs'!$E$29*H37)</f>
        <v>0.0</v>
      </c>
      <c r="I49" s="38">
        <f>H48*I14*(1-'Inputs'!$E$29*I37)</f>
        <v>0.0</v>
      </c>
      <c r="J49" s="38">
        <f>I48*J14*(1-'Inputs'!$E$29*J37)</f>
        <v>0.0</v>
      </c>
      <c r="K49" s="38">
        <f>J48*K14*(1-'Inputs'!$E$29*K37)</f>
        <v>0.0</v>
      </c>
      <c r="L49" s="38">
        <f>K48*L14*(1-'Inputs'!$E$29*L37)</f>
        <v>0.0</v>
      </c>
      <c r="M49" s="38">
        <f>L48*M14*(1-'Inputs'!$E$29*M37)</f>
        <v>0.0</v>
      </c>
      <c r="N49" s="38">
        <f>M48*N14*(1-'Inputs'!$E$29*N37)</f>
        <v>0.006784491907348022</v>
      </c>
      <c r="O49" s="38">
        <f>N48*O14*(1-'Inputs'!$E$29*O37)</f>
        <v>0.0005815214163518235</v>
      </c>
      <c r="P49" s="38">
        <f>O48*P14*(1-'Inputs'!$E$29*P37)</f>
        <v>0.0005385083748361019</v>
      </c>
      <c r="Q49" s="38">
        <f>P48*Q14*(1-'Inputs'!$E$29*Q37)</f>
        <v>0.0004975023696328757</v>
      </c>
      <c r="R49" s="38">
        <f>Q48*R14*(1-'Inputs'!$E$29*R37)</f>
        <v>0.0004708100437657474</v>
      </c>
      <c r="S49" s="38">
        <f>R48*S14*(1-'Inputs'!$E$29*S37)</f>
        <v>0.0004452502612353444</v>
      </c>
      <c r="T49" s="38">
        <f>S48*T14*(1-'Inputs'!$E$29*T37)</f>
        <v>0.0004207782295847371</v>
      </c>
      <c r="U49" s="38">
        <f>T48*U14*(1-'Inputs'!$E$29*U37)</f>
        <v>0.00040586570226465067</v>
      </c>
      <c r="V49" s="38">
        <f>U48*V14*(1-'Inputs'!$E$29*V37)</f>
        <v>0.0003914684718900299</v>
      </c>
      <c r="W49" s="38">
        <f>V48*W14*(1-'Inputs'!$E$29*W37)</f>
        <v>0.00037756843277451284</v>
      </c>
      <c r="X49" s="38">
        <f>W48*X14*(1-'Inputs'!$E$29*X37)</f>
        <v>0.0003641481956101288</v>
      </c>
      <c r="Y49" s="38">
        <f>X48*Y14*(1-'Inputs'!$E$29*Y37)</f>
        <v>0.00035119104880541754</v>
      </c>
      <c r="Z49" s="38">
        <f>Y48*Z14*(1-'Inputs'!$E$29*Z37)</f>
        <v>0.0016822108439518038</v>
      </c>
      <c r="AA49" s="38">
        <f>Z48*AA14*(1-'Inputs'!$E$29*AA37)</f>
        <v>0.0004505909140547708</v>
      </c>
      <c r="AB49" s="38">
        <f>AA48*AB14*(1-'Inputs'!$E$29*AB37)</f>
        <v>0.00043484974528367485</v>
      </c>
      <c r="AC49" s="38">
        <f>AB48*AC14*(1-'Inputs'!$E$29*AC37)</f>
        <v>0.0004196405472469483</v>
      </c>
      <c r="AD49" s="38">
        <f>AC48*AD14*(1-'Inputs'!$E$29*AD37)</f>
        <v>0.0004049452201381542</v>
      </c>
      <c r="AE49" s="38">
        <f>AD48*AE14*(1-'Inputs'!$E$29*AE37)</f>
        <v>0.0003907463461898536</v>
      </c>
      <c r="AF49" s="38">
        <f>AE48*AF14*(1-'Inputs'!$E$29*AF37)</f>
        <v>0.00037702715504886176</v>
      </c>
      <c r="AG49" s="38">
        <f>AF48*AG14*(1-'Inputs'!$E$29*AG37)</f>
        <v>0.00036043923391481546</v>
      </c>
      <c r="AH49" s="38">
        <f>AG48*AH14*(1-'Inputs'!$E$29*AH37)</f>
        <v>0.00034448445627807293</v>
      </c>
      <c r="AI49" s="38">
        <f>AH48*AI14*(1-'Inputs'!$E$29*AI37)</f>
        <v>0.0003291400362595148</v>
      </c>
      <c r="AJ49" s="38">
        <f>AI48*AJ14*(1-'Inputs'!$E$29*AJ37)</f>
        <v>0.000314384021164247</v>
      </c>
      <c r="AK49" s="38">
        <f>AJ48*AK14*(1-'Inputs'!$E$29*AK37)</f>
        <v>0.0003026762081146945</v>
      </c>
      <c r="AL49" s="38">
        <f>AK48*AL14*(1-'Inputs'!$E$29*AL37)</f>
        <v>0.0005951570904633713</v>
      </c>
      <c r="AM49" s="38">
        <f>AL48*AM14*(1-'Inputs'!$E$29*AM37)</f>
        <v>0.00030941282115072783</v>
      </c>
      <c r="AN49" s="38">
        <f>AM48*AN14*(1-'Inputs'!$E$29*AN37)</f>
        <v>0.00029794527933134135</v>
      </c>
      <c r="AO49" s="38">
        <f>AN48*AO14*(1-'Inputs'!$E$29*AO37)</f>
        <v>0.0002868745991656872</v>
      </c>
      <c r="AP49" s="38">
        <f>AO48*AP14*(1-'Inputs'!$E$29*AP37)</f>
        <v>0.0002761874440863185</v>
      </c>
      <c r="AQ49" s="38">
        <f>AP48*AQ14*(1-'Inputs'!$E$29*AQ37)</f>
        <v>0.0002658709385380564</v>
      </c>
    </row>
    <row r="50" ht="28" customHeight="1">
      <c r="A50" s="2" t="str">
        <v>DE.U.PLUS.Y7</v>
      </c>
      <c r="B50" s="6" t="str">
        <v>Germany: not yet identity-checked: Plus annual, plan month 8</v>
      </c>
      <c r="C50" s="2" t="str">
        <v>count</v>
      </c>
      <c r="D50" s="2" t="str">
        <v>NA</v>
      </c>
      <c r="E50" s="2"/>
      <c r="F50" s="6" t="str"/>
      <c r="G50" s="2"/>
      <c r="H50" s="38">
        <f>0*H14*(1-'Inputs'!$E$29*H37)</f>
        <v>0.0</v>
      </c>
      <c r="I50" s="38">
        <f>H49*I14*(1-'Inputs'!$E$29*I37)</f>
        <v>0.0</v>
      </c>
      <c r="J50" s="38">
        <f>I49*J14*(1-'Inputs'!$E$29*J37)</f>
        <v>0.0</v>
      </c>
      <c r="K50" s="38">
        <f>J49*K14*(1-'Inputs'!$E$29*K37)</f>
        <v>0.0</v>
      </c>
      <c r="L50" s="38">
        <f>K49*L14*(1-'Inputs'!$E$29*L37)</f>
        <v>0.0</v>
      </c>
      <c r="M50" s="38">
        <f>L49*M14*(1-'Inputs'!$E$29*M37)</f>
        <v>0.0</v>
      </c>
      <c r="N50" s="38">
        <f>M49*N14*(1-'Inputs'!$E$29*N37)</f>
        <v>0.0</v>
      </c>
      <c r="O50" s="38">
        <f>N49*O14*(1-'Inputs'!$E$29*O37)</f>
        <v>0.006320884960345907</v>
      </c>
      <c r="P50" s="38">
        <f>O49*P14*(1-'Inputs'!$E$29*P37)</f>
        <v>0.000540612060899166</v>
      </c>
      <c r="Q50" s="38">
        <f>P49*Q14*(1-'Inputs'!$E$29*Q37)</f>
        <v>0.0004994336817839702</v>
      </c>
      <c r="R50" s="38">
        <f>Q49*R14*(1-'Inputs'!$E$29*R37)</f>
        <v>0.00047262725115123185</v>
      </c>
      <c r="S50" s="38">
        <f>R49*S14*(1-'Inputs'!$E$29*S37)</f>
        <v>0.0004469597981276141</v>
      </c>
      <c r="T50" s="38">
        <f>S49*T14*(1-'Inputs'!$E$29*T37)</f>
        <v>0.00042238605863136725</v>
      </c>
      <c r="U50" s="38">
        <f>T49*U14*(1-'Inputs'!$E$29*U37)</f>
        <v>0.0004074097545823053</v>
      </c>
      <c r="V50" s="38">
        <f>U49*V14*(1-'Inputs'!$E$29*V37)</f>
        <v>0.00039295179355622995</v>
      </c>
      <c r="W50" s="38">
        <f>V49*W14*(1-'Inputs'!$E$29*W37)</f>
        <v>0.0003789938603738159</v>
      </c>
      <c r="X50" s="38">
        <f>W49*X14*(1-'Inputs'!$E$29*X37)</f>
        <v>0.0003655183764093688</v>
      </c>
      <c r="Y50" s="38">
        <f>X49*Y14*(1-'Inputs'!$E$29*Y37)</f>
        <v>0.00035250845864330505</v>
      </c>
      <c r="Z50" s="38">
        <f>Y49*Z14*(1-'Inputs'!$E$29*Z37)</f>
        <v>0.00033994788213502833</v>
      </c>
      <c r="AA50" s="38">
        <f>Z49*AA14*(1-'Inputs'!$E$29*AA37)</f>
        <v>0.00162827038754248</v>
      </c>
      <c r="AB50" s="38">
        <f>AA49*AB14*(1-'Inputs'!$E$29*AB37)</f>
        <v>0.00043611938104863216</v>
      </c>
      <c r="AC50" s="38">
        <f>AB49*AC14*(1-'Inputs'!$E$29*AC37)</f>
        <v>0.00042086101266885074</v>
      </c>
      <c r="AD50" s="38">
        <f>AC49*AD14*(1-'Inputs'!$E$29*AD37)</f>
        <v>0.0004061187962801022</v>
      </c>
      <c r="AE50" s="38">
        <f>AD49*AE14*(1-'Inputs'!$E$29*AE37)</f>
        <v>0.00039187515986130705</v>
      </c>
      <c r="AF50" s="38">
        <f>AE49*AF14*(1-'Inputs'!$E$29*AF37)</f>
        <v>0.0003781131936438659</v>
      </c>
      <c r="AG50" s="38">
        <f>AF49*AG14*(1-'Inputs'!$E$29*AG37)</f>
        <v>0.0003614747849030962</v>
      </c>
      <c r="AH50" s="38">
        <f>AG49*AH14*(1-'Inputs'!$E$29*AH37)</f>
        <v>0.00034547184199801376</v>
      </c>
      <c r="AI50" s="38">
        <f>AH49*AI14*(1-'Inputs'!$E$29*AI37)</f>
        <v>0.00033008144237334317</v>
      </c>
      <c r="AJ50" s="38">
        <f>AI49*AJ14*(1-'Inputs'!$E$29*AJ37)</f>
        <v>0.0003152815084170089</v>
      </c>
      <c r="AK50" s="38">
        <f>AJ49*AK14*(1-'Inputs'!$E$29*AK37)</f>
        <v>0.00030353879316142196</v>
      </c>
      <c r="AL50" s="38">
        <f>AK49*AL14*(1-'Inputs'!$E$29*AL37)</f>
        <v>0.0002922065884569567</v>
      </c>
      <c r="AM50" s="38">
        <f>AL49*AM14*(1-'Inputs'!$E$29*AM37)</f>
        <v>0.0005745138105871997</v>
      </c>
      <c r="AN50" s="38">
        <f>AM49*AN14*(1-'Inputs'!$E$29*AN37)</f>
        <v>0.00029865063606722425</v>
      </c>
      <c r="AO50" s="38">
        <f>AN49*AO14*(1-'Inputs'!$E$29*AO37)</f>
        <v>0.00028755242457088155</v>
      </c>
      <c r="AP50" s="38">
        <f>AO49*AP14*(1-'Inputs'!$E$29*AP37)</f>
        <v>0.00027683888366586364</v>
      </c>
      <c r="AQ50" s="38">
        <f>AP49*AQ14*(1-'Inputs'!$E$29*AQ37)</f>
        <v>0.00026649707428087613</v>
      </c>
    </row>
    <row r="51" ht="28" customHeight="1">
      <c r="A51" s="2" t="str">
        <v>DE.U.PLUS.Y8</v>
      </c>
      <c r="B51" s="6" t="str">
        <v>Germany: not yet identity-checked: Plus annual, plan month 9</v>
      </c>
      <c r="C51" s="2" t="str">
        <v>count</v>
      </c>
      <c r="D51" s="2" t="str">
        <v>NA</v>
      </c>
      <c r="E51" s="2"/>
      <c r="F51" s="6" t="str"/>
      <c r="G51" s="2"/>
      <c r="H51" s="38">
        <f>0*H14*(1-'Inputs'!$E$29*H37)</f>
        <v>0.0</v>
      </c>
      <c r="I51" s="38">
        <f>H50*I14*(1-'Inputs'!$E$29*I37)</f>
        <v>0.0</v>
      </c>
      <c r="J51" s="38">
        <f>I50*J14*(1-'Inputs'!$E$29*J37)</f>
        <v>0.0</v>
      </c>
      <c r="K51" s="38">
        <f>J50*K14*(1-'Inputs'!$E$29*K37)</f>
        <v>0.0</v>
      </c>
      <c r="L51" s="38">
        <f>K50*L14*(1-'Inputs'!$E$29*L37)</f>
        <v>0.0</v>
      </c>
      <c r="M51" s="38">
        <f>L50*M14*(1-'Inputs'!$E$29*M37)</f>
        <v>0.0</v>
      </c>
      <c r="N51" s="38">
        <f>M50*N14*(1-'Inputs'!$E$29*N37)</f>
        <v>0.0</v>
      </c>
      <c r="O51" s="38">
        <f>N50*O14*(1-'Inputs'!$E$29*O37)</f>
        <v>0.0</v>
      </c>
      <c r="P51" s="38">
        <f>O50*P14*(1-'Inputs'!$E$29*P37)</f>
        <v>0.005876218053251805</v>
      </c>
      <c r="Q51" s="38">
        <f>P50*Q14*(1-'Inputs'!$E$29*Q37)</f>
        <v>0.0005013847223339216</v>
      </c>
      <c r="R51" s="38">
        <f>Q50*R14*(1-'Inputs'!$E$29*R37)</f>
        <v>0.00047446199769477166</v>
      </c>
      <c r="S51" s="38">
        <f>R50*S14*(1-'Inputs'!$E$29*S37)</f>
        <v>0.0004486849496126497</v>
      </c>
      <c r="T51" s="38">
        <f>S50*T14*(1-'Inputs'!$E$29*T37)</f>
        <v>0.0004240078084940339</v>
      </c>
      <c r="U51" s="38">
        <f>T50*U14*(1-'Inputs'!$E$29*U37)</f>
        <v>0.0004089665015602665</v>
      </c>
      <c r="V51" s="38">
        <f>U50*V14*(1-'Inputs'!$E$29*V37)</f>
        <v>0.00039444671693650464</v>
      </c>
      <c r="W51" s="38">
        <f>V50*W14*(1-'Inputs'!$E$29*W37)</f>
        <v>0.0003804299142193149</v>
      </c>
      <c r="X51" s="38">
        <f>W50*X14*(1-'Inputs'!$E$29*X37)</f>
        <v>0.00036689831163848135</v>
      </c>
      <c r="Y51" s="38">
        <f>X50*Y14*(1-'Inputs'!$E$29*Y37)</f>
        <v>0.00035383484259199794</v>
      </c>
      <c r="Z51" s="38">
        <f>Y50*Z14*(1-'Inputs'!$E$29*Z37)</f>
        <v>0.0003412231159025661</v>
      </c>
      <c r="AA51" s="38">
        <f>Z50*AA14*(1-'Inputs'!$E$29*AA37)</f>
        <v>0.0003290473793926552</v>
      </c>
      <c r="AB51" s="38">
        <f>AA50*AB14*(1-'Inputs'!$E$29*AB37)</f>
        <v>0.001575975572176152</v>
      </c>
      <c r="AC51" s="38">
        <f>AB50*AC14*(1-'Inputs'!$E$29*AC37)</f>
        <v>0.0004220898053715162</v>
      </c>
      <c r="AD51" s="38">
        <f>AC50*AD14*(1-'Inputs'!$E$29*AD37)</f>
        <v>0.00040729993559396555</v>
      </c>
      <c r="AE51" s="38">
        <f>AD50*AE14*(1-'Inputs'!$E$29*AE37)</f>
        <v>0.00039301085751956903</v>
      </c>
      <c r="AF51" s="38">
        <f>AE50*AF14*(1-'Inputs'!$E$29*AF37)</f>
        <v>0.0003792055118357159</v>
      </c>
      <c r="AG51" s="38">
        <f>AF50*AG14*(1-'Inputs'!$E$29*AG37)</f>
        <v>0.00036251602440605634</v>
      </c>
      <c r="AH51" s="38">
        <f>AG50*AH14*(1-'Inputs'!$E$29*AH37)</f>
        <v>0.0003464643912927134</v>
      </c>
      <c r="AI51" s="38">
        <f>AH50*AI14*(1-'Inputs'!$E$29*AI37)</f>
        <v>0.0003310275451558554</v>
      </c>
      <c r="AJ51" s="38">
        <f>AI50*AJ14*(1-'Inputs'!$E$29*AJ37)</f>
        <v>0.00031618327637867607</v>
      </c>
      <c r="AK51" s="38">
        <f>AJ50*AK14*(1-'Inputs'!$E$29*AK37)</f>
        <v>0.0003044053200178832</v>
      </c>
      <c r="AL51" s="38">
        <f>AK50*AL14*(1-'Inputs'!$E$29*AL37)</f>
        <v>0.00029303933654551047</v>
      </c>
      <c r="AM51" s="38">
        <f>AL50*AM14*(1-'Inputs'!$E$29*AM37)</f>
        <v>0.00028207127715203413</v>
      </c>
      <c r="AN51" s="38">
        <f>AM50*AN14*(1-'Inputs'!$E$29*AN37)</f>
        <v>0.0005545307215232971</v>
      </c>
      <c r="AO51" s="38">
        <f>AN50*AO14*(1-'Inputs'!$E$29*AO37)</f>
        <v>0.0002882331772246766</v>
      </c>
      <c r="AP51" s="38">
        <f>AO50*AP14*(1-'Inputs'!$E$29*AP37)</f>
        <v>0.00027749299674886265</v>
      </c>
      <c r="AQ51" s="38">
        <f>AP50*AQ14*(1-'Inputs'!$E$29*AQ37)</f>
        <v>0.0002671256573165527</v>
      </c>
    </row>
    <row r="52" ht="28" customHeight="1">
      <c r="A52" s="2" t="str">
        <v>DE.U.PLUS.Y9</v>
      </c>
      <c r="B52" s="6" t="str">
        <v>Germany: not yet identity-checked: Plus annual, plan month 10</v>
      </c>
      <c r="C52" s="2" t="str">
        <v>count</v>
      </c>
      <c r="D52" s="2" t="str">
        <v>NA</v>
      </c>
      <c r="E52" s="2"/>
      <c r="F52" s="6" t="str"/>
      <c r="G52" s="2"/>
      <c r="H52" s="38">
        <f>0*H14*(1-'Inputs'!$E$29*H37)</f>
        <v>0.0</v>
      </c>
      <c r="I52" s="38">
        <f>H51*I14*(1-'Inputs'!$E$29*I37)</f>
        <v>0.0</v>
      </c>
      <c r="J52" s="38">
        <f>I51*J14*(1-'Inputs'!$E$29*J37)</f>
        <v>0.0</v>
      </c>
      <c r="K52" s="38">
        <f>J51*K14*(1-'Inputs'!$E$29*K37)</f>
        <v>0.0</v>
      </c>
      <c r="L52" s="38">
        <f>K51*L14*(1-'Inputs'!$E$29*L37)</f>
        <v>0.0</v>
      </c>
      <c r="M52" s="38">
        <f>L51*M14*(1-'Inputs'!$E$29*M37)</f>
        <v>0.0</v>
      </c>
      <c r="N52" s="38">
        <f>M51*N14*(1-'Inputs'!$E$29*N37)</f>
        <v>0.0</v>
      </c>
      <c r="O52" s="38">
        <f>N51*O14*(1-'Inputs'!$E$29*O37)</f>
        <v>0.0</v>
      </c>
      <c r="P52" s="38">
        <f>O51*P14*(1-'Inputs'!$E$29*P37)</f>
        <v>0.0</v>
      </c>
      <c r="Q52" s="38">
        <f>P51*Q14*(1-'Inputs'!$E$29*Q37)</f>
        <v>0.005449833938412193</v>
      </c>
      <c r="R52" s="38">
        <f>Q51*R14*(1-'Inputs'!$E$29*R37)</f>
        <v>0.0004763154862172255</v>
      </c>
      <c r="S52" s="38">
        <f>R51*S14*(1-'Inputs'!$E$29*S37)</f>
        <v>0.00045042675175891806</v>
      </c>
      <c r="T52" s="38">
        <f>S51*T14*(1-'Inputs'!$E$29*T37)</f>
        <v>0.00042564437111902714</v>
      </c>
      <c r="U52" s="38">
        <f>T51*U14*(1-'Inputs'!$E$29*U37)</f>
        <v>0.000410536727078338</v>
      </c>
      <c r="V52" s="38">
        <f>U51*V14*(1-'Inputs'!$E$29*V37)</f>
        <v>0.0003959539310560762</v>
      </c>
      <c r="W52" s="38">
        <f>V51*W14*(1-'Inputs'!$E$29*W37)</f>
        <v>0.00038187720007638014</v>
      </c>
      <c r="X52" s="38">
        <f>W51*X14*(1-'Inputs'!$E$29*X37)</f>
        <v>0.00036828853397827293</v>
      </c>
      <c r="Y52" s="38">
        <f>X51*Y14*(1-'Inputs'!$E$29*Y37)</f>
        <v>0.0003551706691771799</v>
      </c>
      <c r="Z52" s="38">
        <f>Y51*Z14*(1-'Inputs'!$E$29*Z37)</f>
        <v>0.0003425070364802397</v>
      </c>
      <c r="AA52" s="38">
        <f>Z51*AA14*(1-'Inputs'!$E$29*AA37)</f>
        <v>0.00033028172251221215</v>
      </c>
      <c r="AB52" s="38">
        <f>AA51*AB14*(1-'Inputs'!$E$29*AB37)</f>
        <v>0.0003184794343610663</v>
      </c>
      <c r="AC52" s="38">
        <f>AB51*AC14*(1-'Inputs'!$E$29*AC37)</f>
        <v>0.0015252778285859264</v>
      </c>
      <c r="AD52" s="38">
        <f>AC51*AD14*(1-'Inputs'!$E$29*AD37)</f>
        <v>0.00040848913386510064</v>
      </c>
      <c r="AE52" s="38">
        <f>AD51*AE14*(1-'Inputs'!$E$29*AE37)</f>
        <v>0.00039415387423990655</v>
      </c>
      <c r="AF52" s="38">
        <f>AE51*AF14*(1-'Inputs'!$E$29*AF37)</f>
        <v>0.00038030449144938746</v>
      </c>
      <c r="AG52" s="38">
        <f>AF51*AG14*(1-'Inputs'!$E$29*AG37)</f>
        <v>0.0003635632844724926</v>
      </c>
      <c r="AH52" s="38">
        <f>AG51*AH14*(1-'Inputs'!$E$29*AH37)</f>
        <v>0.0003474623928841099</v>
      </c>
      <c r="AI52" s="38">
        <f>AH51*AI14*(1-'Inputs'!$E$29*AI37)</f>
        <v>0.0003319785956222853</v>
      </c>
      <c r="AJ52" s="38">
        <f>AI51*AJ14*(1-'Inputs'!$E$29*AJ37)</f>
        <v>0.0003170895432545562</v>
      </c>
      <c r="AK52" s="38">
        <f>AJ51*AK14*(1-'Inputs'!$E$29*AK37)</f>
        <v>0.00030527597991269085</v>
      </c>
      <c r="AL52" s="38">
        <f>AK51*AL14*(1-'Inputs'!$E$29*AL37)</f>
        <v>0.00029387589009595313</v>
      </c>
      <c r="AM52" s="38">
        <f>AL51*AM14*(1-'Inputs'!$E$29*AM37)</f>
        <v>0.0002828751410146686</v>
      </c>
      <c r="AN52" s="38">
        <f>AM51*AN14*(1-'Inputs'!$E$29*AN37)</f>
        <v>0.00027226010229457204</v>
      </c>
      <c r="AO52" s="38">
        <f>AN51*AO14*(1-'Inputs'!$E$29*AO37)</f>
        <v>0.0005351877157809725</v>
      </c>
      <c r="AP52" s="38">
        <f>AO51*AP14*(1-'Inputs'!$E$29*AP37)</f>
        <v>0.00027814993467671433</v>
      </c>
      <c r="AQ52" s="38">
        <f>AP51*AQ14*(1-'Inputs'!$E$29*AQ37)</f>
        <v>0.0002677568200525879</v>
      </c>
    </row>
    <row r="53" ht="28" customHeight="1">
      <c r="A53" s="2" t="str">
        <v>DE.U.PLUS.Y10</v>
      </c>
      <c r="B53" s="6" t="str">
        <v>Germany: not yet identity-checked: Plus annual, plan month 11</v>
      </c>
      <c r="C53" s="2" t="str">
        <v>count</v>
      </c>
      <c r="D53" s="2" t="str">
        <v>NA</v>
      </c>
      <c r="E53" s="2"/>
      <c r="F53" s="6" t="str"/>
      <c r="G53" s="2"/>
      <c r="H53" s="38">
        <f>0*H14*(1-'Inputs'!$E$29*H37)</f>
        <v>0.0</v>
      </c>
      <c r="I53" s="38">
        <f>H52*I14*(1-'Inputs'!$E$29*I37)</f>
        <v>0.0</v>
      </c>
      <c r="J53" s="38">
        <f>I52*J14*(1-'Inputs'!$E$29*J37)</f>
        <v>0.0</v>
      </c>
      <c r="K53" s="38">
        <f>J52*K14*(1-'Inputs'!$E$29*K37)</f>
        <v>0.0</v>
      </c>
      <c r="L53" s="38">
        <f>K52*L14*(1-'Inputs'!$E$29*L37)</f>
        <v>0.0</v>
      </c>
      <c r="M53" s="38">
        <f>L52*M14*(1-'Inputs'!$E$29*M37)</f>
        <v>0.0</v>
      </c>
      <c r="N53" s="38">
        <f>M52*N14*(1-'Inputs'!$E$29*N37)</f>
        <v>0.0</v>
      </c>
      <c r="O53" s="38">
        <f>N52*O14*(1-'Inputs'!$E$29*O37)</f>
        <v>0.0</v>
      </c>
      <c r="P53" s="38">
        <f>O52*P14*(1-'Inputs'!$E$29*P37)</f>
        <v>0.0</v>
      </c>
      <c r="Q53" s="38">
        <f>P52*Q14*(1-'Inputs'!$E$29*Q37)</f>
        <v>0.0</v>
      </c>
      <c r="R53" s="38">
        <f>Q52*R14*(1-'Inputs'!$E$29*R37)</f>
        <v>0.005177342241491583</v>
      </c>
      <c r="S53" s="38">
        <f>R52*S14*(1-'Inputs'!$E$29*S37)</f>
        <v>0.00045218634645490555</v>
      </c>
      <c r="T53" s="38">
        <f>S52*T14*(1-'Inputs'!$E$29*T37)</f>
        <v>0.0004272967293712979</v>
      </c>
      <c r="U53" s="38">
        <f>T52*U14*(1-'Inputs'!$E$29*U37)</f>
        <v>0.0004121212947449331</v>
      </c>
      <c r="V53" s="38">
        <f>U52*V14*(1-'Inputs'!$E$29*V37)</f>
        <v>0.00039747419485311816</v>
      </c>
      <c r="W53" s="38">
        <f>V52*W14*(1-'Inputs'!$E$29*W37)</f>
        <v>0.00038333638501362023</v>
      </c>
      <c r="X53" s="38">
        <f>W52*X14*(1-'Inputs'!$E$29*X37)</f>
        <v>0.0003696896298611765</v>
      </c>
      <c r="Y53" s="38">
        <f>X52*Y14*(1-'Inputs'!$E$29*Y37)</f>
        <v>0.000356516454052896</v>
      </c>
      <c r="Z53" s="38">
        <f>Y52*Z14*(1-'Inputs'!$E$29*Z37)</f>
        <v>0.00034380009739416945</v>
      </c>
      <c r="AA53" s="38">
        <f>Z52*AA14*(1-'Inputs'!$E$29*AA37)</f>
        <v>0.00033152447389744947</v>
      </c>
      <c r="AB53" s="38">
        <f>AA52*AB14*(1-'Inputs'!$E$29*AB37)</f>
        <v>0.0003196741343439367</v>
      </c>
      <c r="AC53" s="38">
        <f>AB52*AC14*(1-'Inputs'!$E$29*AC37)</f>
        <v>0.0003082342319689364</v>
      </c>
      <c r="AD53" s="38">
        <f>AC52*AD14*(1-'Inputs'!$E$29*AD37)</f>
        <v>0.0014761299874426021</v>
      </c>
      <c r="AE53" s="38">
        <f>AD52*AE14*(1-'Inputs'!$E$29*AE37)</f>
        <v>0.0003953046898056487</v>
      </c>
      <c r="AF53" s="38">
        <f>AE52*AF14*(1-'Inputs'!$E$29*AF37)</f>
        <v>0.0003814105534938043</v>
      </c>
      <c r="AG53" s="38">
        <f>AF52*AG14*(1-'Inputs'!$E$29*AG37)</f>
        <v>0.00036461693117710017</v>
      </c>
      <c r="AH53" s="38">
        <f>AG52*AH14*(1-'Inputs'!$E$29*AH37)</f>
        <v>0.0003484661650325331</v>
      </c>
      <c r="AI53" s="38">
        <f>AH52*AI14*(1-'Inputs'!$E$29*AI37)</f>
        <v>0.000332934870423007</v>
      </c>
      <c r="AJ53" s="38">
        <f>AI52*AJ14*(1-'Inputs'!$E$29*AJ37)</f>
        <v>0.00031800054949082066</v>
      </c>
      <c r="AK53" s="38">
        <f>AJ52*AK14*(1-'Inputs'!$E$29*AK37)</f>
        <v>0.0003061509835237781</v>
      </c>
      <c r="AL53" s="38">
        <f>AK52*AL14*(1-'Inputs'!$E$29*AL37)</f>
        <v>0.00029471643372226827</v>
      </c>
      <c r="AM53" s="38">
        <f>AL52*AM14*(1-'Inputs'!$E$29*AM37)</f>
        <v>0.0002836826783451084</v>
      </c>
      <c r="AN53" s="38">
        <f>AM52*AN14*(1-'Inputs'!$E$29*AN37)</f>
        <v>0.000273036005675028</v>
      </c>
      <c r="AO53" s="38">
        <f>AN52*AO14*(1-'Inputs'!$E$29*AO37)</f>
        <v>0.00026276319163176303</v>
      </c>
      <c r="AP53" s="38">
        <f>AO52*AP14*(1-'Inputs'!$E$29*AP37)</f>
        <v>0.0005164652786248122</v>
      </c>
      <c r="AQ53" s="38">
        <f>AP52*AQ14*(1-'Inputs'!$E$29*AQ37)</f>
        <v>0.0002683907085203848</v>
      </c>
    </row>
    <row r="54" ht="28" customHeight="1">
      <c r="A54" s="2" t="str">
        <v>DE.U.PLUS.Y11</v>
      </c>
      <c r="B54" s="6" t="str">
        <v>Germany: not yet identity-checked: Plus annual, plan month 12</v>
      </c>
      <c r="C54" s="2" t="str">
        <v>count</v>
      </c>
      <c r="D54" s="2" t="str">
        <v>NA</v>
      </c>
      <c r="E54" s="2"/>
      <c r="F54" s="6" t="str"/>
      <c r="G54" s="2"/>
      <c r="H54" s="38">
        <f>0*H14*(1-'Inputs'!$E$29*H37)</f>
        <v>0.0</v>
      </c>
      <c r="I54" s="38">
        <f>H53*I14*(1-'Inputs'!$E$29*I37)</f>
        <v>0.0</v>
      </c>
      <c r="J54" s="38">
        <f>I53*J14*(1-'Inputs'!$E$29*J37)</f>
        <v>0.0</v>
      </c>
      <c r="K54" s="38">
        <f>J53*K14*(1-'Inputs'!$E$29*K37)</f>
        <v>0.0</v>
      </c>
      <c r="L54" s="38">
        <f>K53*L14*(1-'Inputs'!$E$29*L37)</f>
        <v>0.0</v>
      </c>
      <c r="M54" s="38">
        <f>L53*M14*(1-'Inputs'!$E$29*M37)</f>
        <v>0.0</v>
      </c>
      <c r="N54" s="38">
        <f>M53*N14*(1-'Inputs'!$E$29*N37)</f>
        <v>0.0</v>
      </c>
      <c r="O54" s="38">
        <f>N53*O14*(1-'Inputs'!$E$29*O37)</f>
        <v>0.0</v>
      </c>
      <c r="P54" s="38">
        <f>O53*P14*(1-'Inputs'!$E$29*P37)</f>
        <v>0.0</v>
      </c>
      <c r="Q54" s="38">
        <f>P53*Q14*(1-'Inputs'!$E$29*Q37)</f>
        <v>0.0</v>
      </c>
      <c r="R54" s="38">
        <f>Q53*R14*(1-'Inputs'!$E$29*R37)</f>
        <v>0.0</v>
      </c>
      <c r="S54" s="38">
        <f>R53*S14*(1-'Inputs'!$E$29*S37)</f>
        <v>0.004915068983205497</v>
      </c>
      <c r="T54" s="38">
        <f>S53*T14*(1-'Inputs'!$E$29*T37)</f>
        <v>0.00042896596650181576</v>
      </c>
      <c r="U54" s="38">
        <f>T53*U14*(1-'Inputs'!$E$29*U37)</f>
        <v>0.000413721156198564</v>
      </c>
      <c r="V54" s="38">
        <f>U53*V14*(1-'Inputs'!$E$29*V37)</f>
        <v>0.0003990083444575943</v>
      </c>
      <c r="W54" s="38">
        <f>V53*W14*(1-'Inputs'!$E$29*W37)</f>
        <v>0.00038480820378473534</v>
      </c>
      <c r="X54" s="38">
        <f>W53*X14*(1-'Inputs'!$E$29*X37)</f>
        <v>0.000371102245066377</v>
      </c>
      <c r="Y54" s="38">
        <f>X53*Y14*(1-'Inputs'!$E$29*Y37)</f>
        <v>0.0003578727649066853</v>
      </c>
      <c r="Z54" s="38">
        <f>Y53*Z14*(1-'Inputs'!$E$29*Z37)</f>
        <v>0.0003451027977900515</v>
      </c>
      <c r="AA54" s="38">
        <f>Z53*AA14*(1-'Inputs'!$E$29*AA37)</f>
        <v>0.00033277607253207384</v>
      </c>
      <c r="AB54" s="38">
        <f>AA53*AB14*(1-'Inputs'!$E$29*AB37)</f>
        <v>0.00032087697254599854</v>
      </c>
      <c r="AC54" s="38">
        <f>AB53*AC14*(1-'Inputs'!$E$29*AC37)</f>
        <v>0.0003093904995075049</v>
      </c>
      <c r="AD54" s="38">
        <f>AC53*AD14*(1-'Inputs'!$E$29*AD37)</f>
        <v>0.0002983022400499373</v>
      </c>
      <c r="AE54" s="38">
        <f>AD53*AE14*(1-'Inputs'!$E$29*AE37)</f>
        <v>0.0014284862397135778</v>
      </c>
      <c r="AF54" s="38">
        <f>AE53*AF14*(1-'Inputs'!$E$29*AF37)</f>
        <v>0.00038252416224050366</v>
      </c>
      <c r="AG54" s="38">
        <f>AF53*AG14*(1-'Inputs'!$E$29*AG37)</f>
        <v>0.0003656773681621848</v>
      </c>
      <c r="AH54" s="38">
        <f>AG53*AH14*(1-'Inputs'!$E$29*AH37)</f>
        <v>0.00034947605861127137</v>
      </c>
      <c r="AI54" s="38">
        <f>AH53*AI14*(1-'Inputs'!$E$29*AI37)</f>
        <v>0.0003338966745117763</v>
      </c>
      <c r="AJ54" s="38">
        <f>AI53*AJ14*(1-'Inputs'!$E$29*AJ37)</f>
        <v>0.0003189165600894067</v>
      </c>
      <c r="AK54" s="38">
        <f>AJ53*AK14*(1-'Inputs'!$E$29*AK37)</f>
        <v>0.0003070305630027039</v>
      </c>
      <c r="AL54" s="38">
        <f>AK53*AL14*(1-'Inputs'!$E$29*AL37)</f>
        <v>0.0002955611708150048</v>
      </c>
      <c r="AM54" s="38">
        <f>AL53*AM14*(1-'Inputs'!$E$29*AM37)</f>
        <v>0.00028449406735392137</v>
      </c>
      <c r="AN54" s="38">
        <f>AM53*AN14*(1-'Inputs'!$E$29*AN37)</f>
        <v>0.0002738154547504959</v>
      </c>
      <c r="AO54" s="38">
        <f>AN53*AO14*(1-'Inputs'!$E$29*AO37)</f>
        <v>0.0002635120301392352</v>
      </c>
      <c r="AP54" s="38">
        <f>AO53*AP14*(1-'Inputs'!$E$29*AP37)</f>
        <v>0.00025357096393816036</v>
      </c>
      <c r="AQ54" s="38">
        <f>AP53*AQ14*(1-'Inputs'!$E$29*AQ37)</f>
        <v>0.0004983444710040967</v>
      </c>
    </row>
    <row r="55" ht="28" customHeight="1">
      <c r="A55" s="2" t="str">
        <v>DE.U.PRO.Y0</v>
      </c>
      <c r="B55" s="6" t="str">
        <v>Germany: not yet identity-checked: Pro annual, plan month 1</v>
      </c>
      <c r="C55" s="2" t="str">
        <v>count</v>
      </c>
      <c r="D55" s="2" t="str">
        <v>NA</v>
      </c>
      <c r="E55" s="2"/>
      <c r="F55" s="6" t="str"/>
      <c r="G55" s="2"/>
      <c r="H55" s="38">
        <f>(H40*'Inputs'!$E$19*'Inputs'!$E$22+0*H14*'Inputs'!$E$24)*(1-'Inputs'!$E$29*H37)* (1-H37)</f>
        <v>0.0</v>
      </c>
      <c r="I55" s="38">
        <f>(I40*'Inputs'!$E$19*'Inputs'!$E$22+H66*I14*'Inputs'!$E$24)*(1-'Inputs'!$E$29*I37)* (1-I37)</f>
        <v>0.0</v>
      </c>
      <c r="J55" s="38">
        <f>(J40*'Inputs'!$E$19*'Inputs'!$E$22+I66*J14*'Inputs'!$E$24)*(1-'Inputs'!$E$29*J37)* (1-J37)</f>
        <v>0.0</v>
      </c>
      <c r="K55" s="38">
        <f>(K40*'Inputs'!$E$19*'Inputs'!$E$22+J66*K14*'Inputs'!$E$24)*(1-'Inputs'!$E$29*K37)* (1-K37)</f>
        <v>0.0</v>
      </c>
      <c r="L55" s="38">
        <f>(L40*'Inputs'!$E$19*'Inputs'!$E$22+K66*L14*'Inputs'!$E$24)*(1-'Inputs'!$E$29*L37)* (1-L37)</f>
        <v>0.0</v>
      </c>
      <c r="M55" s="38">
        <f>(M40*'Inputs'!$E$19*'Inputs'!$E$22+L66*M14*'Inputs'!$E$24)*(1-'Inputs'!$E$29*M37)* (1-M37)</f>
        <v>0.0</v>
      </c>
      <c r="N55" s="38">
        <f>(N40*'Inputs'!$E$19*'Inputs'!$E$22+M66*N14*'Inputs'!$E$24)*(1-'Inputs'!$E$29*N37)* (1-N37)</f>
        <v>0.0</v>
      </c>
      <c r="O55" s="38">
        <f>(O40*'Inputs'!$E$19*'Inputs'!$E$22+N66*O14*'Inputs'!$E$24)*(1-'Inputs'!$E$29*O37)* (1-O37)</f>
        <v>0.0</v>
      </c>
      <c r="P55" s="38">
        <f>(P40*'Inputs'!$E$19*'Inputs'!$E$22+O66*P14*'Inputs'!$E$24)*(1-'Inputs'!$E$29*P37)* (1-P37)</f>
        <v>0.0</v>
      </c>
      <c r="Q55" s="38">
        <f>(Q40*'Inputs'!$E$19*'Inputs'!$E$22+P66*Q14*'Inputs'!$E$24)*(1-'Inputs'!$E$29*Q37)* (1-Q37)</f>
        <v>0.0</v>
      </c>
      <c r="R55" s="38">
        <f>(R40*'Inputs'!$E$19*'Inputs'!$E$22+Q66*R14*'Inputs'!$E$24)*(1-'Inputs'!$E$29*R37)* (1-R37)</f>
        <v>0.0</v>
      </c>
      <c r="S55" s="38">
        <f>(S40*'Inputs'!$E$19*'Inputs'!$E$22+R66*S14*'Inputs'!$E$24)*(1-'Inputs'!$E$29*S37)* (1-S37)</f>
        <v>0.0</v>
      </c>
      <c r="T55" s="38">
        <f>(T40*'Inputs'!$E$19*'Inputs'!$E$22+S66*T14*'Inputs'!$E$24)*(1-'Inputs'!$E$29*T37)* (1-T37)</f>
        <v>0.0</v>
      </c>
      <c r="U55" s="38">
        <f>(U40*'Inputs'!$E$19*'Inputs'!$E$22+T66*U14*'Inputs'!$E$24)*(1-'Inputs'!$E$29*U37)* (1-U37)</f>
        <v>0.0</v>
      </c>
      <c r="V55" s="38">
        <f>(V40*'Inputs'!$E$19*'Inputs'!$E$22+U66*V14*'Inputs'!$E$24)*(1-'Inputs'!$E$29*V37)* (1-V37)</f>
        <v>0.0</v>
      </c>
      <c r="W55" s="38">
        <f>(W40*'Inputs'!$E$19*'Inputs'!$E$22+V66*W14*'Inputs'!$E$24)*(1-'Inputs'!$E$29*W37)* (1-W37)</f>
        <v>0.0</v>
      </c>
      <c r="X55" s="38">
        <f>(X40*'Inputs'!$E$19*'Inputs'!$E$22+W66*X14*'Inputs'!$E$24)*(1-'Inputs'!$E$29*X37)* (1-X37)</f>
        <v>0.0</v>
      </c>
      <c r="Y55" s="38">
        <f>(Y40*'Inputs'!$E$19*'Inputs'!$E$22+X66*Y14*'Inputs'!$E$24)*(1-'Inputs'!$E$29*Y37)* (1-Y37)</f>
        <v>0.0</v>
      </c>
      <c r="Z55" s="38">
        <f>(Z40*'Inputs'!$E$19*'Inputs'!$E$22+Y66*Z14*'Inputs'!$E$24)*(1-'Inputs'!$E$29*Z37)* (1-Z37)</f>
        <v>0.0</v>
      </c>
      <c r="AA55" s="38">
        <f>(AA40*'Inputs'!$E$19*'Inputs'!$E$22+Z66*AA14*'Inputs'!$E$24)*(1-'Inputs'!$E$29*AA37)* (1-AA37)</f>
        <v>0.0</v>
      </c>
      <c r="AB55" s="38">
        <f>(AB40*'Inputs'!$E$19*'Inputs'!$E$22+AA66*AB14*'Inputs'!$E$24)*(1-'Inputs'!$E$29*AB37)* (1-AB37)</f>
        <v>0.0</v>
      </c>
      <c r="AC55" s="38">
        <f>(AC40*'Inputs'!$E$19*'Inputs'!$E$22+AB66*AC14*'Inputs'!$E$24)*(1-'Inputs'!$E$29*AC37)* (1-AC37)</f>
        <v>0.0</v>
      </c>
      <c r="AD55" s="38">
        <f>(AD40*'Inputs'!$E$19*'Inputs'!$E$22+AC66*AD14*'Inputs'!$E$24)*(1-'Inputs'!$E$29*AD37)* (1-AD37)</f>
        <v>0.0</v>
      </c>
      <c r="AE55" s="38">
        <f>(AE40*'Inputs'!$E$19*'Inputs'!$E$22+AD66*AE14*'Inputs'!$E$24)*(1-'Inputs'!$E$29*AE37)* (1-AE37)</f>
        <v>0.0</v>
      </c>
      <c r="AF55" s="38">
        <f>(AF40*'Inputs'!$E$19*'Inputs'!$E$22+AE66*AF14*'Inputs'!$E$24)*(1-'Inputs'!$E$29*AF37)* (1-AF37)</f>
        <v>0.0</v>
      </c>
      <c r="AG55" s="38">
        <f>(AG40*'Inputs'!$E$19*'Inputs'!$E$22+AF66*AG14*'Inputs'!$E$24)*(1-'Inputs'!$E$29*AG37)* (1-AG37)</f>
        <v>0.0</v>
      </c>
      <c r="AH55" s="38">
        <f>(AH40*'Inputs'!$E$19*'Inputs'!$E$22+AG66*AH14*'Inputs'!$E$24)*(1-'Inputs'!$E$29*AH37)* (1-AH37)</f>
        <v>0.0</v>
      </c>
      <c r="AI55" s="38">
        <f>(AI40*'Inputs'!$E$19*'Inputs'!$E$22+AH66*AI14*'Inputs'!$E$24)*(1-'Inputs'!$E$29*AI37)* (1-AI37)</f>
        <v>0.0</v>
      </c>
      <c r="AJ55" s="38">
        <f>(AJ40*'Inputs'!$E$19*'Inputs'!$E$22+AI66*AJ14*'Inputs'!$E$24)*(1-'Inputs'!$E$29*AJ37)* (1-AJ37)</f>
        <v>0.0</v>
      </c>
      <c r="AK55" s="38">
        <f>(AK40*'Inputs'!$E$19*'Inputs'!$E$22+AJ66*AK14*'Inputs'!$E$24)*(1-'Inputs'!$E$29*AK37)* (1-AK37)</f>
        <v>0.0</v>
      </c>
      <c r="AL55" s="38">
        <f>(AL40*'Inputs'!$E$19*'Inputs'!$E$22+AK66*AL14*'Inputs'!$E$24)*(1-'Inputs'!$E$29*AL37)* (1-AL37)</f>
        <v>0.0</v>
      </c>
      <c r="AM55" s="38">
        <f>(AM40*'Inputs'!$E$19*'Inputs'!$E$22+AL66*AM14*'Inputs'!$E$24)*(1-'Inputs'!$E$29*AM37)* (1-AM37)</f>
        <v>0.0</v>
      </c>
      <c r="AN55" s="38">
        <f>(AN40*'Inputs'!$E$19*'Inputs'!$E$22+AM66*AN14*'Inputs'!$E$24)*(1-'Inputs'!$E$29*AN37)* (1-AN37)</f>
        <v>0.0</v>
      </c>
      <c r="AO55" s="38">
        <f>(AO40*'Inputs'!$E$19*'Inputs'!$E$22+AN66*AO14*'Inputs'!$E$24)*(1-'Inputs'!$E$29*AO37)* (1-AO37)</f>
        <v>0.0</v>
      </c>
      <c r="AP55" s="38">
        <f>(AP40*'Inputs'!$E$19*'Inputs'!$E$22+AO66*AP14*'Inputs'!$E$24)*(1-'Inputs'!$E$29*AP37)* (1-AP37)</f>
        <v>0.0</v>
      </c>
      <c r="AQ55" s="38">
        <f>(AQ40*'Inputs'!$E$19*'Inputs'!$E$22+AP66*AQ14*'Inputs'!$E$24)*(1-'Inputs'!$E$29*AQ37)* (1-AQ37)</f>
        <v>0.0</v>
      </c>
    </row>
    <row r="56" ht="28" customHeight="1">
      <c r="A56" s="2" t="str">
        <v>DE.U.PRO.Y1</v>
      </c>
      <c r="B56" s="6" t="str">
        <v>Germany: not yet identity-checked: Pro annual, plan month 2</v>
      </c>
      <c r="C56" s="2" t="str">
        <v>count</v>
      </c>
      <c r="D56" s="2" t="str">
        <v>NA</v>
      </c>
      <c r="E56" s="2"/>
      <c r="F56" s="6" t="str"/>
      <c r="G56" s="2"/>
      <c r="H56" s="38">
        <f>0*H14*(1-'Inputs'!$E$29*H37)* (1-H37)</f>
        <v>0.0</v>
      </c>
      <c r="I56" s="38">
        <f>H55*I14*(1-'Inputs'!$E$29*I37)* (1-I37)</f>
        <v>0.0</v>
      </c>
      <c r="J56" s="38">
        <f>I55*J14*(1-'Inputs'!$E$29*J37)* (1-J37)</f>
        <v>0.0</v>
      </c>
      <c r="K56" s="38">
        <f>J55*K14*(1-'Inputs'!$E$29*K37)* (1-K37)</f>
        <v>0.0</v>
      </c>
      <c r="L56" s="38">
        <f>K55*L14*(1-'Inputs'!$E$29*L37)* (1-L37)</f>
        <v>0.0</v>
      </c>
      <c r="M56" s="38">
        <f>L55*M14*(1-'Inputs'!$E$29*M37)* (1-M37)</f>
        <v>0.0</v>
      </c>
      <c r="N56" s="38">
        <f>M55*N14*(1-'Inputs'!$E$29*N37)* (1-N37)</f>
        <v>0.0</v>
      </c>
      <c r="O56" s="38">
        <f>N55*O14*(1-'Inputs'!$E$29*O37)* (1-O37)</f>
        <v>0.0</v>
      </c>
      <c r="P56" s="38">
        <f>O55*P14*(1-'Inputs'!$E$29*P37)* (1-P37)</f>
        <v>0.0</v>
      </c>
      <c r="Q56" s="38">
        <f>P55*Q14*(1-'Inputs'!$E$29*Q37)* (1-Q37)</f>
        <v>0.0</v>
      </c>
      <c r="R56" s="38">
        <f>Q55*R14*(1-'Inputs'!$E$29*R37)* (1-R37)</f>
        <v>0.0</v>
      </c>
      <c r="S56" s="38">
        <f>R55*S14*(1-'Inputs'!$E$29*S37)* (1-S37)</f>
        <v>0.0</v>
      </c>
      <c r="T56" s="38">
        <f>S55*T14*(1-'Inputs'!$E$29*T37)* (1-T37)</f>
        <v>0.0</v>
      </c>
      <c r="U56" s="38">
        <f>T55*U14*(1-'Inputs'!$E$29*U37)* (1-U37)</f>
        <v>0.0</v>
      </c>
      <c r="V56" s="38">
        <f>U55*V14*(1-'Inputs'!$E$29*V37)* (1-V37)</f>
        <v>0.0</v>
      </c>
      <c r="W56" s="38">
        <f>V55*W14*(1-'Inputs'!$E$29*W37)* (1-W37)</f>
        <v>0.0</v>
      </c>
      <c r="X56" s="38">
        <f>W55*X14*(1-'Inputs'!$E$29*X37)* (1-X37)</f>
        <v>0.0</v>
      </c>
      <c r="Y56" s="38">
        <f>X55*Y14*(1-'Inputs'!$E$29*Y37)* (1-Y37)</f>
        <v>0.0</v>
      </c>
      <c r="Z56" s="38">
        <f>Y55*Z14*(1-'Inputs'!$E$29*Z37)* (1-Z37)</f>
        <v>0.0</v>
      </c>
      <c r="AA56" s="38">
        <f>Z55*AA14*(1-'Inputs'!$E$29*AA37)* (1-AA37)</f>
        <v>0.0</v>
      </c>
      <c r="AB56" s="38">
        <f>AA55*AB14*(1-'Inputs'!$E$29*AB37)* (1-AB37)</f>
        <v>0.0</v>
      </c>
      <c r="AC56" s="38">
        <f>AB55*AC14*(1-'Inputs'!$E$29*AC37)* (1-AC37)</f>
        <v>0.0</v>
      </c>
      <c r="AD56" s="38">
        <f>AC55*AD14*(1-'Inputs'!$E$29*AD37)* (1-AD37)</f>
        <v>0.0</v>
      </c>
      <c r="AE56" s="38">
        <f>AD55*AE14*(1-'Inputs'!$E$29*AE37)* (1-AE37)</f>
        <v>0.0</v>
      </c>
      <c r="AF56" s="38">
        <f>AE55*AF14*(1-'Inputs'!$E$29*AF37)* (1-AF37)</f>
        <v>0.0</v>
      </c>
      <c r="AG56" s="38">
        <f>AF55*AG14*(1-'Inputs'!$E$29*AG37)* (1-AG37)</f>
        <v>0.0</v>
      </c>
      <c r="AH56" s="38">
        <f>AG55*AH14*(1-'Inputs'!$E$29*AH37)* (1-AH37)</f>
        <v>0.0</v>
      </c>
      <c r="AI56" s="38">
        <f>AH55*AI14*(1-'Inputs'!$E$29*AI37)* (1-AI37)</f>
        <v>0.0</v>
      </c>
      <c r="AJ56" s="38">
        <f>AI55*AJ14*(1-'Inputs'!$E$29*AJ37)* (1-AJ37)</f>
        <v>0.0</v>
      </c>
      <c r="AK56" s="38">
        <f>AJ55*AK14*(1-'Inputs'!$E$29*AK37)* (1-AK37)</f>
        <v>0.0</v>
      </c>
      <c r="AL56" s="38">
        <f>AK55*AL14*(1-'Inputs'!$E$29*AL37)* (1-AL37)</f>
        <v>0.0</v>
      </c>
      <c r="AM56" s="38">
        <f>AL55*AM14*(1-'Inputs'!$E$29*AM37)* (1-AM37)</f>
        <v>0.0</v>
      </c>
      <c r="AN56" s="38">
        <f>AM55*AN14*(1-'Inputs'!$E$29*AN37)* (1-AN37)</f>
        <v>0.0</v>
      </c>
      <c r="AO56" s="38">
        <f>AN55*AO14*(1-'Inputs'!$E$29*AO37)* (1-AO37)</f>
        <v>0.0</v>
      </c>
      <c r="AP56" s="38">
        <f>AO55*AP14*(1-'Inputs'!$E$29*AP37)* (1-AP37)</f>
        <v>0.0</v>
      </c>
      <c r="AQ56" s="38">
        <f>AP55*AQ14*(1-'Inputs'!$E$29*AQ37)* (1-AQ37)</f>
        <v>0.0</v>
      </c>
    </row>
    <row r="57" ht="28" customHeight="1">
      <c r="A57" s="2" t="str">
        <v>DE.U.PRO.Y2</v>
      </c>
      <c r="B57" s="6" t="str">
        <v>Germany: not yet identity-checked: Pro annual, plan month 3</v>
      </c>
      <c r="C57" s="2" t="str">
        <v>count</v>
      </c>
      <c r="D57" s="2" t="str">
        <v>NA</v>
      </c>
      <c r="E57" s="2"/>
      <c r="F57" s="6" t="str"/>
      <c r="G57" s="2"/>
      <c r="H57" s="38">
        <f>0*H14*(1-'Inputs'!$E$29*H37)* (1-H37)</f>
        <v>0.0</v>
      </c>
      <c r="I57" s="38">
        <f>H56*I14*(1-'Inputs'!$E$29*I37)* (1-I37)</f>
        <v>0.0</v>
      </c>
      <c r="J57" s="38">
        <f>I56*J14*(1-'Inputs'!$E$29*J37)* (1-J37)</f>
        <v>0.0</v>
      </c>
      <c r="K57" s="38">
        <f>J56*K14*(1-'Inputs'!$E$29*K37)* (1-K37)</f>
        <v>0.0</v>
      </c>
      <c r="L57" s="38">
        <f>K56*L14*(1-'Inputs'!$E$29*L37)* (1-L37)</f>
        <v>0.0</v>
      </c>
      <c r="M57" s="38">
        <f>L56*M14*(1-'Inputs'!$E$29*M37)* (1-M37)</f>
        <v>0.0</v>
      </c>
      <c r="N57" s="38">
        <f>M56*N14*(1-'Inputs'!$E$29*N37)* (1-N37)</f>
        <v>0.0</v>
      </c>
      <c r="O57" s="38">
        <f>N56*O14*(1-'Inputs'!$E$29*O37)* (1-O37)</f>
        <v>0.0</v>
      </c>
      <c r="P57" s="38">
        <f>O56*P14*(1-'Inputs'!$E$29*P37)* (1-P37)</f>
        <v>0.0</v>
      </c>
      <c r="Q57" s="38">
        <f>P56*Q14*(1-'Inputs'!$E$29*Q37)* (1-Q37)</f>
        <v>0.0</v>
      </c>
      <c r="R57" s="38">
        <f>Q56*R14*(1-'Inputs'!$E$29*R37)* (1-R37)</f>
        <v>0.0</v>
      </c>
      <c r="S57" s="38">
        <f>R56*S14*(1-'Inputs'!$E$29*S37)* (1-S37)</f>
        <v>0.0</v>
      </c>
      <c r="T57" s="38">
        <f>S56*T14*(1-'Inputs'!$E$29*T37)* (1-T37)</f>
        <v>0.0</v>
      </c>
      <c r="U57" s="38">
        <f>T56*U14*(1-'Inputs'!$E$29*U37)* (1-U37)</f>
        <v>0.0</v>
      </c>
      <c r="V57" s="38">
        <f>U56*V14*(1-'Inputs'!$E$29*V37)* (1-V37)</f>
        <v>0.0</v>
      </c>
      <c r="W57" s="38">
        <f>V56*W14*(1-'Inputs'!$E$29*W37)* (1-W37)</f>
        <v>0.0</v>
      </c>
      <c r="X57" s="38">
        <f>W56*X14*(1-'Inputs'!$E$29*X37)* (1-X37)</f>
        <v>0.0</v>
      </c>
      <c r="Y57" s="38">
        <f>X56*Y14*(1-'Inputs'!$E$29*Y37)* (1-Y37)</f>
        <v>0.0</v>
      </c>
      <c r="Z57" s="38">
        <f>Y56*Z14*(1-'Inputs'!$E$29*Z37)* (1-Z37)</f>
        <v>0.0</v>
      </c>
      <c r="AA57" s="38">
        <f>Z56*AA14*(1-'Inputs'!$E$29*AA37)* (1-AA37)</f>
        <v>0.0</v>
      </c>
      <c r="AB57" s="38">
        <f>AA56*AB14*(1-'Inputs'!$E$29*AB37)* (1-AB37)</f>
        <v>0.0</v>
      </c>
      <c r="AC57" s="38">
        <f>AB56*AC14*(1-'Inputs'!$E$29*AC37)* (1-AC37)</f>
        <v>0.0</v>
      </c>
      <c r="AD57" s="38">
        <f>AC56*AD14*(1-'Inputs'!$E$29*AD37)* (1-AD37)</f>
        <v>0.0</v>
      </c>
      <c r="AE57" s="38">
        <f>AD56*AE14*(1-'Inputs'!$E$29*AE37)* (1-AE37)</f>
        <v>0.0</v>
      </c>
      <c r="AF57" s="38">
        <f>AE56*AF14*(1-'Inputs'!$E$29*AF37)* (1-AF37)</f>
        <v>0.0</v>
      </c>
      <c r="AG57" s="38">
        <f>AF56*AG14*(1-'Inputs'!$E$29*AG37)* (1-AG37)</f>
        <v>0.0</v>
      </c>
      <c r="AH57" s="38">
        <f>AG56*AH14*(1-'Inputs'!$E$29*AH37)* (1-AH37)</f>
        <v>0.0</v>
      </c>
      <c r="AI57" s="38">
        <f>AH56*AI14*(1-'Inputs'!$E$29*AI37)* (1-AI37)</f>
        <v>0.0</v>
      </c>
      <c r="AJ57" s="38">
        <f>AI56*AJ14*(1-'Inputs'!$E$29*AJ37)* (1-AJ37)</f>
        <v>0.0</v>
      </c>
      <c r="AK57" s="38">
        <f>AJ56*AK14*(1-'Inputs'!$E$29*AK37)* (1-AK37)</f>
        <v>0.0</v>
      </c>
      <c r="AL57" s="38">
        <f>AK56*AL14*(1-'Inputs'!$E$29*AL37)* (1-AL37)</f>
        <v>0.0</v>
      </c>
      <c r="AM57" s="38">
        <f>AL56*AM14*(1-'Inputs'!$E$29*AM37)* (1-AM37)</f>
        <v>0.0</v>
      </c>
      <c r="AN57" s="38">
        <f>AM56*AN14*(1-'Inputs'!$E$29*AN37)* (1-AN37)</f>
        <v>0.0</v>
      </c>
      <c r="AO57" s="38">
        <f>AN56*AO14*(1-'Inputs'!$E$29*AO37)* (1-AO37)</f>
        <v>0.0</v>
      </c>
      <c r="AP57" s="38">
        <f>AO56*AP14*(1-'Inputs'!$E$29*AP37)* (1-AP37)</f>
        <v>0.0</v>
      </c>
      <c r="AQ57" s="38">
        <f>AP56*AQ14*(1-'Inputs'!$E$29*AQ37)* (1-AQ37)</f>
        <v>0.0</v>
      </c>
    </row>
    <row r="58" ht="28" customHeight="1">
      <c r="A58" s="2" t="str">
        <v>DE.U.PRO.Y3</v>
      </c>
      <c r="B58" s="6" t="str">
        <v>Germany: not yet identity-checked: Pro annual, plan month 4</v>
      </c>
      <c r="C58" s="2" t="str">
        <v>count</v>
      </c>
      <c r="D58" s="2" t="str">
        <v>NA</v>
      </c>
      <c r="E58" s="2"/>
      <c r="F58" s="6" t="str"/>
      <c r="G58" s="2"/>
      <c r="H58" s="38">
        <f>0*H14*(1-'Inputs'!$E$29*H37)* (1-H37)</f>
        <v>0.0</v>
      </c>
      <c r="I58" s="38">
        <f>H57*I14*(1-'Inputs'!$E$29*I37)* (1-I37)</f>
        <v>0.0</v>
      </c>
      <c r="J58" s="38">
        <f>I57*J14*(1-'Inputs'!$E$29*J37)* (1-J37)</f>
        <v>0.0</v>
      </c>
      <c r="K58" s="38">
        <f>J57*K14*(1-'Inputs'!$E$29*K37)* (1-K37)</f>
        <v>0.0</v>
      </c>
      <c r="L58" s="38">
        <f>K57*L14*(1-'Inputs'!$E$29*L37)* (1-L37)</f>
        <v>0.0</v>
      </c>
      <c r="M58" s="38">
        <f>L57*M14*(1-'Inputs'!$E$29*M37)* (1-M37)</f>
        <v>0.0</v>
      </c>
      <c r="N58" s="38">
        <f>M57*N14*(1-'Inputs'!$E$29*N37)* (1-N37)</f>
        <v>0.0</v>
      </c>
      <c r="O58" s="38">
        <f>N57*O14*(1-'Inputs'!$E$29*O37)* (1-O37)</f>
        <v>0.0</v>
      </c>
      <c r="P58" s="38">
        <f>O57*P14*(1-'Inputs'!$E$29*P37)* (1-P37)</f>
        <v>0.0</v>
      </c>
      <c r="Q58" s="38">
        <f>P57*Q14*(1-'Inputs'!$E$29*Q37)* (1-Q37)</f>
        <v>0.0</v>
      </c>
      <c r="R58" s="38">
        <f>Q57*R14*(1-'Inputs'!$E$29*R37)* (1-R37)</f>
        <v>0.0</v>
      </c>
      <c r="S58" s="38">
        <f>R57*S14*(1-'Inputs'!$E$29*S37)* (1-S37)</f>
        <v>0.0</v>
      </c>
      <c r="T58" s="38">
        <f>S57*T14*(1-'Inputs'!$E$29*T37)* (1-T37)</f>
        <v>0.0</v>
      </c>
      <c r="U58" s="38">
        <f>T57*U14*(1-'Inputs'!$E$29*U37)* (1-U37)</f>
        <v>0.0</v>
      </c>
      <c r="V58" s="38">
        <f>U57*V14*(1-'Inputs'!$E$29*V37)* (1-V37)</f>
        <v>0.0</v>
      </c>
      <c r="W58" s="38">
        <f>V57*W14*(1-'Inputs'!$E$29*W37)* (1-W37)</f>
        <v>0.0</v>
      </c>
      <c r="X58" s="38">
        <f>W57*X14*(1-'Inputs'!$E$29*X37)* (1-X37)</f>
        <v>0.0</v>
      </c>
      <c r="Y58" s="38">
        <f>X57*Y14*(1-'Inputs'!$E$29*Y37)* (1-Y37)</f>
        <v>0.0</v>
      </c>
      <c r="Z58" s="38">
        <f>Y57*Z14*(1-'Inputs'!$E$29*Z37)* (1-Z37)</f>
        <v>0.0</v>
      </c>
      <c r="AA58" s="38">
        <f>Z57*AA14*(1-'Inputs'!$E$29*AA37)* (1-AA37)</f>
        <v>0.0</v>
      </c>
      <c r="AB58" s="38">
        <f>AA57*AB14*(1-'Inputs'!$E$29*AB37)* (1-AB37)</f>
        <v>0.0</v>
      </c>
      <c r="AC58" s="38">
        <f>AB57*AC14*(1-'Inputs'!$E$29*AC37)* (1-AC37)</f>
        <v>0.0</v>
      </c>
      <c r="AD58" s="38">
        <f>AC57*AD14*(1-'Inputs'!$E$29*AD37)* (1-AD37)</f>
        <v>0.0</v>
      </c>
      <c r="AE58" s="38">
        <f>AD57*AE14*(1-'Inputs'!$E$29*AE37)* (1-AE37)</f>
        <v>0.0</v>
      </c>
      <c r="AF58" s="38">
        <f>AE57*AF14*(1-'Inputs'!$E$29*AF37)* (1-AF37)</f>
        <v>0.0</v>
      </c>
      <c r="AG58" s="38">
        <f>AF57*AG14*(1-'Inputs'!$E$29*AG37)* (1-AG37)</f>
        <v>0.0</v>
      </c>
      <c r="AH58" s="38">
        <f>AG57*AH14*(1-'Inputs'!$E$29*AH37)* (1-AH37)</f>
        <v>0.0</v>
      </c>
      <c r="AI58" s="38">
        <f>AH57*AI14*(1-'Inputs'!$E$29*AI37)* (1-AI37)</f>
        <v>0.0</v>
      </c>
      <c r="AJ58" s="38">
        <f>AI57*AJ14*(1-'Inputs'!$E$29*AJ37)* (1-AJ37)</f>
        <v>0.0</v>
      </c>
      <c r="AK58" s="38">
        <f>AJ57*AK14*(1-'Inputs'!$E$29*AK37)* (1-AK37)</f>
        <v>0.0</v>
      </c>
      <c r="AL58" s="38">
        <f>AK57*AL14*(1-'Inputs'!$E$29*AL37)* (1-AL37)</f>
        <v>0.0</v>
      </c>
      <c r="AM58" s="38">
        <f>AL57*AM14*(1-'Inputs'!$E$29*AM37)* (1-AM37)</f>
        <v>0.0</v>
      </c>
      <c r="AN58" s="38">
        <f>AM57*AN14*(1-'Inputs'!$E$29*AN37)* (1-AN37)</f>
        <v>0.0</v>
      </c>
      <c r="AO58" s="38">
        <f>AN57*AO14*(1-'Inputs'!$E$29*AO37)* (1-AO37)</f>
        <v>0.0</v>
      </c>
      <c r="AP58" s="38">
        <f>AO57*AP14*(1-'Inputs'!$E$29*AP37)* (1-AP37)</f>
        <v>0.0</v>
      </c>
      <c r="AQ58" s="38">
        <f>AP57*AQ14*(1-'Inputs'!$E$29*AQ37)* (1-AQ37)</f>
        <v>0.0</v>
      </c>
    </row>
    <row r="59" ht="28" customHeight="1">
      <c r="A59" s="2" t="str">
        <v>DE.U.PRO.Y4</v>
      </c>
      <c r="B59" s="6" t="str">
        <v>Germany: not yet identity-checked: Pro annual, plan month 5</v>
      </c>
      <c r="C59" s="2" t="str">
        <v>count</v>
      </c>
      <c r="D59" s="2" t="str">
        <v>NA</v>
      </c>
      <c r="E59" s="2"/>
      <c r="F59" s="6" t="str"/>
      <c r="G59" s="2"/>
      <c r="H59" s="38">
        <f>0*H14*(1-'Inputs'!$E$29*H37)* (1-H37)</f>
        <v>0.0</v>
      </c>
      <c r="I59" s="38">
        <f>H58*I14*(1-'Inputs'!$E$29*I37)* (1-I37)</f>
        <v>0.0</v>
      </c>
      <c r="J59" s="38">
        <f>I58*J14*(1-'Inputs'!$E$29*J37)* (1-J37)</f>
        <v>0.0</v>
      </c>
      <c r="K59" s="38">
        <f>J58*K14*(1-'Inputs'!$E$29*K37)* (1-K37)</f>
        <v>0.0</v>
      </c>
      <c r="L59" s="38">
        <f>K58*L14*(1-'Inputs'!$E$29*L37)* (1-L37)</f>
        <v>0.0</v>
      </c>
      <c r="M59" s="38">
        <f>L58*M14*(1-'Inputs'!$E$29*M37)* (1-M37)</f>
        <v>0.0</v>
      </c>
      <c r="N59" s="38">
        <f>M58*N14*(1-'Inputs'!$E$29*N37)* (1-N37)</f>
        <v>0.0</v>
      </c>
      <c r="O59" s="38">
        <f>N58*O14*(1-'Inputs'!$E$29*O37)* (1-O37)</f>
        <v>0.0</v>
      </c>
      <c r="P59" s="38">
        <f>O58*P14*(1-'Inputs'!$E$29*P37)* (1-P37)</f>
        <v>0.0</v>
      </c>
      <c r="Q59" s="38">
        <f>P58*Q14*(1-'Inputs'!$E$29*Q37)* (1-Q37)</f>
        <v>0.0</v>
      </c>
      <c r="R59" s="38">
        <f>Q58*R14*(1-'Inputs'!$E$29*R37)* (1-R37)</f>
        <v>0.0</v>
      </c>
      <c r="S59" s="38">
        <f>R58*S14*(1-'Inputs'!$E$29*S37)* (1-S37)</f>
        <v>0.0</v>
      </c>
      <c r="T59" s="38">
        <f>S58*T14*(1-'Inputs'!$E$29*T37)* (1-T37)</f>
        <v>0.0</v>
      </c>
      <c r="U59" s="38">
        <f>T58*U14*(1-'Inputs'!$E$29*U37)* (1-U37)</f>
        <v>0.0</v>
      </c>
      <c r="V59" s="38">
        <f>U58*V14*(1-'Inputs'!$E$29*V37)* (1-V37)</f>
        <v>0.0</v>
      </c>
      <c r="W59" s="38">
        <f>V58*W14*(1-'Inputs'!$E$29*W37)* (1-W37)</f>
        <v>0.0</v>
      </c>
      <c r="X59" s="38">
        <f>W58*X14*(1-'Inputs'!$E$29*X37)* (1-X37)</f>
        <v>0.0</v>
      </c>
      <c r="Y59" s="38">
        <f>X58*Y14*(1-'Inputs'!$E$29*Y37)* (1-Y37)</f>
        <v>0.0</v>
      </c>
      <c r="Z59" s="38">
        <f>Y58*Z14*(1-'Inputs'!$E$29*Z37)* (1-Z37)</f>
        <v>0.0</v>
      </c>
      <c r="AA59" s="38">
        <f>Z58*AA14*(1-'Inputs'!$E$29*AA37)* (1-AA37)</f>
        <v>0.0</v>
      </c>
      <c r="AB59" s="38">
        <f>AA58*AB14*(1-'Inputs'!$E$29*AB37)* (1-AB37)</f>
        <v>0.0</v>
      </c>
      <c r="AC59" s="38">
        <f>AB58*AC14*(1-'Inputs'!$E$29*AC37)* (1-AC37)</f>
        <v>0.0</v>
      </c>
      <c r="AD59" s="38">
        <f>AC58*AD14*(1-'Inputs'!$E$29*AD37)* (1-AD37)</f>
        <v>0.0</v>
      </c>
      <c r="AE59" s="38">
        <f>AD58*AE14*(1-'Inputs'!$E$29*AE37)* (1-AE37)</f>
        <v>0.0</v>
      </c>
      <c r="AF59" s="38">
        <f>AE58*AF14*(1-'Inputs'!$E$29*AF37)* (1-AF37)</f>
        <v>0.0</v>
      </c>
      <c r="AG59" s="38">
        <f>AF58*AG14*(1-'Inputs'!$E$29*AG37)* (1-AG37)</f>
        <v>0.0</v>
      </c>
      <c r="AH59" s="38">
        <f>AG58*AH14*(1-'Inputs'!$E$29*AH37)* (1-AH37)</f>
        <v>0.0</v>
      </c>
      <c r="AI59" s="38">
        <f>AH58*AI14*(1-'Inputs'!$E$29*AI37)* (1-AI37)</f>
        <v>0.0</v>
      </c>
      <c r="AJ59" s="38">
        <f>AI58*AJ14*(1-'Inputs'!$E$29*AJ37)* (1-AJ37)</f>
        <v>0.0</v>
      </c>
      <c r="AK59" s="38">
        <f>AJ58*AK14*(1-'Inputs'!$E$29*AK37)* (1-AK37)</f>
        <v>0.0</v>
      </c>
      <c r="AL59" s="38">
        <f>AK58*AL14*(1-'Inputs'!$E$29*AL37)* (1-AL37)</f>
        <v>0.0</v>
      </c>
      <c r="AM59" s="38">
        <f>AL58*AM14*(1-'Inputs'!$E$29*AM37)* (1-AM37)</f>
        <v>0.0</v>
      </c>
      <c r="AN59" s="38">
        <f>AM58*AN14*(1-'Inputs'!$E$29*AN37)* (1-AN37)</f>
        <v>0.0</v>
      </c>
      <c r="AO59" s="38">
        <f>AN58*AO14*(1-'Inputs'!$E$29*AO37)* (1-AO37)</f>
        <v>0.0</v>
      </c>
      <c r="AP59" s="38">
        <f>AO58*AP14*(1-'Inputs'!$E$29*AP37)* (1-AP37)</f>
        <v>0.0</v>
      </c>
      <c r="AQ59" s="38">
        <f>AP58*AQ14*(1-'Inputs'!$E$29*AQ37)* (1-AQ37)</f>
        <v>0.0</v>
      </c>
    </row>
    <row r="60" ht="28" customHeight="1">
      <c r="A60" s="2" t="str">
        <v>DE.U.PRO.Y5</v>
      </c>
      <c r="B60" s="6" t="str">
        <v>Germany: not yet identity-checked: Pro annual, plan month 6</v>
      </c>
      <c r="C60" s="2" t="str">
        <v>count</v>
      </c>
      <c r="D60" s="2" t="str">
        <v>NA</v>
      </c>
      <c r="E60" s="2"/>
      <c r="F60" s="6" t="str"/>
      <c r="G60" s="2"/>
      <c r="H60" s="38">
        <f>0*H14*(1-'Inputs'!$E$29*H37)* (1-H37)</f>
        <v>0.0</v>
      </c>
      <c r="I60" s="38">
        <f>H59*I14*(1-'Inputs'!$E$29*I37)* (1-I37)</f>
        <v>0.0</v>
      </c>
      <c r="J60" s="38">
        <f>I59*J14*(1-'Inputs'!$E$29*J37)* (1-J37)</f>
        <v>0.0</v>
      </c>
      <c r="K60" s="38">
        <f>J59*K14*(1-'Inputs'!$E$29*K37)* (1-K37)</f>
        <v>0.0</v>
      </c>
      <c r="L60" s="38">
        <f>K59*L14*(1-'Inputs'!$E$29*L37)* (1-L37)</f>
        <v>0.0</v>
      </c>
      <c r="M60" s="38">
        <f>L59*M14*(1-'Inputs'!$E$29*M37)* (1-M37)</f>
        <v>0.0</v>
      </c>
      <c r="N60" s="38">
        <f>M59*N14*(1-'Inputs'!$E$29*N37)* (1-N37)</f>
        <v>0.0</v>
      </c>
      <c r="O60" s="38">
        <f>N59*O14*(1-'Inputs'!$E$29*O37)* (1-O37)</f>
        <v>0.0</v>
      </c>
      <c r="P60" s="38">
        <f>O59*P14*(1-'Inputs'!$E$29*P37)* (1-P37)</f>
        <v>0.0</v>
      </c>
      <c r="Q60" s="38">
        <f>P59*Q14*(1-'Inputs'!$E$29*Q37)* (1-Q37)</f>
        <v>0.0</v>
      </c>
      <c r="R60" s="38">
        <f>Q59*R14*(1-'Inputs'!$E$29*R37)* (1-R37)</f>
        <v>0.0</v>
      </c>
      <c r="S60" s="38">
        <f>R59*S14*(1-'Inputs'!$E$29*S37)* (1-S37)</f>
        <v>0.0</v>
      </c>
      <c r="T60" s="38">
        <f>S59*T14*(1-'Inputs'!$E$29*T37)* (1-T37)</f>
        <v>0.0</v>
      </c>
      <c r="U60" s="38">
        <f>T59*U14*(1-'Inputs'!$E$29*U37)* (1-U37)</f>
        <v>0.0</v>
      </c>
      <c r="V60" s="38">
        <f>U59*V14*(1-'Inputs'!$E$29*V37)* (1-V37)</f>
        <v>0.0</v>
      </c>
      <c r="W60" s="38">
        <f>V59*W14*(1-'Inputs'!$E$29*W37)* (1-W37)</f>
        <v>0.0</v>
      </c>
      <c r="X60" s="38">
        <f>W59*X14*(1-'Inputs'!$E$29*X37)* (1-X37)</f>
        <v>0.0</v>
      </c>
      <c r="Y60" s="38">
        <f>X59*Y14*(1-'Inputs'!$E$29*Y37)* (1-Y37)</f>
        <v>0.0</v>
      </c>
      <c r="Z60" s="38">
        <f>Y59*Z14*(1-'Inputs'!$E$29*Z37)* (1-Z37)</f>
        <v>0.0</v>
      </c>
      <c r="AA60" s="38">
        <f>Z59*AA14*(1-'Inputs'!$E$29*AA37)* (1-AA37)</f>
        <v>0.0</v>
      </c>
      <c r="AB60" s="38">
        <f>AA59*AB14*(1-'Inputs'!$E$29*AB37)* (1-AB37)</f>
        <v>0.0</v>
      </c>
      <c r="AC60" s="38">
        <f>AB59*AC14*(1-'Inputs'!$E$29*AC37)* (1-AC37)</f>
        <v>0.0</v>
      </c>
      <c r="AD60" s="38">
        <f>AC59*AD14*(1-'Inputs'!$E$29*AD37)* (1-AD37)</f>
        <v>0.0</v>
      </c>
      <c r="AE60" s="38">
        <f>AD59*AE14*(1-'Inputs'!$E$29*AE37)* (1-AE37)</f>
        <v>0.0</v>
      </c>
      <c r="AF60" s="38">
        <f>AE59*AF14*(1-'Inputs'!$E$29*AF37)* (1-AF37)</f>
        <v>0.0</v>
      </c>
      <c r="AG60" s="38">
        <f>AF59*AG14*(1-'Inputs'!$E$29*AG37)* (1-AG37)</f>
        <v>0.0</v>
      </c>
      <c r="AH60" s="38">
        <f>AG59*AH14*(1-'Inputs'!$E$29*AH37)* (1-AH37)</f>
        <v>0.0</v>
      </c>
      <c r="AI60" s="38">
        <f>AH59*AI14*(1-'Inputs'!$E$29*AI37)* (1-AI37)</f>
        <v>0.0</v>
      </c>
      <c r="AJ60" s="38">
        <f>AI59*AJ14*(1-'Inputs'!$E$29*AJ37)* (1-AJ37)</f>
        <v>0.0</v>
      </c>
      <c r="AK60" s="38">
        <f>AJ59*AK14*(1-'Inputs'!$E$29*AK37)* (1-AK37)</f>
        <v>0.0</v>
      </c>
      <c r="AL60" s="38">
        <f>AK59*AL14*(1-'Inputs'!$E$29*AL37)* (1-AL37)</f>
        <v>0.0</v>
      </c>
      <c r="AM60" s="38">
        <f>AL59*AM14*(1-'Inputs'!$E$29*AM37)* (1-AM37)</f>
        <v>0.0</v>
      </c>
      <c r="AN60" s="38">
        <f>AM59*AN14*(1-'Inputs'!$E$29*AN37)* (1-AN37)</f>
        <v>0.0</v>
      </c>
      <c r="AO60" s="38">
        <f>AN59*AO14*(1-'Inputs'!$E$29*AO37)* (1-AO37)</f>
        <v>0.0</v>
      </c>
      <c r="AP60" s="38">
        <f>AO59*AP14*(1-'Inputs'!$E$29*AP37)* (1-AP37)</f>
        <v>0.0</v>
      </c>
      <c r="AQ60" s="38">
        <f>AP59*AQ14*(1-'Inputs'!$E$29*AQ37)* (1-AQ37)</f>
        <v>0.0</v>
      </c>
    </row>
    <row r="61" ht="28" customHeight="1">
      <c r="A61" s="2" t="str">
        <v>DE.U.PRO.Y6</v>
      </c>
      <c r="B61" s="6" t="str">
        <v>Germany: not yet identity-checked: Pro annual, plan month 7</v>
      </c>
      <c r="C61" s="2" t="str">
        <v>count</v>
      </c>
      <c r="D61" s="2" t="str">
        <v>NA</v>
      </c>
      <c r="E61" s="2"/>
      <c r="F61" s="6" t="str"/>
      <c r="G61" s="2"/>
      <c r="H61" s="38">
        <f>0*H14*(1-'Inputs'!$E$29*H37)* (1-H37)</f>
        <v>0.0</v>
      </c>
      <c r="I61" s="38">
        <f>H60*I14*(1-'Inputs'!$E$29*I37)* (1-I37)</f>
        <v>0.0</v>
      </c>
      <c r="J61" s="38">
        <f>I60*J14*(1-'Inputs'!$E$29*J37)* (1-J37)</f>
        <v>0.0</v>
      </c>
      <c r="K61" s="38">
        <f>J60*K14*(1-'Inputs'!$E$29*K37)* (1-K37)</f>
        <v>0.0</v>
      </c>
      <c r="L61" s="38">
        <f>K60*L14*(1-'Inputs'!$E$29*L37)* (1-L37)</f>
        <v>0.0</v>
      </c>
      <c r="M61" s="38">
        <f>L60*M14*(1-'Inputs'!$E$29*M37)* (1-M37)</f>
        <v>0.0</v>
      </c>
      <c r="N61" s="38">
        <f>M60*N14*(1-'Inputs'!$E$29*N37)* (1-N37)</f>
        <v>0.0</v>
      </c>
      <c r="O61" s="38">
        <f>N60*O14*(1-'Inputs'!$E$29*O37)* (1-O37)</f>
        <v>0.0</v>
      </c>
      <c r="P61" s="38">
        <f>O60*P14*(1-'Inputs'!$E$29*P37)* (1-P37)</f>
        <v>0.0</v>
      </c>
      <c r="Q61" s="38">
        <f>P60*Q14*(1-'Inputs'!$E$29*Q37)* (1-Q37)</f>
        <v>0.0</v>
      </c>
      <c r="R61" s="38">
        <f>Q60*R14*(1-'Inputs'!$E$29*R37)* (1-R37)</f>
        <v>0.0</v>
      </c>
      <c r="S61" s="38">
        <f>R60*S14*(1-'Inputs'!$E$29*S37)* (1-S37)</f>
        <v>0.0</v>
      </c>
      <c r="T61" s="38">
        <f>S60*T14*(1-'Inputs'!$E$29*T37)* (1-T37)</f>
        <v>0.0</v>
      </c>
      <c r="U61" s="38">
        <f>T60*U14*(1-'Inputs'!$E$29*U37)* (1-U37)</f>
        <v>0.0</v>
      </c>
      <c r="V61" s="38">
        <f>U60*V14*(1-'Inputs'!$E$29*V37)* (1-V37)</f>
        <v>0.0</v>
      </c>
      <c r="W61" s="38">
        <f>V60*W14*(1-'Inputs'!$E$29*W37)* (1-W37)</f>
        <v>0.0</v>
      </c>
      <c r="X61" s="38">
        <f>W60*X14*(1-'Inputs'!$E$29*X37)* (1-X37)</f>
        <v>0.0</v>
      </c>
      <c r="Y61" s="38">
        <f>X60*Y14*(1-'Inputs'!$E$29*Y37)* (1-Y37)</f>
        <v>0.0</v>
      </c>
      <c r="Z61" s="38">
        <f>Y60*Z14*(1-'Inputs'!$E$29*Z37)* (1-Z37)</f>
        <v>0.0</v>
      </c>
      <c r="AA61" s="38">
        <f>Z60*AA14*(1-'Inputs'!$E$29*AA37)* (1-AA37)</f>
        <v>0.0</v>
      </c>
      <c r="AB61" s="38">
        <f>AA60*AB14*(1-'Inputs'!$E$29*AB37)* (1-AB37)</f>
        <v>0.0</v>
      </c>
      <c r="AC61" s="38">
        <f>AB60*AC14*(1-'Inputs'!$E$29*AC37)* (1-AC37)</f>
        <v>0.0</v>
      </c>
      <c r="AD61" s="38">
        <f>AC60*AD14*(1-'Inputs'!$E$29*AD37)* (1-AD37)</f>
        <v>0.0</v>
      </c>
      <c r="AE61" s="38">
        <f>AD60*AE14*(1-'Inputs'!$E$29*AE37)* (1-AE37)</f>
        <v>0.0</v>
      </c>
      <c r="AF61" s="38">
        <f>AE60*AF14*(1-'Inputs'!$E$29*AF37)* (1-AF37)</f>
        <v>0.0</v>
      </c>
      <c r="AG61" s="38">
        <f>AF60*AG14*(1-'Inputs'!$E$29*AG37)* (1-AG37)</f>
        <v>0.0</v>
      </c>
      <c r="AH61" s="38">
        <f>AG60*AH14*(1-'Inputs'!$E$29*AH37)* (1-AH37)</f>
        <v>0.0</v>
      </c>
      <c r="AI61" s="38">
        <f>AH60*AI14*(1-'Inputs'!$E$29*AI37)* (1-AI37)</f>
        <v>0.0</v>
      </c>
      <c r="AJ61" s="38">
        <f>AI60*AJ14*(1-'Inputs'!$E$29*AJ37)* (1-AJ37)</f>
        <v>0.0</v>
      </c>
      <c r="AK61" s="38">
        <f>AJ60*AK14*(1-'Inputs'!$E$29*AK37)* (1-AK37)</f>
        <v>0.0</v>
      </c>
      <c r="AL61" s="38">
        <f>AK60*AL14*(1-'Inputs'!$E$29*AL37)* (1-AL37)</f>
        <v>0.0</v>
      </c>
      <c r="AM61" s="38">
        <f>AL60*AM14*(1-'Inputs'!$E$29*AM37)* (1-AM37)</f>
        <v>0.0</v>
      </c>
      <c r="AN61" s="38">
        <f>AM60*AN14*(1-'Inputs'!$E$29*AN37)* (1-AN37)</f>
        <v>0.0</v>
      </c>
      <c r="AO61" s="38">
        <f>AN60*AO14*(1-'Inputs'!$E$29*AO37)* (1-AO37)</f>
        <v>0.0</v>
      </c>
      <c r="AP61" s="38">
        <f>AO60*AP14*(1-'Inputs'!$E$29*AP37)* (1-AP37)</f>
        <v>0.0</v>
      </c>
      <c r="AQ61" s="38">
        <f>AP60*AQ14*(1-'Inputs'!$E$29*AQ37)* (1-AQ37)</f>
        <v>0.0</v>
      </c>
    </row>
    <row r="62" ht="28" customHeight="1">
      <c r="A62" s="2" t="str">
        <v>DE.U.PRO.Y7</v>
      </c>
      <c r="B62" s="6" t="str">
        <v>Germany: not yet identity-checked: Pro annual, plan month 8</v>
      </c>
      <c r="C62" s="2" t="str">
        <v>count</v>
      </c>
      <c r="D62" s="2" t="str">
        <v>NA</v>
      </c>
      <c r="E62" s="2"/>
      <c r="F62" s="6" t="str"/>
      <c r="G62" s="2"/>
      <c r="H62" s="38">
        <f>0*H14*(1-'Inputs'!$E$29*H37)* (1-H37)</f>
        <v>0.0</v>
      </c>
      <c r="I62" s="38">
        <f>H61*I14*(1-'Inputs'!$E$29*I37)* (1-I37)</f>
        <v>0.0</v>
      </c>
      <c r="J62" s="38">
        <f>I61*J14*(1-'Inputs'!$E$29*J37)* (1-J37)</f>
        <v>0.0</v>
      </c>
      <c r="K62" s="38">
        <f>J61*K14*(1-'Inputs'!$E$29*K37)* (1-K37)</f>
        <v>0.0</v>
      </c>
      <c r="L62" s="38">
        <f>K61*L14*(1-'Inputs'!$E$29*L37)* (1-L37)</f>
        <v>0.0</v>
      </c>
      <c r="M62" s="38">
        <f>L61*M14*(1-'Inputs'!$E$29*M37)* (1-M37)</f>
        <v>0.0</v>
      </c>
      <c r="N62" s="38">
        <f>M61*N14*(1-'Inputs'!$E$29*N37)* (1-N37)</f>
        <v>0.0</v>
      </c>
      <c r="O62" s="38">
        <f>N61*O14*(1-'Inputs'!$E$29*O37)* (1-O37)</f>
        <v>0.0</v>
      </c>
      <c r="P62" s="38">
        <f>O61*P14*(1-'Inputs'!$E$29*P37)* (1-P37)</f>
        <v>0.0</v>
      </c>
      <c r="Q62" s="38">
        <f>P61*Q14*(1-'Inputs'!$E$29*Q37)* (1-Q37)</f>
        <v>0.0</v>
      </c>
      <c r="R62" s="38">
        <f>Q61*R14*(1-'Inputs'!$E$29*R37)* (1-R37)</f>
        <v>0.0</v>
      </c>
      <c r="S62" s="38">
        <f>R61*S14*(1-'Inputs'!$E$29*S37)* (1-S37)</f>
        <v>0.0</v>
      </c>
      <c r="T62" s="38">
        <f>S61*T14*(1-'Inputs'!$E$29*T37)* (1-T37)</f>
        <v>0.0</v>
      </c>
      <c r="U62" s="38">
        <f>T61*U14*(1-'Inputs'!$E$29*U37)* (1-U37)</f>
        <v>0.0</v>
      </c>
      <c r="V62" s="38">
        <f>U61*V14*(1-'Inputs'!$E$29*V37)* (1-V37)</f>
        <v>0.0</v>
      </c>
      <c r="W62" s="38">
        <f>V61*W14*(1-'Inputs'!$E$29*W37)* (1-W37)</f>
        <v>0.0</v>
      </c>
      <c r="X62" s="38">
        <f>W61*X14*(1-'Inputs'!$E$29*X37)* (1-X37)</f>
        <v>0.0</v>
      </c>
      <c r="Y62" s="38">
        <f>X61*Y14*(1-'Inputs'!$E$29*Y37)* (1-Y37)</f>
        <v>0.0</v>
      </c>
      <c r="Z62" s="38">
        <f>Y61*Z14*(1-'Inputs'!$E$29*Z37)* (1-Z37)</f>
        <v>0.0</v>
      </c>
      <c r="AA62" s="38">
        <f>Z61*AA14*(1-'Inputs'!$E$29*AA37)* (1-AA37)</f>
        <v>0.0</v>
      </c>
      <c r="AB62" s="38">
        <f>AA61*AB14*(1-'Inputs'!$E$29*AB37)* (1-AB37)</f>
        <v>0.0</v>
      </c>
      <c r="AC62" s="38">
        <f>AB61*AC14*(1-'Inputs'!$E$29*AC37)* (1-AC37)</f>
        <v>0.0</v>
      </c>
      <c r="AD62" s="38">
        <f>AC61*AD14*(1-'Inputs'!$E$29*AD37)* (1-AD37)</f>
        <v>0.0</v>
      </c>
      <c r="AE62" s="38">
        <f>AD61*AE14*(1-'Inputs'!$E$29*AE37)* (1-AE37)</f>
        <v>0.0</v>
      </c>
      <c r="AF62" s="38">
        <f>AE61*AF14*(1-'Inputs'!$E$29*AF37)* (1-AF37)</f>
        <v>0.0</v>
      </c>
      <c r="AG62" s="38">
        <f>AF61*AG14*(1-'Inputs'!$E$29*AG37)* (1-AG37)</f>
        <v>0.0</v>
      </c>
      <c r="AH62" s="38">
        <f>AG61*AH14*(1-'Inputs'!$E$29*AH37)* (1-AH37)</f>
        <v>0.0</v>
      </c>
      <c r="AI62" s="38">
        <f>AH61*AI14*(1-'Inputs'!$E$29*AI37)* (1-AI37)</f>
        <v>0.0</v>
      </c>
      <c r="AJ62" s="38">
        <f>AI61*AJ14*(1-'Inputs'!$E$29*AJ37)* (1-AJ37)</f>
        <v>0.0</v>
      </c>
      <c r="AK62" s="38">
        <f>AJ61*AK14*(1-'Inputs'!$E$29*AK37)* (1-AK37)</f>
        <v>0.0</v>
      </c>
      <c r="AL62" s="38">
        <f>AK61*AL14*(1-'Inputs'!$E$29*AL37)* (1-AL37)</f>
        <v>0.0</v>
      </c>
      <c r="AM62" s="38">
        <f>AL61*AM14*(1-'Inputs'!$E$29*AM37)* (1-AM37)</f>
        <v>0.0</v>
      </c>
      <c r="AN62" s="38">
        <f>AM61*AN14*(1-'Inputs'!$E$29*AN37)* (1-AN37)</f>
        <v>0.0</v>
      </c>
      <c r="AO62" s="38">
        <f>AN61*AO14*(1-'Inputs'!$E$29*AO37)* (1-AO37)</f>
        <v>0.0</v>
      </c>
      <c r="AP62" s="38">
        <f>AO61*AP14*(1-'Inputs'!$E$29*AP37)* (1-AP37)</f>
        <v>0.0</v>
      </c>
      <c r="AQ62" s="38">
        <f>AP61*AQ14*(1-'Inputs'!$E$29*AQ37)* (1-AQ37)</f>
        <v>0.0</v>
      </c>
    </row>
    <row r="63" ht="28" customHeight="1">
      <c r="A63" s="2" t="str">
        <v>DE.U.PRO.Y8</v>
      </c>
      <c r="B63" s="6" t="str">
        <v>Germany: not yet identity-checked: Pro annual, plan month 9</v>
      </c>
      <c r="C63" s="2" t="str">
        <v>count</v>
      </c>
      <c r="D63" s="2" t="str">
        <v>NA</v>
      </c>
      <c r="E63" s="2"/>
      <c r="F63" s="6" t="str"/>
      <c r="G63" s="2"/>
      <c r="H63" s="38">
        <f>0*H14*(1-'Inputs'!$E$29*H37)* (1-H37)</f>
        <v>0.0</v>
      </c>
      <c r="I63" s="38">
        <f>H62*I14*(1-'Inputs'!$E$29*I37)* (1-I37)</f>
        <v>0.0</v>
      </c>
      <c r="J63" s="38">
        <f>I62*J14*(1-'Inputs'!$E$29*J37)* (1-J37)</f>
        <v>0.0</v>
      </c>
      <c r="K63" s="38">
        <f>J62*K14*(1-'Inputs'!$E$29*K37)* (1-K37)</f>
        <v>0.0</v>
      </c>
      <c r="L63" s="38">
        <f>K62*L14*(1-'Inputs'!$E$29*L37)* (1-L37)</f>
        <v>0.0</v>
      </c>
      <c r="M63" s="38">
        <f>L62*M14*(1-'Inputs'!$E$29*M37)* (1-M37)</f>
        <v>0.0</v>
      </c>
      <c r="N63" s="38">
        <f>M62*N14*(1-'Inputs'!$E$29*N37)* (1-N37)</f>
        <v>0.0</v>
      </c>
      <c r="O63" s="38">
        <f>N62*O14*(1-'Inputs'!$E$29*O37)* (1-O37)</f>
        <v>0.0</v>
      </c>
      <c r="P63" s="38">
        <f>O62*P14*(1-'Inputs'!$E$29*P37)* (1-P37)</f>
        <v>0.0</v>
      </c>
      <c r="Q63" s="38">
        <f>P62*Q14*(1-'Inputs'!$E$29*Q37)* (1-Q37)</f>
        <v>0.0</v>
      </c>
      <c r="R63" s="38">
        <f>Q62*R14*(1-'Inputs'!$E$29*R37)* (1-R37)</f>
        <v>0.0</v>
      </c>
      <c r="S63" s="38">
        <f>R62*S14*(1-'Inputs'!$E$29*S37)* (1-S37)</f>
        <v>0.0</v>
      </c>
      <c r="T63" s="38">
        <f>S62*T14*(1-'Inputs'!$E$29*T37)* (1-T37)</f>
        <v>0.0</v>
      </c>
      <c r="U63" s="38">
        <f>T62*U14*(1-'Inputs'!$E$29*U37)* (1-U37)</f>
        <v>0.0</v>
      </c>
      <c r="V63" s="38">
        <f>U62*V14*(1-'Inputs'!$E$29*V37)* (1-V37)</f>
        <v>0.0</v>
      </c>
      <c r="W63" s="38">
        <f>V62*W14*(1-'Inputs'!$E$29*W37)* (1-W37)</f>
        <v>0.0</v>
      </c>
      <c r="X63" s="38">
        <f>W62*X14*(1-'Inputs'!$E$29*X37)* (1-X37)</f>
        <v>0.0</v>
      </c>
      <c r="Y63" s="38">
        <f>X62*Y14*(1-'Inputs'!$E$29*Y37)* (1-Y37)</f>
        <v>0.0</v>
      </c>
      <c r="Z63" s="38">
        <f>Y62*Z14*(1-'Inputs'!$E$29*Z37)* (1-Z37)</f>
        <v>0.0</v>
      </c>
      <c r="AA63" s="38">
        <f>Z62*AA14*(1-'Inputs'!$E$29*AA37)* (1-AA37)</f>
        <v>0.0</v>
      </c>
      <c r="AB63" s="38">
        <f>AA62*AB14*(1-'Inputs'!$E$29*AB37)* (1-AB37)</f>
        <v>0.0</v>
      </c>
      <c r="AC63" s="38">
        <f>AB62*AC14*(1-'Inputs'!$E$29*AC37)* (1-AC37)</f>
        <v>0.0</v>
      </c>
      <c r="AD63" s="38">
        <f>AC62*AD14*(1-'Inputs'!$E$29*AD37)* (1-AD37)</f>
        <v>0.0</v>
      </c>
      <c r="AE63" s="38">
        <f>AD62*AE14*(1-'Inputs'!$E$29*AE37)* (1-AE37)</f>
        <v>0.0</v>
      </c>
      <c r="AF63" s="38">
        <f>AE62*AF14*(1-'Inputs'!$E$29*AF37)* (1-AF37)</f>
        <v>0.0</v>
      </c>
      <c r="AG63" s="38">
        <f>AF62*AG14*(1-'Inputs'!$E$29*AG37)* (1-AG37)</f>
        <v>0.0</v>
      </c>
      <c r="AH63" s="38">
        <f>AG62*AH14*(1-'Inputs'!$E$29*AH37)* (1-AH37)</f>
        <v>0.0</v>
      </c>
      <c r="AI63" s="38">
        <f>AH62*AI14*(1-'Inputs'!$E$29*AI37)* (1-AI37)</f>
        <v>0.0</v>
      </c>
      <c r="AJ63" s="38">
        <f>AI62*AJ14*(1-'Inputs'!$E$29*AJ37)* (1-AJ37)</f>
        <v>0.0</v>
      </c>
      <c r="AK63" s="38">
        <f>AJ62*AK14*(1-'Inputs'!$E$29*AK37)* (1-AK37)</f>
        <v>0.0</v>
      </c>
      <c r="AL63" s="38">
        <f>AK62*AL14*(1-'Inputs'!$E$29*AL37)* (1-AL37)</f>
        <v>0.0</v>
      </c>
      <c r="AM63" s="38">
        <f>AL62*AM14*(1-'Inputs'!$E$29*AM37)* (1-AM37)</f>
        <v>0.0</v>
      </c>
      <c r="AN63" s="38">
        <f>AM62*AN14*(1-'Inputs'!$E$29*AN37)* (1-AN37)</f>
        <v>0.0</v>
      </c>
      <c r="AO63" s="38">
        <f>AN62*AO14*(1-'Inputs'!$E$29*AO37)* (1-AO37)</f>
        <v>0.0</v>
      </c>
      <c r="AP63" s="38">
        <f>AO62*AP14*(1-'Inputs'!$E$29*AP37)* (1-AP37)</f>
        <v>0.0</v>
      </c>
      <c r="AQ63" s="38">
        <f>AP62*AQ14*(1-'Inputs'!$E$29*AQ37)* (1-AQ37)</f>
        <v>0.0</v>
      </c>
    </row>
    <row r="64" ht="28" customHeight="1">
      <c r="A64" s="2" t="str">
        <v>DE.U.PRO.Y9</v>
      </c>
      <c r="B64" s="6" t="str">
        <v>Germany: not yet identity-checked: Pro annual, plan month 10</v>
      </c>
      <c r="C64" s="2" t="str">
        <v>count</v>
      </c>
      <c r="D64" s="2" t="str">
        <v>NA</v>
      </c>
      <c r="E64" s="2"/>
      <c r="F64" s="6" t="str"/>
      <c r="G64" s="2"/>
      <c r="H64" s="38">
        <f>0*H14*(1-'Inputs'!$E$29*H37)* (1-H37)</f>
        <v>0.0</v>
      </c>
      <c r="I64" s="38">
        <f>H63*I14*(1-'Inputs'!$E$29*I37)* (1-I37)</f>
        <v>0.0</v>
      </c>
      <c r="J64" s="38">
        <f>I63*J14*(1-'Inputs'!$E$29*J37)* (1-J37)</f>
        <v>0.0</v>
      </c>
      <c r="K64" s="38">
        <f>J63*K14*(1-'Inputs'!$E$29*K37)* (1-K37)</f>
        <v>0.0</v>
      </c>
      <c r="L64" s="38">
        <f>K63*L14*(1-'Inputs'!$E$29*L37)* (1-L37)</f>
        <v>0.0</v>
      </c>
      <c r="M64" s="38">
        <f>L63*M14*(1-'Inputs'!$E$29*M37)* (1-M37)</f>
        <v>0.0</v>
      </c>
      <c r="N64" s="38">
        <f>M63*N14*(1-'Inputs'!$E$29*N37)* (1-N37)</f>
        <v>0.0</v>
      </c>
      <c r="O64" s="38">
        <f>N63*O14*(1-'Inputs'!$E$29*O37)* (1-O37)</f>
        <v>0.0</v>
      </c>
      <c r="P64" s="38">
        <f>O63*P14*(1-'Inputs'!$E$29*P37)* (1-P37)</f>
        <v>0.0</v>
      </c>
      <c r="Q64" s="38">
        <f>P63*Q14*(1-'Inputs'!$E$29*Q37)* (1-Q37)</f>
        <v>0.0</v>
      </c>
      <c r="R64" s="38">
        <f>Q63*R14*(1-'Inputs'!$E$29*R37)* (1-R37)</f>
        <v>0.0</v>
      </c>
      <c r="S64" s="38">
        <f>R63*S14*(1-'Inputs'!$E$29*S37)* (1-S37)</f>
        <v>0.0</v>
      </c>
      <c r="T64" s="38">
        <f>S63*T14*(1-'Inputs'!$E$29*T37)* (1-T37)</f>
        <v>0.0</v>
      </c>
      <c r="U64" s="38">
        <f>T63*U14*(1-'Inputs'!$E$29*U37)* (1-U37)</f>
        <v>0.0</v>
      </c>
      <c r="V64" s="38">
        <f>U63*V14*(1-'Inputs'!$E$29*V37)* (1-V37)</f>
        <v>0.0</v>
      </c>
      <c r="W64" s="38">
        <f>V63*W14*(1-'Inputs'!$E$29*W37)* (1-W37)</f>
        <v>0.0</v>
      </c>
      <c r="X64" s="38">
        <f>W63*X14*(1-'Inputs'!$E$29*X37)* (1-X37)</f>
        <v>0.0</v>
      </c>
      <c r="Y64" s="38">
        <f>X63*Y14*(1-'Inputs'!$E$29*Y37)* (1-Y37)</f>
        <v>0.0</v>
      </c>
      <c r="Z64" s="38">
        <f>Y63*Z14*(1-'Inputs'!$E$29*Z37)* (1-Z37)</f>
        <v>0.0</v>
      </c>
      <c r="AA64" s="38">
        <f>Z63*AA14*(1-'Inputs'!$E$29*AA37)* (1-AA37)</f>
        <v>0.0</v>
      </c>
      <c r="AB64" s="38">
        <f>AA63*AB14*(1-'Inputs'!$E$29*AB37)* (1-AB37)</f>
        <v>0.0</v>
      </c>
      <c r="AC64" s="38">
        <f>AB63*AC14*(1-'Inputs'!$E$29*AC37)* (1-AC37)</f>
        <v>0.0</v>
      </c>
      <c r="AD64" s="38">
        <f>AC63*AD14*(1-'Inputs'!$E$29*AD37)* (1-AD37)</f>
        <v>0.0</v>
      </c>
      <c r="AE64" s="38">
        <f>AD63*AE14*(1-'Inputs'!$E$29*AE37)* (1-AE37)</f>
        <v>0.0</v>
      </c>
      <c r="AF64" s="38">
        <f>AE63*AF14*(1-'Inputs'!$E$29*AF37)* (1-AF37)</f>
        <v>0.0</v>
      </c>
      <c r="AG64" s="38">
        <f>AF63*AG14*(1-'Inputs'!$E$29*AG37)* (1-AG37)</f>
        <v>0.0</v>
      </c>
      <c r="AH64" s="38">
        <f>AG63*AH14*(1-'Inputs'!$E$29*AH37)* (1-AH37)</f>
        <v>0.0</v>
      </c>
      <c r="AI64" s="38">
        <f>AH63*AI14*(1-'Inputs'!$E$29*AI37)* (1-AI37)</f>
        <v>0.0</v>
      </c>
      <c r="AJ64" s="38">
        <f>AI63*AJ14*(1-'Inputs'!$E$29*AJ37)* (1-AJ37)</f>
        <v>0.0</v>
      </c>
      <c r="AK64" s="38">
        <f>AJ63*AK14*(1-'Inputs'!$E$29*AK37)* (1-AK37)</f>
        <v>0.0</v>
      </c>
      <c r="AL64" s="38">
        <f>AK63*AL14*(1-'Inputs'!$E$29*AL37)* (1-AL37)</f>
        <v>0.0</v>
      </c>
      <c r="AM64" s="38">
        <f>AL63*AM14*(1-'Inputs'!$E$29*AM37)* (1-AM37)</f>
        <v>0.0</v>
      </c>
      <c r="AN64" s="38">
        <f>AM63*AN14*(1-'Inputs'!$E$29*AN37)* (1-AN37)</f>
        <v>0.0</v>
      </c>
      <c r="AO64" s="38">
        <f>AN63*AO14*(1-'Inputs'!$E$29*AO37)* (1-AO37)</f>
        <v>0.0</v>
      </c>
      <c r="AP64" s="38">
        <f>AO63*AP14*(1-'Inputs'!$E$29*AP37)* (1-AP37)</f>
        <v>0.0</v>
      </c>
      <c r="AQ64" s="38">
        <f>AP63*AQ14*(1-'Inputs'!$E$29*AQ37)* (1-AQ37)</f>
        <v>0.0</v>
      </c>
    </row>
    <row r="65" ht="28" customHeight="1">
      <c r="A65" s="2" t="str">
        <v>DE.U.PRO.Y10</v>
      </c>
      <c r="B65" s="6" t="str">
        <v>Germany: not yet identity-checked: Pro annual, plan month 11</v>
      </c>
      <c r="C65" s="2" t="str">
        <v>count</v>
      </c>
      <c r="D65" s="2" t="str">
        <v>NA</v>
      </c>
      <c r="E65" s="2"/>
      <c r="F65" s="6" t="str"/>
      <c r="G65" s="2"/>
      <c r="H65" s="38">
        <f>0*H14*(1-'Inputs'!$E$29*H37)* (1-H37)</f>
        <v>0.0</v>
      </c>
      <c r="I65" s="38">
        <f>H64*I14*(1-'Inputs'!$E$29*I37)* (1-I37)</f>
        <v>0.0</v>
      </c>
      <c r="J65" s="38">
        <f>I64*J14*(1-'Inputs'!$E$29*J37)* (1-J37)</f>
        <v>0.0</v>
      </c>
      <c r="K65" s="38">
        <f>J64*K14*(1-'Inputs'!$E$29*K37)* (1-K37)</f>
        <v>0.0</v>
      </c>
      <c r="L65" s="38">
        <f>K64*L14*(1-'Inputs'!$E$29*L37)* (1-L37)</f>
        <v>0.0</v>
      </c>
      <c r="M65" s="38">
        <f>L64*M14*(1-'Inputs'!$E$29*M37)* (1-M37)</f>
        <v>0.0</v>
      </c>
      <c r="N65" s="38">
        <f>M64*N14*(1-'Inputs'!$E$29*N37)* (1-N37)</f>
        <v>0.0</v>
      </c>
      <c r="O65" s="38">
        <f>N64*O14*(1-'Inputs'!$E$29*O37)* (1-O37)</f>
        <v>0.0</v>
      </c>
      <c r="P65" s="38">
        <f>O64*P14*(1-'Inputs'!$E$29*P37)* (1-P37)</f>
        <v>0.0</v>
      </c>
      <c r="Q65" s="38">
        <f>P64*Q14*(1-'Inputs'!$E$29*Q37)* (1-Q37)</f>
        <v>0.0</v>
      </c>
      <c r="R65" s="38">
        <f>Q64*R14*(1-'Inputs'!$E$29*R37)* (1-R37)</f>
        <v>0.0</v>
      </c>
      <c r="S65" s="38">
        <f>R64*S14*(1-'Inputs'!$E$29*S37)* (1-S37)</f>
        <v>0.0</v>
      </c>
      <c r="T65" s="38">
        <f>S64*T14*(1-'Inputs'!$E$29*T37)* (1-T37)</f>
        <v>0.0</v>
      </c>
      <c r="U65" s="38">
        <f>T64*U14*(1-'Inputs'!$E$29*U37)* (1-U37)</f>
        <v>0.0</v>
      </c>
      <c r="V65" s="38">
        <f>U64*V14*(1-'Inputs'!$E$29*V37)* (1-V37)</f>
        <v>0.0</v>
      </c>
      <c r="W65" s="38">
        <f>V64*W14*(1-'Inputs'!$E$29*W37)* (1-W37)</f>
        <v>0.0</v>
      </c>
      <c r="X65" s="38">
        <f>W64*X14*(1-'Inputs'!$E$29*X37)* (1-X37)</f>
        <v>0.0</v>
      </c>
      <c r="Y65" s="38">
        <f>X64*Y14*(1-'Inputs'!$E$29*Y37)* (1-Y37)</f>
        <v>0.0</v>
      </c>
      <c r="Z65" s="38">
        <f>Y64*Z14*(1-'Inputs'!$E$29*Z37)* (1-Z37)</f>
        <v>0.0</v>
      </c>
      <c r="AA65" s="38">
        <f>Z64*AA14*(1-'Inputs'!$E$29*AA37)* (1-AA37)</f>
        <v>0.0</v>
      </c>
      <c r="AB65" s="38">
        <f>AA64*AB14*(1-'Inputs'!$E$29*AB37)* (1-AB37)</f>
        <v>0.0</v>
      </c>
      <c r="AC65" s="38">
        <f>AB64*AC14*(1-'Inputs'!$E$29*AC37)* (1-AC37)</f>
        <v>0.0</v>
      </c>
      <c r="AD65" s="38">
        <f>AC64*AD14*(1-'Inputs'!$E$29*AD37)* (1-AD37)</f>
        <v>0.0</v>
      </c>
      <c r="AE65" s="38">
        <f>AD64*AE14*(1-'Inputs'!$E$29*AE37)* (1-AE37)</f>
        <v>0.0</v>
      </c>
      <c r="AF65" s="38">
        <f>AE64*AF14*(1-'Inputs'!$E$29*AF37)* (1-AF37)</f>
        <v>0.0</v>
      </c>
      <c r="AG65" s="38">
        <f>AF64*AG14*(1-'Inputs'!$E$29*AG37)* (1-AG37)</f>
        <v>0.0</v>
      </c>
      <c r="AH65" s="38">
        <f>AG64*AH14*(1-'Inputs'!$E$29*AH37)* (1-AH37)</f>
        <v>0.0</v>
      </c>
      <c r="AI65" s="38">
        <f>AH64*AI14*(1-'Inputs'!$E$29*AI37)* (1-AI37)</f>
        <v>0.0</v>
      </c>
      <c r="AJ65" s="38">
        <f>AI64*AJ14*(1-'Inputs'!$E$29*AJ37)* (1-AJ37)</f>
        <v>0.0</v>
      </c>
      <c r="AK65" s="38">
        <f>AJ64*AK14*(1-'Inputs'!$E$29*AK37)* (1-AK37)</f>
        <v>0.0</v>
      </c>
      <c r="AL65" s="38">
        <f>AK64*AL14*(1-'Inputs'!$E$29*AL37)* (1-AL37)</f>
        <v>0.0</v>
      </c>
      <c r="AM65" s="38">
        <f>AL64*AM14*(1-'Inputs'!$E$29*AM37)* (1-AM37)</f>
        <v>0.0</v>
      </c>
      <c r="AN65" s="38">
        <f>AM64*AN14*(1-'Inputs'!$E$29*AN37)* (1-AN37)</f>
        <v>0.0</v>
      </c>
      <c r="AO65" s="38">
        <f>AN64*AO14*(1-'Inputs'!$E$29*AO37)* (1-AO37)</f>
        <v>0.0</v>
      </c>
      <c r="AP65" s="38">
        <f>AO64*AP14*(1-'Inputs'!$E$29*AP37)* (1-AP37)</f>
        <v>0.0</v>
      </c>
      <c r="AQ65" s="38">
        <f>AP64*AQ14*(1-'Inputs'!$E$29*AQ37)* (1-AQ37)</f>
        <v>0.0</v>
      </c>
    </row>
    <row r="66" ht="28" customHeight="1">
      <c r="A66" s="2" t="str">
        <v>DE.U.PRO.Y11</v>
      </c>
      <c r="B66" s="6" t="str">
        <v>Germany: not yet identity-checked: Pro annual, plan month 12</v>
      </c>
      <c r="C66" s="2" t="str">
        <v>count</v>
      </c>
      <c r="D66" s="2" t="str">
        <v>NA</v>
      </c>
      <c r="E66" s="2"/>
      <c r="F66" s="6" t="str"/>
      <c r="G66" s="2"/>
      <c r="H66" s="38">
        <f>0*H14*(1-'Inputs'!$E$29*H37)* (1-H37)</f>
        <v>0.0</v>
      </c>
      <c r="I66" s="38">
        <f>H65*I14*(1-'Inputs'!$E$29*I37)* (1-I37)</f>
        <v>0.0</v>
      </c>
      <c r="J66" s="38">
        <f>I65*J14*(1-'Inputs'!$E$29*J37)* (1-J37)</f>
        <v>0.0</v>
      </c>
      <c r="K66" s="38">
        <f>J65*K14*(1-'Inputs'!$E$29*K37)* (1-K37)</f>
        <v>0.0</v>
      </c>
      <c r="L66" s="38">
        <f>K65*L14*(1-'Inputs'!$E$29*L37)* (1-L37)</f>
        <v>0.0</v>
      </c>
      <c r="M66" s="38">
        <f>L65*M14*(1-'Inputs'!$E$29*M37)* (1-M37)</f>
        <v>0.0</v>
      </c>
      <c r="N66" s="38">
        <f>M65*N14*(1-'Inputs'!$E$29*N37)* (1-N37)</f>
        <v>0.0</v>
      </c>
      <c r="O66" s="38">
        <f>N65*O14*(1-'Inputs'!$E$29*O37)* (1-O37)</f>
        <v>0.0</v>
      </c>
      <c r="P66" s="38">
        <f>O65*P14*(1-'Inputs'!$E$29*P37)* (1-P37)</f>
        <v>0.0</v>
      </c>
      <c r="Q66" s="38">
        <f>P65*Q14*(1-'Inputs'!$E$29*Q37)* (1-Q37)</f>
        <v>0.0</v>
      </c>
      <c r="R66" s="38">
        <f>Q65*R14*(1-'Inputs'!$E$29*R37)* (1-R37)</f>
        <v>0.0</v>
      </c>
      <c r="S66" s="38">
        <f>R65*S14*(1-'Inputs'!$E$29*S37)* (1-S37)</f>
        <v>0.0</v>
      </c>
      <c r="T66" s="38">
        <f>S65*T14*(1-'Inputs'!$E$29*T37)* (1-T37)</f>
        <v>0.0</v>
      </c>
      <c r="U66" s="38">
        <f>T65*U14*(1-'Inputs'!$E$29*U37)* (1-U37)</f>
        <v>0.0</v>
      </c>
      <c r="V66" s="38">
        <f>U65*V14*(1-'Inputs'!$E$29*V37)* (1-V37)</f>
        <v>0.0</v>
      </c>
      <c r="W66" s="38">
        <f>V65*W14*(1-'Inputs'!$E$29*W37)* (1-W37)</f>
        <v>0.0</v>
      </c>
      <c r="X66" s="38">
        <f>W65*X14*(1-'Inputs'!$E$29*X37)* (1-X37)</f>
        <v>0.0</v>
      </c>
      <c r="Y66" s="38">
        <f>X65*Y14*(1-'Inputs'!$E$29*Y37)* (1-Y37)</f>
        <v>0.0</v>
      </c>
      <c r="Z66" s="38">
        <f>Y65*Z14*(1-'Inputs'!$E$29*Z37)* (1-Z37)</f>
        <v>0.0</v>
      </c>
      <c r="AA66" s="38">
        <f>Z65*AA14*(1-'Inputs'!$E$29*AA37)* (1-AA37)</f>
        <v>0.0</v>
      </c>
      <c r="AB66" s="38">
        <f>AA65*AB14*(1-'Inputs'!$E$29*AB37)* (1-AB37)</f>
        <v>0.0</v>
      </c>
      <c r="AC66" s="38">
        <f>AB65*AC14*(1-'Inputs'!$E$29*AC37)* (1-AC37)</f>
        <v>0.0</v>
      </c>
      <c r="AD66" s="38">
        <f>AC65*AD14*(1-'Inputs'!$E$29*AD37)* (1-AD37)</f>
        <v>0.0</v>
      </c>
      <c r="AE66" s="38">
        <f>AD65*AE14*(1-'Inputs'!$E$29*AE37)* (1-AE37)</f>
        <v>0.0</v>
      </c>
      <c r="AF66" s="38">
        <f>AE65*AF14*(1-'Inputs'!$E$29*AF37)* (1-AF37)</f>
        <v>0.0</v>
      </c>
      <c r="AG66" s="38">
        <f>AF65*AG14*(1-'Inputs'!$E$29*AG37)* (1-AG37)</f>
        <v>0.0</v>
      </c>
      <c r="AH66" s="38">
        <f>AG65*AH14*(1-'Inputs'!$E$29*AH37)* (1-AH37)</f>
        <v>0.0</v>
      </c>
      <c r="AI66" s="38">
        <f>AH65*AI14*(1-'Inputs'!$E$29*AI37)* (1-AI37)</f>
        <v>0.0</v>
      </c>
      <c r="AJ66" s="38">
        <f>AI65*AJ14*(1-'Inputs'!$E$29*AJ37)* (1-AJ37)</f>
        <v>0.0</v>
      </c>
      <c r="AK66" s="38">
        <f>AJ65*AK14*(1-'Inputs'!$E$29*AK37)* (1-AK37)</f>
        <v>0.0</v>
      </c>
      <c r="AL66" s="38">
        <f>AK65*AL14*(1-'Inputs'!$E$29*AL37)* (1-AL37)</f>
        <v>0.0</v>
      </c>
      <c r="AM66" s="38">
        <f>AL65*AM14*(1-'Inputs'!$E$29*AM37)* (1-AM37)</f>
        <v>0.0</v>
      </c>
      <c r="AN66" s="38">
        <f>AM65*AN14*(1-'Inputs'!$E$29*AN37)* (1-AN37)</f>
        <v>0.0</v>
      </c>
      <c r="AO66" s="38">
        <f>AN65*AO14*(1-'Inputs'!$E$29*AO37)* (1-AO37)</f>
        <v>0.0</v>
      </c>
      <c r="AP66" s="38">
        <f>AO65*AP14*(1-'Inputs'!$E$29*AP37)* (1-AP37)</f>
        <v>0.0</v>
      </c>
      <c r="AQ66" s="38">
        <f>AP65*AQ14*(1-'Inputs'!$E$29*AQ37)* (1-AQ37)</f>
        <v>0.0</v>
      </c>
    </row>
    <row r="67" ht="22" customHeight="1">
      <c r="A67" s="2" t="str">
        <v>DE.KYC</v>
      </c>
      <c r="B67" s="6" t="str">
        <v>Germany: new identity checks (KYC)</v>
      </c>
      <c r="C67" s="2" t="str">
        <v>count</v>
      </c>
      <c r="D67" s="2" t="str">
        <v>NA</v>
      </c>
      <c r="E67" s="2"/>
      <c r="F67" s="6" t="str"/>
      <c r="G67" s="2"/>
      <c r="H67" s="37">
        <f>MAX(0,H13-SUM(H39,H41,H42,H43,H44,H45,H46,H47,H48,H49,H50,H51,H52,H53,H54,H55,H56,H57,H58,H59,H60,H61,H62,H63,H64,H65,H66))</f>
        <v>0.044499999999999984</v>
      </c>
      <c r="I67" s="37">
        <f>MAX(0,SUM(H39,H41,H42,H43,H44,H45,H46,H47,H48,H49,H50,H51,H52,H53,H54,H55,H56,H57,H58,H59,H60,H61,H62,H63,H64,H65,H66)*I14-SUM(I39,I41,I42,I43,I44,I45,I46,I47,I48,I49,I50,I51,I52,I53,I54,I55,I56,I57,I58,I59,I60,I61,I62,I63,I64,I65,I66))</f>
        <v>0.017945654999999894</v>
      </c>
      <c r="J67" s="37">
        <f>MAX(0,SUM(I39,I41,I42,I43,I44,I45,I46,I47,I48,I49,I50,I51,I52,I53,I54,I55,I56,I57,I58,I59,I60,I61,I62,I63,I64,I65,I66)*J14-SUM(J39,J41,J42,J43,J44,J45,J46,J47,J48,J49,J50,J51,J52,J53,J54,J55,J56,J57,J58,J59,J60,J61,J62,J63,J64,J65,J66))</f>
        <v>0.014967221212125015</v>
      </c>
      <c r="K67" s="37">
        <f>MAX(0,SUM(J39,J41,J42,J43,J44,J45,J46,J47,J48,J49,J50,J51,J52,J53,J54,J55,J56,J57,J58,J59,J60,J61,J62,J63,J64,J65,J66)*K14-SUM(K39,K41,K42,K43,K44,K45,K46,K47,K48,K49,K50,K51,K52,K53,K54,K55,K56,K57,K58,K59,K60,K61,K62,K63,K64,K65,K66))</f>
        <v>0.013350072927393208</v>
      </c>
      <c r="L67" s="37">
        <f>MAX(0,SUM(K39,K41,K42,K43,K44,K45,K46,K47,K48,K49,K50,K51,K52,K53,K54,K55,K56,K57,K58,K59,K60,K61,K62,K63,K64,K65,K66)*L14-SUM(L39,L41,L42,L43,L44,L45,L46,L47,L48,L49,L50,L51,L52,L53,L54,L55,L56,L57,L58,L59,L60,L61,L62,L63,L64,L65,L66))</f>
        <v>0.011809302728203686</v>
      </c>
      <c r="M67" s="37">
        <f>MAX(0,SUM(L39,L41,L42,L43,L44,L45,L46,L47,L48,L49,L50,L51,L52,L53,L54,L55,L56,L57,L58,L59,L60,L61,L62,L63,L64,L65,L66)*M14-SUM(M39,M41,M42,M43,M44,M45,M46,M47,M48,M49,M50,M51,M52,M53,M54,M55,M56,M57,M58,M59,M60,M61,M62,M63,M64,M65,M66))</f>
        <v>0.010801588146832297</v>
      </c>
      <c r="N67" s="37">
        <f>MAX(0,SUM(M39,M41,M42,M43,M44,M45,M46,M47,M48,M49,M50,M51,M52,M53,M54,M55,M56,M57,M58,M59,M60,M61,M62,M63,M64,M65,M66)*N14-SUM(N39,N41,N42,N43,N44,N45,N46,N47,N48,N49,N50,N51,N52,N53,N54,N55,N56,N57,N58,N59,N60,N61,N62,N63,N64,N65,N66))</f>
        <v>0.01006328806145701</v>
      </c>
      <c r="O67" s="37">
        <f>MAX(0,SUM(N39,N41,N42,N43,N44,N45,N46,N47,N48,N49,N50,N51,N52,N53,N54,N55,N56,N57,N58,N59,N60,N61,N62,N63,N64,N65,N66)*O14-SUM(O39,O41,O42,O43,O44,O45,O46,O47,O48,O49,O50,O51,O52,O53,O54,O55,O56,O57,O58,O59,O60,O61,O62,O63,O64,O65,O66))</f>
        <v>0.00935697664768309</v>
      </c>
      <c r="P67" s="37">
        <f>MAX(0,SUM(O39,O41,O42,O43,O44,O45,O46,O47,O48,O49,O50,O51,O52,O53,O54,O55,O56,O57,O58,O59,O60,O61,O62,O63,O64,O65,O66)*P14-SUM(P39,P41,P42,P43,P44,P45,P46,P47,P48,P49,P50,P51,P52,P53,P54,P55,P56,P57,P58,P59,P60,P61,P62,P63,P64,P65,P66))</f>
        <v>0.00868145765802869</v>
      </c>
      <c r="Q67" s="37">
        <f>MAX(0,SUM(P39,P41,P42,P43,P44,P45,P46,P47,P48,P49,P50,P51,P52,P53,P54,P55,P56,P57,P58,P59,P60,P61,P62,P63,P64,P65,P66)*Q14-SUM(Q39,Q41,Q42,Q43,Q44,Q45,Q46,Q47,Q48,Q49,Q50,Q51,Q52,Q53,Q54,Q55,Q56,Q57,Q58,Q59,Q60,Q61,Q62,Q63,Q64,Q65,Q66))</f>
        <v>0.008035576834194313</v>
      </c>
      <c r="R67" s="37">
        <f>MAX(0,SUM(Q39,Q41,Q42,Q43,Q44,Q45,Q46,Q47,Q48,Q49,Q50,Q51,Q52,Q53,Q54,Q55,Q56,Q57,Q58,Q59,Q60,Q61,Q62,Q63,Q64,Q65,Q66)*R14-SUM(R39,R41,R42,R43,R44,R45,R46,R47,R48,R49,R50,R51,R52,R53,R54,R55,R56,R57,R58,R59,R60,R61,R62,R63,R64,R65,R66))</f>
        <v>0.007618712879659928</v>
      </c>
      <c r="S67" s="37">
        <f>MAX(0,SUM(R39,R41,R42,R43,R44,R45,R46,R47,R48,R49,R50,R51,R52,R53,R54,R55,R56,R57,R58,R59,R60,R61,R62,R63,R64,R65,R66)*S14-SUM(S39,S41,S42,S43,S44,S45,S46,S47,S48,S49,S50,S51,S52,S53,S54,S55,S56,S57,S58,S59,S60,S61,S62,S63,S64,S65,S66))</f>
        <v>0.007218503186541159</v>
      </c>
      <c r="T67" s="37">
        <f>MAX(0,SUM(S39,S41,S42,S43,S44,S45,S46,S47,S48,S49,S50,S51,S52,S53,S54,S55,S56,S57,S58,S59,S60,S61,S62,S63,S64,S65,S66)*T14-SUM(T39,T41,T42,T43,T44,T45,T46,T47,T48,T49,T50,T51,T52,T53,T54,T55,T56,T57,T58,T59,T60,T61,T62,T63,T64,T65,T66))</f>
        <v>0.006834349212736596</v>
      </c>
      <c r="U67" s="37">
        <f>MAX(0,SUM(T39,T41,T42,T43,T44,T45,T46,T47,T48,T49,T50,T51,T52,T53,T54,T55,T56,T57,T58,T59,T60,T61,T62,T63,T64,T65,T66)*U14-SUM(U39,U41,U42,U43,U44,U45,U46,U47,U48,U49,U50,U51,U52,U53,U54,U55,U56,U57,U58,U59,U60,U61,U62,U63,U64,U65,U66))</f>
        <v>0.006610091916968597</v>
      </c>
      <c r="V67" s="37">
        <f>MAX(0,SUM(U39,U41,U42,U43,U44,U45,U46,U47,U48,U49,U50,U51,U52,U53,U54,U55,U56,U57,U58,U59,U60,U61,U62,U63,U64,U65,U66)*V14-SUM(V39,V41,V42,V43,V44,V45,V46,V47,V48,V49,V50,V51,V52,V53,V54,V55,V56,V57,V58,V59,V60,V61,V62,V63,V64,V65,V66))</f>
        <v>0.0063875730202982706</v>
      </c>
      <c r="W67" s="37">
        <f>MAX(0,SUM(V39,V41,V42,V43,V44,V45,V46,V47,V48,V49,V50,V51,V52,V53,V54,V55,V56,V57,V58,V59,V60,V61,V62,V63,V64,V65,V66)*W14-SUM(W39,W41,W42,W43,W44,W45,W46,W47,W48,W49,W50,W51,W52,W53,W54,W55,W56,W57,W58,W59,W60,W61,W62,W63,W64,W65,W66))</f>
        <v>0.0061722490145298126</v>
      </c>
      <c r="X67" s="37">
        <f>MAX(0,SUM(W39,W41,W42,W43,W44,W45,W46,W47,W48,W49,W50,W51,W52,W53,W54,W55,W56,W57,W58,W59,W60,W61,W62,W63,W64,W65,W66)*X14-SUM(X39,X41,X42,X43,X44,X45,X46,X47,X48,X49,X50,X51,X52,X53,X54,X55,X56,X57,X58,X59,X60,X61,X62,X63,X64,X65,X66))</f>
        <v>0.0059638931125299555</v>
      </c>
      <c r="Y67" s="37">
        <f>MAX(0,SUM(X39,X41,X42,X43,X44,X45,X46,X47,X48,X49,X50,X51,X52,X53,X54,X55,X56,X57,X58,X59,X60,X61,X62,X63,X64,X65,X66)*Y14-SUM(Y39,Y41,Y42,Y43,Y44,Y45,Y46,Y47,Y48,Y49,Y50,Y51,Y52,Y53,Y54,Y55,Y56,Y57,Y58,Y59,Y60,Y61,Y62,Y63,Y64,Y65,Y66))</f>
        <v>0.005762285597086914</v>
      </c>
      <c r="Z67" s="37">
        <f>MAX(0,SUM(Y39,Y41,Y42,Y43,Y44,Y45,Y46,Y47,Y48,Y49,Y50,Y51,Y52,Y53,Y54,Y55,Y56,Y57,Y58,Y59,Y60,Y61,Y62,Y63,Y64,Y65,Y66)*Z14-SUM(Z39,Z41,Z42,Z43,Z44,Z45,Z46,Z47,Z48,Z49,Z50,Z51,Z52,Z53,Z54,Z55,Z56,Z57,Z58,Z59,Z60,Z61,Z62,Z63,Z64,Z65,Z66))</f>
        <v>0.005567213596068016</v>
      </c>
      <c r="AA67" s="37">
        <f>MAX(0,SUM(Z39,Z41,Z42,Z43,Z44,Z45,Z46,Z47,Z48,Z49,Z50,Z51,Z52,Z53,Z54,Z55,Z56,Z57,Z58,Z59,Z60,Z61,Z62,Z63,Z64,Z65,Z66)*AA14-SUM(AA39,AA41,AA42,AA43,AA44,AA45,AA46,AA47,AA48,AA49,AA50,AA51,AA52,AA53,AA54,AA55,AA56,AA57,AA58,AA59,AA60,AA61,AA62,AA63,AA64,AA65,AA66))</f>
        <v>0.005378470865582491</v>
      </c>
      <c r="AB67" s="37">
        <f>MAX(0,SUM(AA39,AA41,AA42,AA43,AA44,AA45,AA46,AA47,AA48,AA49,AA50,AA51,AA52,AA53,AA54,AA55,AA56,AA57,AA58,AA59,AA60,AA61,AA62,AA63,AA64,AA65,AA66)*AB14-SUM(AB39,AB41,AB42,AB43,AB44,AB45,AB46,AB47,AB48,AB49,AB50,AB51,AB52,AB53,AB54,AB55,AB56,AB57,AB58,AB59,AB60,AB61,AB62,AB63,AB64,AB65,AB66))</f>
        <v>0.005195857580758689</v>
      </c>
      <c r="AC67" s="37">
        <f>MAX(0,SUM(AB39,AB41,AB42,AB43,AB44,AB45,AB46,AB47,AB48,AB49,AB50,AB51,AB52,AB53,AB54,AB55,AB56,AB57,AB58,AB59,AB60,AB61,AB62,AB63,AB64,AB65,AB66)*AC14-SUM(AC39,AC41,AC42,AC43,AC44,AC45,AC46,AC47,AC48,AC49,AC50,AC51,AC52,AC53,AC54,AC55,AC56,AC57,AC58,AC59,AC60,AC61,AC62,AC63,AC64,AC65,AC66))</f>
        <v>0.005019180133772977</v>
      </c>
      <c r="AD67" s="37">
        <f>MAX(0,SUM(AC39,AC41,AC42,AC43,AC44,AC45,AC46,AC47,AC48,AC49,AC50,AC51,AC52,AC53,AC54,AC55,AC56,AC57,AC58,AC59,AC60,AC61,AC62,AC63,AC64,AC65,AC66)*AD14-SUM(AD39,AD41,AD42,AD43,AD44,AD45,AD46,AD47,AD48,AD49,AD50,AD51,AD52,AD53,AD54,AD55,AD56,AD57,AD58,AD59,AD60,AD61,AD62,AD63,AD64,AD65,AD66))</f>
        <v>0.004848250938796983</v>
      </c>
      <c r="AE67" s="37">
        <f>MAX(0,SUM(AD39,AD41,AD42,AD43,AD44,AD45,AD46,AD47,AD48,AD49,AD50,AD51,AD52,AD53,AD54,AD55,AD56,AD57,AD58,AD59,AD60,AD61,AD62,AD63,AD64,AD65,AD66)*AE14-SUM(AE39,AE41,AE42,AE43,AE44,AE45,AE46,AE47,AE48,AE49,AE50,AE51,AE52,AE53,AE54,AE55,AE56,AE57,AE58,AE59,AE60,AE61,AE62,AE63,AE64,AE65,AE66))</f>
        <v>0.004682888243552424</v>
      </c>
      <c r="AF67" s="37">
        <f>MAX(0,SUM(AE39,AE41,AE42,AE43,AE44,AE45,AE46,AE47,AE48,AE49,AE50,AE51,AE52,AE53,AE54,AE55,AE56,AE57,AE58,AE59,AE60,AE61,AE62,AE63,AE64,AE65,AE66)*AF14-SUM(AF39,AF41,AF42,AF43,AF44,AF45,AF46,AF47,AF48,AF49,AF50,AF51,AF52,AF53,AF54,AF55,AF56,AF57,AF58,AF59,AF60,AF61,AF62,AF63,AF64,AF65,AF66))</f>
        <v>0.004522915947184569</v>
      </c>
      <c r="AG67" s="37">
        <f>MAX(0,SUM(AF39,AF41,AF42,AF43,AF44,AF45,AF46,AF47,AF48,AF49,AF50,AF51,AF52,AF53,AF54,AF55,AF56,AF57,AF58,AF59,AF60,AF61,AF62,AF63,AF64,AF65,AF66)*AG14-SUM(AG39,AG41,AG42,AG43,AG44,AG45,AG46,AG47,AG48,AG49,AG50,AG51,AG52,AG53,AG54,AG55,AG56,AG57,AG58,AG59,AG60,AG61,AG62,AG63,AG64,AG65,AG66))</f>
        <v>0.004329525713993393</v>
      </c>
      <c r="AH67" s="37">
        <f>MAX(0,SUM(AG39,AG41,AG42,AG43,AG44,AG45,AG46,AG47,AG48,AG49,AG50,AG51,AG52,AG53,AG54,AG55,AG56,AG57,AG58,AG59,AG60,AG61,AG62,AG63,AG64,AG65,AG66)*AH14-SUM(AH39,AH41,AH42,AH43,AH44,AH45,AH46,AH47,AH48,AH49,AH50,AH51,AH52,AH53,AH54,AH55,AH56,AH57,AH58,AH59,AH60,AH61,AH62,AH63,AH64,AH65,AH66))</f>
        <v>0.0041419862314751865</v>
      </c>
      <c r="AI67" s="37">
        <f>MAX(0,SUM(AH39,AH41,AH42,AH43,AH44,AH45,AH46,AH47,AH48,AH49,AH50,AH51,AH52,AH53,AH54,AH55,AH56,AH57,AH58,AH59,AH60,AH61,AH62,AH63,AH64,AH65,AH66)*AI14-SUM(AI39,AI41,AI42,AI43,AI44,AI45,AI46,AI47,AI48,AI49,AI50,AI51,AI52,AI53,AI54,AI55,AI56,AI57,AI58,AI59,AI60,AI61,AI62,AI63,AI64,AI65,AI66))</f>
        <v>0.003961394312660793</v>
      </c>
      <c r="AJ67" s="37">
        <f>MAX(0,SUM(AI39,AI41,AI42,AI43,AI44,AI45,AI46,AI47,AI48,AI49,AI50,AI51,AI52,AI53,AI54,AI55,AI56,AI57,AI58,AI59,AI60,AI61,AI62,AI63,AI64,AI65,AI66)*AJ14-SUM(AJ39,AJ41,AJ42,AJ43,AJ44,AJ45,AJ46,AJ47,AJ48,AJ49,AJ50,AJ51,AJ52,AJ53,AJ54,AJ55,AJ56,AJ57,AJ58,AJ59,AJ60,AJ61,AJ62,AJ63,AJ64,AJ65,AJ66))</f>
        <v>0.003787511973216945</v>
      </c>
      <c r="AK67" s="37">
        <f>MAX(0,SUM(AJ39,AJ41,AJ42,AJ43,AJ44,AJ45,AJ46,AJ47,AJ48,AJ49,AJ50,AJ51,AJ52,AJ53,AJ54,AJ55,AJ56,AJ57,AJ58,AJ59,AJ60,AJ61,AJ62,AJ63,AJ64,AJ65,AJ66)*AK14-SUM(AK39,AK41,AK42,AK43,AK44,AK45,AK46,AK47,AK48,AK49,AK50,AK51,AK52,AK53,AK54,AK55,AK56,AK57,AK58,AK59,AK60,AK61,AK62,AK63,AK64,AK65,AK66))</f>
        <v>0.0036500272729438343</v>
      </c>
      <c r="AL67" s="37">
        <f>MAX(0,SUM(AK39,AK41,AK42,AK43,AK44,AK45,AK46,AK47,AK48,AK49,AK50,AK51,AK52,AK53,AK54,AK55,AK56,AK57,AK58,AK59,AK60,AK61,AK62,AK63,AK64,AK65,AK66)*AL14-SUM(AL39,AL41,AL42,AL43,AL44,AL45,AL46,AL47,AL48,AL49,AL50,AL51,AL52,AL53,AL54,AL55,AL56,AL57,AL58,AL59,AL60,AL61,AL62,AL63,AL64,AL65,AL66))</f>
        <v>0.0035171944820636125</v>
      </c>
      <c r="AM67" s="37">
        <f>MAX(0,SUM(AL39,AL41,AL42,AL43,AL44,AL45,AL46,AL47,AL48,AL49,AL50,AL51,AL52,AL53,AL54,AL55,AL56,AL57,AL58,AL59,AL60,AL61,AL62,AL63,AL64,AL65,AL66)*AM14-SUM(AM39,AM41,AM42,AM43,AM44,AM45,AM46,AM47,AM48,AM49,AM50,AM51,AM52,AM53,AM54,AM55,AM56,AM57,AM58,AM59,AM60,AM61,AM62,AM63,AM64,AM65,AM66))</f>
        <v>0.0033888628409763366</v>
      </c>
      <c r="AN67" s="37">
        <f>MAX(0,SUM(AM39,AM41,AM42,AM43,AM44,AM45,AM46,AM47,AM48,AM49,AM50,AM51,AM52,AM53,AM54,AM55,AM56,AM57,AM58,AM59,AM60,AM61,AM62,AM63,AM64,AM65,AM66)*AN14-SUM(AN39,AN41,AN42,AN43,AN44,AN45,AN46,AN47,AN48,AN49,AN50,AN51,AN52,AN53,AN54,AN55,AN56,AN57,AN58,AN59,AN60,AN61,AN62,AN63,AN64,AN65,AN66))</f>
        <v>0.0032648863415517676</v>
      </c>
      <c r="AO67" s="37">
        <f>MAX(0,SUM(AN39,AN41,AN42,AN43,AN44,AN45,AN46,AN47,AN48,AN49,AN50,AN51,AN52,AN53,AN54,AN55,AN56,AN57,AN58,AN59,AN60,AN61,AN62,AN63,AN64,AN65,AN66)*AO14-SUM(AO39,AO41,AO42,AO43,AO44,AO45,AO46,AO47,AO48,AO49,AO50,AO51,AO52,AO53,AO54,AO55,AO56,AO57,AO58,AO59,AO60,AO61,AO62,AO63,AO64,AO65,AO66))</f>
        <v>0.0031451235795200982</v>
      </c>
      <c r="AP67" s="37">
        <f>MAX(0,SUM(AO39,AO41,AO42,AO43,AO44,AO45,AO46,AO47,AO48,AO49,AO50,AO51,AO52,AO53,AO54,AO55,AO56,AO57,AO58,AO59,AO60,AO61,AO62,AO63,AO64,AO65,AO66)*AP14-SUM(AP39,AP41,AP42,AP43,AP44,AP45,AP46,AP47,AP48,AP49,AP50,AP51,AP52,AP53,AP54,AP55,AP56,AP57,AP58,AP59,AP60,AP61,AP62,AP63,AP64,AP65,AP66))</f>
        <v>0.0030294376115031357</v>
      </c>
      <c r="AQ67" s="37">
        <f>MAX(0,SUM(AP39,AP41,AP42,AP43,AP44,AP45,AP46,AP47,AP48,AP49,AP50,AP51,AP52,AP53,AP54,AP55,AP56,AP57,AP58,AP59,AP60,AP61,AP62,AP63,AP64,AP65,AP66)*AQ14-SUM(AQ39,AQ41,AQ42,AQ43,AQ44,AQ45,AQ46,AQ47,AQ48,AQ49,AQ50,AQ51,AQ52,AQ53,AQ54,AQ55,AQ56,AQ57,AQ58,AQ59,AQ60,AQ61,AQ62,AQ63,AQ64,AQ65,AQ66))</f>
        <v>0.0029176958165268024</v>
      </c>
    </row>
    <row r="68" ht="28" customHeight="1">
      <c r="A68" s="2" t="str">
        <v>DE.R1.REVENUE</v>
      </c>
      <c r="B68" s="6" t="str">
        <v>Germany: subscription revenue (net of VAT)</v>
      </c>
      <c r="C68" s="2" t="str">
        <v>EUR_per_user</v>
      </c>
      <c r="D68" s="2" t="str">
        <v>SUM</v>
      </c>
      <c r="E68" s="35">
        <f>SUM(H68:AQ68)</f>
        <v>22.218544125185687</v>
      </c>
      <c r="F68" s="6" t="str"/>
      <c r="G68" s="2"/>
      <c r="H68" s="36">
        <f>H35/(1+'Inputs'!$E$43)</f>
        <v>0.9322857142857144</v>
      </c>
      <c r="I68" s="36">
        <f>I35/(1+'Inputs'!$E$43)</f>
        <v>0.928837855462185</v>
      </c>
      <c r="J68" s="36">
        <f>J35/(1+'Inputs'!$E$43)</f>
        <v>0.9183084626016806</v>
      </c>
      <c r="K68" s="36">
        <f>K35/(1+'Inputs'!$E$43)</f>
        <v>0.9054557917111798</v>
      </c>
      <c r="L68" s="36">
        <f>L35/(1+'Inputs'!$E$43)</f>
        <v>0.8904152651788771</v>
      </c>
      <c r="M68" s="36">
        <f>M35/(1+'Inputs'!$E$43)</f>
        <v>0.8750085624672937</v>
      </c>
      <c r="N68" s="36">
        <f>N35/(1+'Inputs'!$E$43)</f>
        <v>0.8600711411468224</v>
      </c>
      <c r="O68" s="36">
        <f>O35/(1+'Inputs'!$E$43)</f>
        <v>0.8455306302922507</v>
      </c>
      <c r="P68" s="36">
        <f>P35/(1+'Inputs'!$E$43)</f>
        <v>0.8313211970989185</v>
      </c>
      <c r="Q68" s="36">
        <f>Q35/(1+'Inputs'!$E$43)</f>
        <v>0.8173829714932233</v>
      </c>
      <c r="R68" s="36">
        <f>R35/(1+'Inputs'!$E$43)</f>
        <v>0.8045005619366952</v>
      </c>
      <c r="S68" s="36">
        <f>S35/(1+'Inputs'!$E$43)</f>
        <v>0.7925633871992783</v>
      </c>
      <c r="T68" s="36">
        <f>T35/(1+'Inputs'!$E$43)</f>
        <v>0.6340027726945605</v>
      </c>
      <c r="U68" s="36">
        <f>U35/(1+'Inputs'!$E$43)</f>
        <v>0.6153111629721577</v>
      </c>
      <c r="V68" s="36">
        <f>V35/(1+'Inputs'!$E$43)</f>
        <v>0.5992503298848209</v>
      </c>
      <c r="W68" s="36">
        <f>W35/(1+'Inputs'!$E$43)</f>
        <v>0.5850207848133783</v>
      </c>
      <c r="X68" s="36">
        <f>X35/(1+'Inputs'!$E$43)</f>
        <v>0.5725120328696142</v>
      </c>
      <c r="Y68" s="36">
        <f>Y35/(1+'Inputs'!$E$43)</f>
        <v>0.5613546109341191</v>
      </c>
      <c r="Z68" s="36">
        <f>Z35/(1+'Inputs'!$E$43)</f>
        <v>0.5513238312640053</v>
      </c>
      <c r="AA68" s="36">
        <f>AA35/(1+'Inputs'!$E$43)</f>
        <v>0.5423376563609846</v>
      </c>
      <c r="AB68" s="36">
        <f>AB35/(1+'Inputs'!$E$43)</f>
        <v>0.5343213242531126</v>
      </c>
      <c r="AC68" s="36">
        <f>AC35/(1+'Inputs'!$E$43)</f>
        <v>0.5272066948915716</v>
      </c>
      <c r="AD68" s="36">
        <f>AD35/(1+'Inputs'!$E$43)</f>
        <v>0.5207989365981358</v>
      </c>
      <c r="AE68" s="36">
        <f>AE35/(1+'Inputs'!$E$43)</f>
        <v>0.5150420500224286</v>
      </c>
      <c r="AF68" s="36">
        <f>AF35/(1+'Inputs'!$E$43)</f>
        <v>0.45827119889374957</v>
      </c>
      <c r="AG68" s="36">
        <f>AG35/(1+'Inputs'!$E$43)</f>
        <v>0.4500759699613995</v>
      </c>
      <c r="AH68" s="36">
        <f>AH35/(1+'Inputs'!$E$43)</f>
        <v>0.4425352754904627</v>
      </c>
      <c r="AI68" s="36">
        <f>AI35/(1+'Inputs'!$E$43)</f>
        <v>0.4353881259495041</v>
      </c>
      <c r="AJ68" s="36">
        <f>AJ35/(1+'Inputs'!$E$43)</f>
        <v>0.42861298581552176</v>
      </c>
      <c r="AK68" s="36">
        <f>AK35/(1+'Inputs'!$E$43)</f>
        <v>0.4223069645691858</v>
      </c>
      <c r="AL68" s="36">
        <f>AL35/(1+'Inputs'!$E$43)</f>
        <v>0.416391136553486</v>
      </c>
      <c r="AM68" s="36">
        <f>AM35/(1+'Inputs'!$E$43)</f>
        <v>0.41083652744287164</v>
      </c>
      <c r="AN68" s="36">
        <f>AN35/(1+'Inputs'!$E$43)</f>
        <v>0.40561673080518823</v>
      </c>
      <c r="AO68" s="36">
        <f>AO35/(1+'Inputs'!$E$43)</f>
        <v>0.4007076772746897</v>
      </c>
      <c r="AP68" s="36">
        <f>AP35/(1+'Inputs'!$E$43)</f>
        <v>0.39604097294227125</v>
      </c>
      <c r="AQ68" s="36">
        <f>AQ35/(1+'Inputs'!$E$43)</f>
        <v>0.3915968310543483</v>
      </c>
    </row>
    <row r="69" ht="28" customHeight="1">
      <c r="A69" s="2" t="str">
        <v>DE.R2.REVENUE</v>
      </c>
      <c r="B69" s="6" t="str">
        <v>Germany: copy-trading revenue (net of VAT)</v>
      </c>
      <c r="C69" s="2" t="str">
        <v>EUR_per_user</v>
      </c>
      <c r="D69" s="2" t="str">
        <v>SUM</v>
      </c>
      <c r="E69" s="35">
        <f>SUM(H69:AQ69)</f>
        <v>57.51151587294633</v>
      </c>
      <c r="F69" s="6" t="str"/>
      <c r="G69" s="2"/>
      <c r="H69" s="36">
        <f>H38*'Inputs'!$E$31*'Inputs'!$E$27*'Inputs'!$E$61/'Inputs'!$E$62/(1+'Inputs'!$E$43)</f>
        <v>0.5459453781512605</v>
      </c>
      <c r="I69" s="36">
        <f>I38*'Inputs'!$E$31*'Inputs'!$E$27*'Inputs'!$E$61/'Inputs'!$E$62/(1+'Inputs'!$E$43)</f>
        <v>0.7318397794117647</v>
      </c>
      <c r="J69" s="36">
        <f>J38*'Inputs'!$E$31*'Inputs'!$E$27*'Inputs'!$E$61/'Inputs'!$E$62/(1+'Inputs'!$E$43)</f>
        <v>0.9015387110294116</v>
      </c>
      <c r="K69" s="36">
        <f>K38*'Inputs'!$E$31*'Inputs'!$E$27*'Inputs'!$E$61/'Inputs'!$E$62/(1+'Inputs'!$E$43)</f>
        <v>1.0564355518591124</v>
      </c>
      <c r="L69" s="36">
        <f>L38*'Inputs'!$E$31*'Inputs'!$E$27*'Inputs'!$E$61/'Inputs'!$E$62/(1+'Inputs'!$E$43)</f>
        <v>1.1517349890311648</v>
      </c>
      <c r="M69" s="36">
        <f>M38*'Inputs'!$E$31*'Inputs'!$E$27*'Inputs'!$E$61/'Inputs'!$E$62/(1+'Inputs'!$E$43)</f>
        <v>1.2472015917967973</v>
      </c>
      <c r="N69" s="36">
        <f>N38*'Inputs'!$E$31*'Inputs'!$E$27*'Inputs'!$E$61/'Inputs'!$E$62/(1+'Inputs'!$E$43)</f>
        <v>1.3383036231943042</v>
      </c>
      <c r="O69" s="36">
        <f>O38*'Inputs'!$E$31*'Inputs'!$E$27*'Inputs'!$E$61/'Inputs'!$E$62/(1+'Inputs'!$E$43)</f>
        <v>1.4048799804845948</v>
      </c>
      <c r="P69" s="36">
        <f>P38*'Inputs'!$E$31*'Inputs'!$E$27*'Inputs'!$E$61/'Inputs'!$E$62/(1+'Inputs'!$E$43)</f>
        <v>1.449513708946193</v>
      </c>
      <c r="Q69" s="36">
        <f>Q38*'Inputs'!$E$31*'Inputs'!$E$27*'Inputs'!$E$61/'Inputs'!$E$62/(1+'Inputs'!$E$43)</f>
        <v>1.4745259341556962</v>
      </c>
      <c r="R69" s="36">
        <f>R38*'Inputs'!$E$31*'Inputs'!$E$27*'Inputs'!$E$61/'Inputs'!$E$62/(1+'Inputs'!$E$43)</f>
        <v>1.5220558265332111</v>
      </c>
      <c r="S69" s="36">
        <f>S38*'Inputs'!$E$31*'Inputs'!$E$27*'Inputs'!$E$61/'Inputs'!$E$62/(1+'Inputs'!$E$43)</f>
        <v>1.558031369054963</v>
      </c>
      <c r="T69" s="36">
        <f>T38*'Inputs'!$E$31*'Inputs'!$E$27*'Inputs'!$E$61/'Inputs'!$E$62/(1+'Inputs'!$E$43)</f>
        <v>1.5836093441525745</v>
      </c>
      <c r="U69" s="36">
        <f>U38*'Inputs'!$E$31*'Inputs'!$E$27*'Inputs'!$E$61/'Inputs'!$E$62/(1+'Inputs'!$E$43)</f>
        <v>1.6341155048810454</v>
      </c>
      <c r="V69" s="36">
        <f>V38*'Inputs'!$E$31*'Inputs'!$E$27*'Inputs'!$E$61/'Inputs'!$E$62/(1+'Inputs'!$E$43)</f>
        <v>1.6785702424548454</v>
      </c>
      <c r="W69" s="36">
        <f>W38*'Inputs'!$E$31*'Inputs'!$E$27*'Inputs'!$E$61/'Inputs'!$E$62/(1+'Inputs'!$E$43)</f>
        <v>1.7175213784061494</v>
      </c>
      <c r="X69" s="36">
        <f>X38*'Inputs'!$E$31*'Inputs'!$E$27*'Inputs'!$E$61/'Inputs'!$E$62/(1+'Inputs'!$E$43)</f>
        <v>1.7514673261389535</v>
      </c>
      <c r="Y69" s="36">
        <f>Y38*'Inputs'!$E$31*'Inputs'!$E$27*'Inputs'!$E$61/'Inputs'!$E$62/(1+'Inputs'!$E$43)</f>
        <v>1.7808615323002976</v>
      </c>
      <c r="Z69" s="36">
        <f>Z38*'Inputs'!$E$31*'Inputs'!$E$27*'Inputs'!$E$61/'Inputs'!$E$62/(1+'Inputs'!$E$43)</f>
        <v>1.8061165200921023</v>
      </c>
      <c r="AA69" s="36">
        <f>AA38*'Inputs'!$E$31*'Inputs'!$E$27*'Inputs'!$E$61/'Inputs'!$E$62/(1+'Inputs'!$E$43)</f>
        <v>1.8276075701048178</v>
      </c>
      <c r="AB69" s="36">
        <f>AB38*'Inputs'!$E$31*'Inputs'!$E$27*'Inputs'!$E$61/'Inputs'!$E$62/(1+'Inputs'!$E$43)</f>
        <v>1.845676071081235</v>
      </c>
      <c r="AC69" s="36">
        <f>AC38*'Inputs'!$E$31*'Inputs'!$E$27*'Inputs'!$E$61/'Inputs'!$E$62/(1+'Inputs'!$E$43)</f>
        <v>1.8606325701283266</v>
      </c>
      <c r="AD69" s="36">
        <f>AD38*'Inputs'!$E$31*'Inputs'!$E$27*'Inputs'!$E$61/'Inputs'!$E$62/(1+'Inputs'!$E$43)</f>
        <v>1.8727595492616655</v>
      </c>
      <c r="AE69" s="36">
        <f>AE38*'Inputs'!$E$31*'Inputs'!$E$27*'Inputs'!$E$61/'Inputs'!$E$62/(1+'Inputs'!$E$43)</f>
        <v>1.8823139527681176</v>
      </c>
      <c r="AF69" s="36">
        <f>AF38*'Inputs'!$E$31*'Inputs'!$E$27*'Inputs'!$E$61/'Inputs'!$E$62/(1+'Inputs'!$E$43)</f>
        <v>1.8895294876871584</v>
      </c>
      <c r="AG69" s="36">
        <f>AG38*'Inputs'!$E$31*'Inputs'!$E$27*'Inputs'!$E$61/'Inputs'!$E$62/(1+'Inputs'!$E$43)</f>
        <v>1.8772634317566042</v>
      </c>
      <c r="AH69" s="36">
        <f>AH38*'Inputs'!$E$31*'Inputs'!$E$27*'Inputs'!$E$61/'Inputs'!$E$62/(1+'Inputs'!$E$43)</f>
        <v>1.8627391234831838</v>
      </c>
      <c r="AI69" s="36">
        <f>AI38*'Inputs'!$E$31*'Inputs'!$E$27*'Inputs'!$E$61/'Inputs'!$E$62/(1+'Inputs'!$E$43)</f>
        <v>1.8461738585549967</v>
      </c>
      <c r="AJ69" s="36">
        <f>AJ38*'Inputs'!$E$31*'Inputs'!$E$27*'Inputs'!$E$61/'Inputs'!$E$62/(1+'Inputs'!$E$43)</f>
        <v>1.827764308266343</v>
      </c>
      <c r="AK69" s="36">
        <f>AK38*'Inputs'!$E$31*'Inputs'!$E$27*'Inputs'!$E$61/'Inputs'!$E$62/(1+'Inputs'!$E$43)</f>
        <v>1.8226280297173998</v>
      </c>
      <c r="AL69" s="36">
        <f>AL38*'Inputs'!$E$31*'Inputs'!$E$27*'Inputs'!$E$61/'Inputs'!$E$62/(1+'Inputs'!$E$43)</f>
        <v>1.8161764991256448</v>
      </c>
      <c r="AM69" s="36">
        <f>AM38*'Inputs'!$E$31*'Inputs'!$E$27*'Inputs'!$E$61/'Inputs'!$E$62/(1+'Inputs'!$E$43)</f>
        <v>1.808531202879444</v>
      </c>
      <c r="AN69" s="36">
        <f>AN38*'Inputs'!$E$31*'Inputs'!$E$27*'Inputs'!$E$61/'Inputs'!$E$62/(1+'Inputs'!$E$43)</f>
        <v>1.7998024773771497</v>
      </c>
      <c r="AO69" s="36">
        <f>AO38*'Inputs'!$E$31*'Inputs'!$E$27*'Inputs'!$E$61/'Inputs'!$E$62/(1+'Inputs'!$E$43)</f>
        <v>1.7900905267862477</v>
      </c>
      <c r="AP69" s="36">
        <f>AP38*'Inputs'!$E$31*'Inputs'!$E$27*'Inputs'!$E$61/'Inputs'!$E$62/(1+'Inputs'!$E$43)</f>
        <v>1.7794863483421277</v>
      </c>
      <c r="AQ69" s="36">
        <f>AQ38*'Inputs'!$E$31*'Inputs'!$E$27*'Inputs'!$E$61/'Inputs'!$E$62/(1+'Inputs'!$E$43)</f>
        <v>1.7680725735514269</v>
      </c>
    </row>
    <row r="70" ht="22" customHeight="1">
      <c r="A70" s="2" t="str">
        <v>DE.WEB_GROSS</v>
      </c>
      <c r="B70" s="6" t="str">
        <v>Germany: web card volume (incl. VAT)</v>
      </c>
      <c r="C70" s="2" t="str">
        <v>EUR_per_user</v>
      </c>
      <c r="D70" s="2" t="str">
        <v>NA</v>
      </c>
      <c r="E70" s="2"/>
      <c r="F70" s="6" t="str"/>
      <c r="G70" s="2"/>
      <c r="H70" s="36">
        <f>H34*(1-'Inputs'!$E$25)+H69*(1+'Inputs'!$E$43)</f>
        <v>3.097195</v>
      </c>
      <c r="I70" s="36">
        <f>I34*(1-'Inputs'!$E$25)+I69*(1+'Inputs'!$E$43)</f>
        <v>1.4868438655</v>
      </c>
      <c r="J70" s="36">
        <f>J34*(1-'Inputs'!$E$25)+J69*(1+'Inputs'!$E$43)</f>
        <v>1.6541943587969996</v>
      </c>
      <c r="K70" s="36">
        <f>K34*(1-'Inputs'!$E$25)+K69*(1+'Inputs'!$E$43)</f>
        <v>1.8120251208085998</v>
      </c>
      <c r="L70" s="36">
        <f>L34*(1-'Inputs'!$E$25)+L69*(1+'Inputs'!$E$43)</f>
        <v>1.8981796990156916</v>
      </c>
      <c r="M70" s="36">
        <f>M34*(1-'Inputs'!$E$25)+M69*(1+'Inputs'!$E$43)</f>
        <v>1.9883199597844081</v>
      </c>
      <c r="N70" s="36">
        <f>N34*(1-'Inputs'!$E$25)+N69*(1+'Inputs'!$E$43)</f>
        <v>2.075707082610924</v>
      </c>
      <c r="O70" s="36">
        <f>O34*(1-'Inputs'!$E$25)+O69*(1+'Inputs'!$E$43)</f>
        <v>2.134520716766147</v>
      </c>
      <c r="P70" s="36">
        <f>P34*(1-'Inputs'!$E$25)+P69*(1+'Inputs'!$E$43)</f>
        <v>2.1677857665338336</v>
      </c>
      <c r="Q70" s="36">
        <f>Q34*(1-'Inputs'!$E$25)+Q69*(1+'Inputs'!$E$43)</f>
        <v>2.1782197717112797</v>
      </c>
      <c r="R70" s="36">
        <f>R34*(1-'Inputs'!$E$25)+R69*(1+'Inputs'!$E$43)</f>
        <v>2.2181304093706826</v>
      </c>
      <c r="S70" s="36">
        <f>S34*(1-'Inputs'!$E$25)+S69*(1+'Inputs'!$E$43)</f>
        <v>2.245134253858973</v>
      </c>
      <c r="T70" s="36">
        <f>T34*(1-'Inputs'!$E$25)+T69*(1+'Inputs'!$E$43)</f>
        <v>2.9408847078730704</v>
      </c>
      <c r="U70" s="36">
        <f>U34*(1-'Inputs'!$E$25)+U69*(1+'Inputs'!$E$43)</f>
        <v>2.353124252084502</v>
      </c>
      <c r="V70" s="36">
        <f>V34*(1-'Inputs'!$E$25)+V69*(1+'Inputs'!$E$43)</f>
        <v>2.3882817573413924</v>
      </c>
      <c r="W70" s="36">
        <f>W34*(1-'Inputs'!$E$25)+W69*(1+'Inputs'!$E$43)</f>
        <v>2.4208899248762723</v>
      </c>
      <c r="X70" s="36">
        <f>X34*(1-'Inputs'!$E$25)+X69*(1+'Inputs'!$E$43)</f>
        <v>2.4483354036161424</v>
      </c>
      <c r="Y70" s="36">
        <f>Y34*(1-'Inputs'!$E$25)+Y69*(1+'Inputs'!$E$43)</f>
        <v>2.4723272881681244</v>
      </c>
      <c r="Z70" s="36">
        <f>Z34*(1-'Inputs'!$E$25)+Z69*(1+'Inputs'!$E$43)</f>
        <v>2.492665560244109</v>
      </c>
      <c r="AA70" s="36">
        <f>AA34*(1-'Inputs'!$E$25)+AA69*(1+'Inputs'!$E$43)</f>
        <v>2.5091177555879693</v>
      </c>
      <c r="AB70" s="36">
        <f>AB34*(1-'Inputs'!$E$25)+AB69*(1+'Inputs'!$E$43)</f>
        <v>2.522037517533232</v>
      </c>
      <c r="AC70" s="36">
        <f>AC34*(1-'Inputs'!$E$25)+AC69*(1+'Inputs'!$E$43)</f>
        <v>2.53174651647912</v>
      </c>
      <c r="AD70" s="36">
        <f>AD34*(1-'Inputs'!$E$25)+AD69*(1+'Inputs'!$E$43)</f>
        <v>2.5391496317374016</v>
      </c>
      <c r="AE70" s="36">
        <f>AE34*(1-'Inputs'!$E$25)+AE69*(1+'Inputs'!$E$43)</f>
        <v>2.5438977667269356</v>
      </c>
      <c r="AF70" s="36">
        <f>AF34*(1-'Inputs'!$E$25)+AF69*(1+'Inputs'!$E$43)</f>
        <v>2.784355326331103</v>
      </c>
      <c r="AG70" s="36">
        <f>AG34*(1-'Inputs'!$E$25)+AG69*(1+'Inputs'!$E$43)</f>
        <v>2.5416657794697146</v>
      </c>
      <c r="AH70" s="36">
        <f>AH34*(1-'Inputs'!$E$25)+AH69*(1+'Inputs'!$E$43)</f>
        <v>2.5163626174134617</v>
      </c>
      <c r="AI70" s="36">
        <f>AI34*(1-'Inputs'!$E$25)+AI69*(1+'Inputs'!$E$43)</f>
        <v>2.4898954171945618</v>
      </c>
      <c r="AJ70" s="36">
        <f>AJ34*(1-'Inputs'!$E$25)+AJ69*(1+'Inputs'!$E$43)</f>
        <v>2.4613882217726184</v>
      </c>
      <c r="AK70" s="36">
        <f>AK34*(1-'Inputs'!$E$25)+AK69*(1+'Inputs'!$E$43)</f>
        <v>2.4498048885550974</v>
      </c>
      <c r="AL70" s="36">
        <f>AL34*(1-'Inputs'!$E$25)+AL69*(1+'Inputs'!$E$43)</f>
        <v>2.4371032636845813</v>
      </c>
      <c r="AM70" s="36">
        <f>AM34*(1-'Inputs'!$E$25)+AM69*(1+'Inputs'!$E$43)</f>
        <v>2.4231901100562716</v>
      </c>
      <c r="AN70" s="36">
        <f>AN34*(1-'Inputs'!$E$25)+AN69*(1+'Inputs'!$E$43)</f>
        <v>2.408178189872681</v>
      </c>
      <c r="AO70" s="36">
        <f>AO34*(1-'Inputs'!$E$25)+AO69*(1+'Inputs'!$E$43)</f>
        <v>2.392169875814616</v>
      </c>
      <c r="AP70" s="36">
        <f>AP34*(1-'Inputs'!$E$25)+AP69*(1+'Inputs'!$E$43)</f>
        <v>2.375472408128059</v>
      </c>
      <c r="AQ70" s="36">
        <f>AQ34*(1-'Inputs'!$E$25)+AQ69*(1+'Inputs'!$E$43)</f>
        <v>2.357954827212195</v>
      </c>
    </row>
    <row r="71" ht="22" customHeight="1">
      <c r="A71" s="2" t="str">
        <v>DE.TRANSACTIONS</v>
      </c>
      <c r="B71" s="6" t="str">
        <v>Germany: web card payments (count)</v>
      </c>
      <c r="C71" s="2" t="str">
        <v>EUR_per_user</v>
      </c>
      <c r="D71" s="2" t="str">
        <v>NA</v>
      </c>
      <c r="E71" s="2"/>
      <c r="F71" s="6" t="str"/>
      <c r="G71" s="2"/>
      <c r="H71" s="36">
        <f>H36*(1-'Inputs'!$E$25)+H38*'Inputs'!$E$31</f>
        <v>0.08049999999999999</v>
      </c>
      <c r="I71" s="36">
        <f>I36*(1-'Inputs'!$E$25)+I38*'Inputs'!$E$31</f>
        <v>0.07723345</v>
      </c>
      <c r="J71" s="36">
        <f>J36*(1-'Inputs'!$E$25)+J38*'Inputs'!$E$31</f>
        <v>0.0861045603</v>
      </c>
      <c r="K71" s="36">
        <f>K36*(1-'Inputs'!$E$25)+K38*'Inputs'!$E$31</f>
        <v>0.094101386550025</v>
      </c>
      <c r="L71" s="36">
        <f>L36*(1-'Inputs'!$E$25)+L38*'Inputs'!$E$31</f>
        <v>0.09849721502414946</v>
      </c>
      <c r="M71" s="36">
        <f>M36*(1-'Inputs'!$E$25)+M38*'Inputs'!$E$31</f>
        <v>0.10294286935702614</v>
      </c>
      <c r="N71" s="36">
        <f>N36*(1-'Inputs'!$E$25)+N38*'Inputs'!$E$31</f>
        <v>0.10718511254325488</v>
      </c>
      <c r="O71" s="36">
        <f>O36*(1-'Inputs'!$E$25)+O38*'Inputs'!$E$31</f>
        <v>0.11000705426375237</v>
      </c>
      <c r="P71" s="36">
        <f>P36*(1-'Inputs'!$E$25)+P38*'Inputs'!$E$31</f>
        <v>0.11155922070187797</v>
      </c>
      <c r="Q71" s="36">
        <f>Q36*(1-'Inputs'!$E$25)+Q38*'Inputs'!$E$31</f>
        <v>0.11197683212673781</v>
      </c>
      <c r="R71" s="36">
        <f>R36*(1-'Inputs'!$E$25)+R38*'Inputs'!$E$31</f>
        <v>0.11380892770888416</v>
      </c>
      <c r="S71" s="36">
        <f>S36*(1-'Inputs'!$E$25)+S38*'Inputs'!$E$31</f>
        <v>0.11500886557350282</v>
      </c>
      <c r="T71" s="36">
        <f>T36*(1-'Inputs'!$E$25)+T38*'Inputs'!$E$31</f>
        <v>0.12068066383618938</v>
      </c>
      <c r="U71" s="36">
        <f>U36*(1-'Inputs'!$E$25)+U38*'Inputs'!$E$31</f>
        <v>0.11818636142513707</v>
      </c>
      <c r="V71" s="36">
        <f>V36*(1-'Inputs'!$E$25)+V38*'Inputs'!$E$31</f>
        <v>0.12005524157633969</v>
      </c>
      <c r="W71" s="36">
        <f>W36*(1-'Inputs'!$E$25)+W38*'Inputs'!$E$31</f>
        <v>0.12167667228539115</v>
      </c>
      <c r="X71" s="36">
        <f>X36*(1-'Inputs'!$E$25)+X38*'Inputs'!$E$31</f>
        <v>0.12305203798405596</v>
      </c>
      <c r="Y71" s="36">
        <f>Y36*(1-'Inputs'!$E$25)+Y38*'Inputs'!$E$31</f>
        <v>0.12421287035822114</v>
      </c>
      <c r="Z71" s="36">
        <f>Z36*(1-'Inputs'!$E$25)+Z38*'Inputs'!$E$31</f>
        <v>0.12517485371491271</v>
      </c>
      <c r="AA71" s="36">
        <f>AA36*(1-'Inputs'!$E$25)+AA38*'Inputs'!$E$31</f>
        <v>0.12595188062941554</v>
      </c>
      <c r="AB71" s="36">
        <f>AB36*(1-'Inputs'!$E$25)+AB38*'Inputs'!$E$31</f>
        <v>0.12656077379366923</v>
      </c>
      <c r="AC71" s="36">
        <f>AC36*(1-'Inputs'!$E$25)+AC38*'Inputs'!$E$31</f>
        <v>0.12701683441220518</v>
      </c>
      <c r="AD71" s="36">
        <f>AD36*(1-'Inputs'!$E$25)+AD38*'Inputs'!$E$31</f>
        <v>0.1273385151494018</v>
      </c>
      <c r="AE71" s="36">
        <f>AE36*(1-'Inputs'!$E$25)+AE38*'Inputs'!$E$31</f>
        <v>0.1275339156693292</v>
      </c>
      <c r="AF71" s="36">
        <f>AF36*(1-'Inputs'!$E$25)+AF38*'Inputs'!$E$31</f>
        <v>0.1293785470542954</v>
      </c>
      <c r="AG71" s="36">
        <f>AG36*(1-'Inputs'!$E$25)+AG38*'Inputs'!$E$31</f>
        <v>0.12667305432549747</v>
      </c>
      <c r="AH71" s="36">
        <f>AH36*(1-'Inputs'!$E$25)+AH38*'Inputs'!$E$31</f>
        <v>0.1254740018710531</v>
      </c>
      <c r="AI71" s="36">
        <f>AI36*(1-'Inputs'!$E$25)+AI38*'Inputs'!$E$31</f>
        <v>0.12417245478818544</v>
      </c>
      <c r="AJ71" s="36">
        <f>AJ36*(1-'Inputs'!$E$25)+AJ38*'Inputs'!$E$31</f>
        <v>0.12277103979579483</v>
      </c>
      <c r="AK71" s="36">
        <f>AK36*(1-'Inputs'!$E$25)+AK38*'Inputs'!$E$31</f>
        <v>0.1221828898971026</v>
      </c>
      <c r="AL71" s="36">
        <f>AL36*(1-'Inputs'!$E$25)+AL38*'Inputs'!$E$31</f>
        <v>0.12153318005403284</v>
      </c>
      <c r="AM71" s="36">
        <f>AM36*(1-'Inputs'!$E$25)+AM38*'Inputs'!$E$31</f>
        <v>0.12082617677791993</v>
      </c>
      <c r="AN71" s="36">
        <f>AN36*(1-'Inputs'!$E$25)+AN38*'Inputs'!$E$31</f>
        <v>0.12006721539790828</v>
      </c>
      <c r="AO71" s="36">
        <f>AO36*(1-'Inputs'!$E$25)+AO38*'Inputs'!$E$31</f>
        <v>0.11926113894946754</v>
      </c>
      <c r="AP71" s="36">
        <f>AP36*(1-'Inputs'!$E$25)+AP38*'Inputs'!$E$31</f>
        <v>0.11841393086181258</v>
      </c>
      <c r="AQ71" s="36">
        <f>AQ36*(1-'Inputs'!$E$25)+AQ38*'Inputs'!$E$31</f>
        <v>0.11752798574568712</v>
      </c>
    </row>
    <row r="72" ht="28" customHeight="1">
      <c r="A72" s="2" t="str">
        <v>DE.TRADER</v>
      </c>
      <c r="B72" s="6" t="str">
        <v>Germany: lead-trader share of copy fees</v>
      </c>
      <c r="C72" s="2" t="str">
        <v>EUR_per_user</v>
      </c>
      <c r="D72" s="2" t="str">
        <v>NA</v>
      </c>
      <c r="E72" s="2"/>
      <c r="F72" s="6" t="str"/>
      <c r="G72" s="2"/>
      <c r="H72" s="36">
        <f>H69*'Inputs'!$E$28</f>
        <v>0.27297268907563027</v>
      </c>
      <c r="I72" s="36">
        <f>I69*'Inputs'!$E$28</f>
        <v>0.36591988970588235</v>
      </c>
      <c r="J72" s="36">
        <f>J69*'Inputs'!$E$28</f>
        <v>0.4507693555147058</v>
      </c>
      <c r="K72" s="36">
        <f>K69*'Inputs'!$E$28</f>
        <v>0.5282177759295562</v>
      </c>
      <c r="L72" s="36">
        <f>L69*'Inputs'!$E$28</f>
        <v>0.5758674945155824</v>
      </c>
      <c r="M72" s="36">
        <f>M69*'Inputs'!$E$28</f>
        <v>0.6236007958983987</v>
      </c>
      <c r="N72" s="36">
        <f>N69*'Inputs'!$E$28</f>
        <v>0.6691518115971521</v>
      </c>
      <c r="O72" s="36">
        <f>O69*'Inputs'!$E$28</f>
        <v>0.7024399902422974</v>
      </c>
      <c r="P72" s="36">
        <f>P69*'Inputs'!$E$28</f>
        <v>0.7247568544730965</v>
      </c>
      <c r="Q72" s="36">
        <f>Q69*'Inputs'!$E$28</f>
        <v>0.7372629670778481</v>
      </c>
      <c r="R72" s="36">
        <f>R69*'Inputs'!$E$28</f>
        <v>0.7610279132666056</v>
      </c>
      <c r="S72" s="36">
        <f>S69*'Inputs'!$E$28</f>
        <v>0.7790156845274815</v>
      </c>
      <c r="T72" s="36">
        <f>T69*'Inputs'!$E$28</f>
        <v>0.7918046720762872</v>
      </c>
      <c r="U72" s="36">
        <f>U69*'Inputs'!$E$28</f>
        <v>0.8170577524405227</v>
      </c>
      <c r="V72" s="36">
        <f>V69*'Inputs'!$E$28</f>
        <v>0.8392851212274227</v>
      </c>
      <c r="W72" s="36">
        <f>W69*'Inputs'!$E$28</f>
        <v>0.8587606892030747</v>
      </c>
      <c r="X72" s="36">
        <f>X69*'Inputs'!$E$28</f>
        <v>0.8757336630694768</v>
      </c>
      <c r="Y72" s="36">
        <f>Y69*'Inputs'!$E$28</f>
        <v>0.8904307661501488</v>
      </c>
      <c r="Z72" s="36">
        <f>Z69*'Inputs'!$E$28</f>
        <v>0.9030582600460512</v>
      </c>
      <c r="AA72" s="36">
        <f>AA69*'Inputs'!$E$28</f>
        <v>0.9138037850524089</v>
      </c>
      <c r="AB72" s="36">
        <f>AB69*'Inputs'!$E$28</f>
        <v>0.9228380355406175</v>
      </c>
      <c r="AC72" s="36">
        <f>AC69*'Inputs'!$E$28</f>
        <v>0.9303162850641633</v>
      </c>
      <c r="AD72" s="36">
        <f>AD69*'Inputs'!$E$28</f>
        <v>0.9363797746308328</v>
      </c>
      <c r="AE72" s="36">
        <f>AE69*'Inputs'!$E$28</f>
        <v>0.9411569763840588</v>
      </c>
      <c r="AF72" s="36">
        <f>AF69*'Inputs'!$E$28</f>
        <v>0.9447647438435792</v>
      </c>
      <c r="AG72" s="36">
        <f>AG69*'Inputs'!$E$28</f>
        <v>0.9386317158783021</v>
      </c>
      <c r="AH72" s="36">
        <f>AH69*'Inputs'!$E$28</f>
        <v>0.9313695617415919</v>
      </c>
      <c r="AI72" s="36">
        <f>AI69*'Inputs'!$E$28</f>
        <v>0.9230869292774984</v>
      </c>
      <c r="AJ72" s="36">
        <f>AJ69*'Inputs'!$E$28</f>
        <v>0.9138821541331715</v>
      </c>
      <c r="AK72" s="36">
        <f>AK69*'Inputs'!$E$28</f>
        <v>0.9113140148586999</v>
      </c>
      <c r="AL72" s="36">
        <f>AL69*'Inputs'!$E$28</f>
        <v>0.9080882495628224</v>
      </c>
      <c r="AM72" s="36">
        <f>AM69*'Inputs'!$E$28</f>
        <v>0.904265601439722</v>
      </c>
      <c r="AN72" s="36">
        <f>AN69*'Inputs'!$E$28</f>
        <v>0.8999012386885749</v>
      </c>
      <c r="AO72" s="36">
        <f>AO69*'Inputs'!$E$28</f>
        <v>0.8950452633931238</v>
      </c>
      <c r="AP72" s="36">
        <f>AP69*'Inputs'!$E$28</f>
        <v>0.8897431741710639</v>
      </c>
      <c r="AQ72" s="36">
        <f>AQ69*'Inputs'!$E$28</f>
        <v>0.8840362867757134</v>
      </c>
    </row>
    <row r="73" ht="22" customHeight="1">
      <c r="A73" s="2" t="str">
        <v>DE.PROCESSOR</v>
      </c>
      <c r="B73" s="6" t="str">
        <v>Germany: card processing fees</v>
      </c>
      <c r="C73" s="2" t="str">
        <v>EUR_per_user</v>
      </c>
      <c r="D73" s="2" t="str">
        <v>NA</v>
      </c>
      <c r="E73" s="2"/>
      <c r="F73" s="6" t="str"/>
      <c r="G73" s="2"/>
      <c r="H73" s="36">
        <f>H70*'Inputs'!$E$32+H71*'Inputs'!$E$33</f>
        <v>0.06658292499999999</v>
      </c>
      <c r="I73" s="36">
        <f>I70*'Inputs'!$E$32+I71*'Inputs'!$E$33</f>
        <v>0.0416110204825</v>
      </c>
      <c r="J73" s="36">
        <f>J70*'Inputs'!$E$32+J71*'Inputs'!$E$33</f>
        <v>0.04633905545695499</v>
      </c>
      <c r="K73" s="36">
        <f>K70*'Inputs'!$E$32+K71*'Inputs'!$E$33</f>
        <v>0.05070572344963525</v>
      </c>
      <c r="L73" s="36">
        <f>L70*'Inputs'!$E$32+L71*'Inputs'!$E$33</f>
        <v>0.05309699924127274</v>
      </c>
      <c r="M73" s="36">
        <f>M70*'Inputs'!$E$32+M71*'Inputs'!$E$33</f>
        <v>0.05556051673602265</v>
      </c>
      <c r="N73" s="36">
        <f>N70*'Inputs'!$E$32+N71*'Inputs'!$E$33</f>
        <v>0.05793188437497758</v>
      </c>
      <c r="O73" s="36">
        <f>O70*'Inputs'!$E$32+O71*'Inputs'!$E$33</f>
        <v>0.059519574317430296</v>
      </c>
      <c r="P73" s="36">
        <f>P70*'Inputs'!$E$32+P71*'Inputs'!$E$33</f>
        <v>0.06040659167347699</v>
      </c>
      <c r="Q73" s="36">
        <f>Q70*'Inputs'!$E$32+Q71*'Inputs'!$E$33</f>
        <v>0.06066750460735365</v>
      </c>
      <c r="R73" s="36">
        <f>R70*'Inputs'!$E$32+R71*'Inputs'!$E$33</f>
        <v>0.06172418806778128</v>
      </c>
      <c r="S73" s="36">
        <f>S70*'Inputs'!$E$32+S71*'Inputs'!$E$33</f>
        <v>0.0624292302012603</v>
      </c>
      <c r="T73" s="36">
        <f>T70*'Inputs'!$E$32+T71*'Inputs'!$E$33</f>
        <v>0.0742834365771434</v>
      </c>
      <c r="U73" s="36">
        <f>U70*'Inputs'!$E$32+U71*'Inputs'!$E$33</f>
        <v>0.0648434541375518</v>
      </c>
      <c r="V73" s="36">
        <f>V70*'Inputs'!$E$32+V71*'Inputs'!$E$33</f>
        <v>0.06583803675420581</v>
      </c>
      <c r="W73" s="36">
        <f>W70*'Inputs'!$E$32+W71*'Inputs'!$E$33</f>
        <v>0.06673251694449187</v>
      </c>
      <c r="X73" s="36">
        <f>X70*'Inputs'!$E$32+X71*'Inputs'!$E$33</f>
        <v>0.06748804055025613</v>
      </c>
      <c r="Y73" s="36">
        <f>Y70*'Inputs'!$E$32+Y71*'Inputs'!$E$33</f>
        <v>0.06813812691207714</v>
      </c>
      <c r="Z73" s="36">
        <f>Z70*'Inputs'!$E$32+Z71*'Inputs'!$E$33</f>
        <v>0.06868369683238981</v>
      </c>
      <c r="AA73" s="36">
        <f>AA70*'Inputs'!$E$32+AA71*'Inputs'!$E$33</f>
        <v>0.06912473649117343</v>
      </c>
      <c r="AB73" s="36">
        <f>AB70*'Inputs'!$E$32+AB71*'Inputs'!$E$33</f>
        <v>0.06947075621141578</v>
      </c>
      <c r="AC73" s="36">
        <f>AC70*'Inputs'!$E$32+AC71*'Inputs'!$E$33</f>
        <v>0.06973040635023808</v>
      </c>
      <c r="AD73" s="36">
        <f>AD70*'Inputs'!$E$32+AD71*'Inputs'!$E$33</f>
        <v>0.06992187326341148</v>
      </c>
      <c r="AE73" s="36">
        <f>AE70*'Inputs'!$E$32+AE71*'Inputs'!$E$33</f>
        <v>0.07004194541823633</v>
      </c>
      <c r="AF73" s="36">
        <f>AF70*'Inputs'!$E$32+AF71*'Inputs'!$E$33</f>
        <v>0.0741099666585404</v>
      </c>
      <c r="AG73" s="36">
        <f>AG70*'Inputs'!$E$32+AG71*'Inputs'!$E$33</f>
        <v>0.0697932502734201</v>
      </c>
      <c r="AH73" s="36">
        <f>AH70*'Inputs'!$E$32+AH71*'Inputs'!$E$33</f>
        <v>0.0691139397289652</v>
      </c>
      <c r="AI73" s="36">
        <f>AI70*'Inputs'!$E$32+AI71*'Inputs'!$E$33</f>
        <v>0.06839154495496479</v>
      </c>
      <c r="AJ73" s="36">
        <f>AJ70*'Inputs'!$E$32+AJ71*'Inputs'!$E$33</f>
        <v>0.06761358327553799</v>
      </c>
      <c r="AK73" s="36">
        <f>AK70*'Inputs'!$E$32+AK71*'Inputs'!$E$33</f>
        <v>0.06729279580260211</v>
      </c>
      <c r="AL73" s="36">
        <f>AL70*'Inputs'!$E$32+AL71*'Inputs'!$E$33</f>
        <v>0.06693984396877693</v>
      </c>
      <c r="AM73" s="36">
        <f>AM70*'Inputs'!$E$32+AM71*'Inputs'!$E$33</f>
        <v>0.06655439584532405</v>
      </c>
      <c r="AN73" s="36">
        <f>AN70*'Inputs'!$E$32+AN71*'Inputs'!$E$33</f>
        <v>0.06613947669756728</v>
      </c>
      <c r="AO73" s="36">
        <f>AO70*'Inputs'!$E$32+AO71*'Inputs'!$E$33</f>
        <v>0.06569783287458612</v>
      </c>
      <c r="AP73" s="36">
        <f>AP70*'Inputs'!$E$32+AP71*'Inputs'!$E$33</f>
        <v>0.06523556883737403</v>
      </c>
      <c r="AQ73" s="36">
        <f>AQ70*'Inputs'!$E$32+AQ71*'Inputs'!$E$33</f>
        <v>0.06475131884460471</v>
      </c>
    </row>
    <row r="74" ht="22" customHeight="1">
      <c r="A74" s="2" t="str">
        <v>DE.BILLING</v>
      </c>
      <c r="B74" s="6" t="str">
        <v>Germany: subscription billing fees</v>
      </c>
      <c r="C74" s="2" t="str">
        <v>EUR_per_user</v>
      </c>
      <c r="D74" s="2" t="str">
        <v>NA</v>
      </c>
      <c r="E74" s="2"/>
      <c r="F74" s="6" t="str"/>
      <c r="G74" s="2"/>
      <c r="H74" s="36">
        <f>H70*'Inputs'!$E$34</f>
        <v>0.021680365</v>
      </c>
      <c r="I74" s="36">
        <f>I70*'Inputs'!$E$34</f>
        <v>0.010407907058500001</v>
      </c>
      <c r="J74" s="36">
        <f>J70*'Inputs'!$E$34</f>
        <v>0.011579360511578998</v>
      </c>
      <c r="K74" s="36">
        <f>K70*'Inputs'!$E$34</f>
        <v>0.012684175845660199</v>
      </c>
      <c r="L74" s="36">
        <f>L70*'Inputs'!$E$34</f>
        <v>0.013287257893109842</v>
      </c>
      <c r="M74" s="36">
        <f>M70*'Inputs'!$E$34</f>
        <v>0.013918239718490858</v>
      </c>
      <c r="N74" s="36">
        <f>N70*'Inputs'!$E$34</f>
        <v>0.014529949578276467</v>
      </c>
      <c r="O74" s="36">
        <f>O70*'Inputs'!$E$34</f>
        <v>0.01494164501736303</v>
      </c>
      <c r="P74" s="36">
        <f>P70*'Inputs'!$E$34</f>
        <v>0.015174500365736835</v>
      </c>
      <c r="Q74" s="36">
        <f>Q70*'Inputs'!$E$34</f>
        <v>0.015247538401978959</v>
      </c>
      <c r="R74" s="36">
        <f>R70*'Inputs'!$E$34</f>
        <v>0.015526912865594778</v>
      </c>
      <c r="S74" s="36">
        <f>S70*'Inputs'!$E$34</f>
        <v>0.015715939777012813</v>
      </c>
      <c r="T74" s="36">
        <f>T70*'Inputs'!$E$34</f>
        <v>0.020586192955111493</v>
      </c>
      <c r="U74" s="36">
        <f>U70*'Inputs'!$E$34</f>
        <v>0.016471869764591515</v>
      </c>
      <c r="V74" s="36">
        <f>V70*'Inputs'!$E$34</f>
        <v>0.016717972301389748</v>
      </c>
      <c r="W74" s="36">
        <f>W70*'Inputs'!$E$34</f>
        <v>0.016946229474133906</v>
      </c>
      <c r="X74" s="36">
        <f>X70*'Inputs'!$E$34</f>
        <v>0.017138347825312997</v>
      </c>
      <c r="Y74" s="36">
        <f>Y70*'Inputs'!$E$34</f>
        <v>0.017306291017176872</v>
      </c>
      <c r="Z74" s="36">
        <f>Z70*'Inputs'!$E$34</f>
        <v>0.017448658921708764</v>
      </c>
      <c r="AA74" s="36">
        <f>AA70*'Inputs'!$E$34</f>
        <v>0.017563824289115786</v>
      </c>
      <c r="AB74" s="36">
        <f>AB70*'Inputs'!$E$34</f>
        <v>0.017654262622732623</v>
      </c>
      <c r="AC74" s="36">
        <f>AC70*'Inputs'!$E$34</f>
        <v>0.01772222561535384</v>
      </c>
      <c r="AD74" s="36">
        <f>AD70*'Inputs'!$E$34</f>
        <v>0.01777404742216181</v>
      </c>
      <c r="AE74" s="36">
        <f>AE70*'Inputs'!$E$34</f>
        <v>0.01780728436708855</v>
      </c>
      <c r="AF74" s="36">
        <f>AF70*'Inputs'!$E$34</f>
        <v>0.019490487284317723</v>
      </c>
      <c r="AG74" s="36">
        <f>AG70*'Inputs'!$E$34</f>
        <v>0.017791660456288</v>
      </c>
      <c r="AH74" s="36">
        <f>AH70*'Inputs'!$E$34</f>
        <v>0.017614538321894233</v>
      </c>
      <c r="AI74" s="36">
        <f>AI70*'Inputs'!$E$34</f>
        <v>0.017429267920361934</v>
      </c>
      <c r="AJ74" s="36">
        <f>AJ70*'Inputs'!$E$34</f>
        <v>0.01722971755240833</v>
      </c>
      <c r="AK74" s="36">
        <f>AK70*'Inputs'!$E$34</f>
        <v>0.017148634219885682</v>
      </c>
      <c r="AL74" s="36">
        <f>AL70*'Inputs'!$E$34</f>
        <v>0.01705972284579207</v>
      </c>
      <c r="AM74" s="36">
        <f>AM70*'Inputs'!$E$34</f>
        <v>0.016962330770393903</v>
      </c>
      <c r="AN74" s="36">
        <f>AN70*'Inputs'!$E$34</f>
        <v>0.016857247329108767</v>
      </c>
      <c r="AO74" s="36">
        <f>AO70*'Inputs'!$E$34</f>
        <v>0.01674518913070231</v>
      </c>
      <c r="AP74" s="36">
        <f>AP70*'Inputs'!$E$34</f>
        <v>0.016628306856896414</v>
      </c>
      <c r="AQ74" s="36">
        <f>AQ70*'Inputs'!$E$34</f>
        <v>0.016505683790485365</v>
      </c>
    </row>
    <row r="75" ht="22" customHeight="1">
      <c r="A75" s="2" t="str">
        <v>DE.STORE</v>
      </c>
      <c r="B75" s="6" t="str">
        <v>Germany: app-store commission</v>
      </c>
      <c r="C75" s="2" t="str">
        <v>EUR_per_user</v>
      </c>
      <c r="D75" s="2" t="str">
        <v>NA</v>
      </c>
      <c r="E75" s="2"/>
      <c r="F75" s="6" t="str"/>
      <c r="G75" s="2"/>
      <c r="H75" s="36">
        <f>H34*'Inputs'!$E$25/(1+'Inputs'!$E$43)*'Inputs'!$E$26</f>
        <v>0.20567394957983198</v>
      </c>
      <c r="I75" s="36">
        <f>I34*'Inputs'!$E$25/(1+'Inputs'!$E$43)*'Inputs'!$E$26</f>
        <v>0.05176088470588235</v>
      </c>
      <c r="J75" s="36">
        <f>J34*'Inputs'!$E$25/(1+'Inputs'!$E$43)*'Inputs'!$E$26</f>
        <v>0.048854058207731095</v>
      </c>
      <c r="K75" s="36">
        <f>K34*'Inputs'!$E$25/(1+'Inputs'!$E$43)*'Inputs'!$E$26</f>
        <v>0.04662746336943328</v>
      </c>
      <c r="L75" s="36">
        <f>L34*'Inputs'!$E$25/(1+'Inputs'!$E$43)*'Inputs'!$E$26</f>
        <v>0.044337400173832406</v>
      </c>
      <c r="M75" s="36">
        <f>M34*'Inputs'!$E$25/(1+'Inputs'!$E$43)*'Inputs'!$E$26</f>
        <v>0.04236555172657308</v>
      </c>
      <c r="N75" s="36">
        <f>N34*'Inputs'!$E$25/(1+'Inputs'!$E$43)*'Inputs'!$E$26</f>
        <v>0.04059880428652957</v>
      </c>
      <c r="O75" s="36">
        <f>O34*'Inputs'!$E$25/(1+'Inputs'!$E$43)*'Inputs'!$E$26</f>
        <v>0.03888349075541843</v>
      </c>
      <c r="P75" s="36">
        <f>P34*'Inputs'!$E$25/(1+'Inputs'!$E$43)*'Inputs'!$E$26</f>
        <v>0.03721550024267767</v>
      </c>
      <c r="Q75" s="36">
        <f>Q34*'Inputs'!$E$25/(1+'Inputs'!$E$43)*'Inputs'!$E$26</f>
        <v>0.03559108487949591</v>
      </c>
      <c r="R75" s="36">
        <f>R34*'Inputs'!$E$25/(1+'Inputs'!$E$43)*'Inputs'!$E$26</f>
        <v>0.03419193073917324</v>
      </c>
      <c r="S75" s="36">
        <f>S34*'Inputs'!$E$25/(1+'Inputs'!$E$43)*'Inputs'!$E$26</f>
        <v>0.03286360711626616</v>
      </c>
      <c r="T75" s="36">
        <f>T34*'Inputs'!$E$25/(1+'Inputs'!$E$43)*'Inputs'!$E$26</f>
        <v>0.08877223431357201</v>
      </c>
      <c r="U75" s="36">
        <f>U34*'Inputs'!$E$25/(1+'Inputs'!$E$43)*'Inputs'!$E$26</f>
        <v>0.03432998330050908</v>
      </c>
      <c r="V75" s="36">
        <f>V34*'Inputs'!$E$25/(1+'Inputs'!$E$43)*'Inputs'!$E$26</f>
        <v>0.03283892174959046</v>
      </c>
      <c r="W75" s="36">
        <f>W34*'Inputs'!$E$25/(1+'Inputs'!$E$43)*'Inputs'!$E$26</f>
        <v>0.031683990300248266</v>
      </c>
      <c r="X75" s="36">
        <f>X34*'Inputs'!$E$25/(1+'Inputs'!$E$43)*'Inputs'!$E$26</f>
        <v>0.03059573827821745</v>
      </c>
      <c r="Y75" s="36">
        <f>Y34*'Inputs'!$E$25/(1+'Inputs'!$E$43)*'Inputs'!$E$26</f>
        <v>0.029672442414350454</v>
      </c>
      <c r="Z75" s="36">
        <f>Z34*'Inputs'!$E$25/(1+'Inputs'!$E$43)*'Inputs'!$E$26</f>
        <v>0.028856042128950186</v>
      </c>
      <c r="AA75" s="36">
        <f>AA34*'Inputs'!$E$25/(1+'Inputs'!$E$43)*'Inputs'!$E$26</f>
        <v>0.02808947455153248</v>
      </c>
      <c r="AB75" s="36">
        <f>AB34*'Inputs'!$E$25/(1+'Inputs'!$E$43)*'Inputs'!$E$26</f>
        <v>0.027368318735005247</v>
      </c>
      <c r="AC75" s="36">
        <f>AC34*'Inputs'!$E$25/(1+'Inputs'!$E$43)*'Inputs'!$E$26</f>
        <v>0.02668855109465643</v>
      </c>
      <c r="AD75" s="36">
        <f>AD34*'Inputs'!$E$25/(1+'Inputs'!$E$43)*'Inputs'!$E$26</f>
        <v>0.02609796370722854</v>
      </c>
      <c r="AE75" s="36">
        <f>AE34*'Inputs'!$E$25/(1+'Inputs'!$E$43)*'Inputs'!$E$26</f>
        <v>0.025541526296880324</v>
      </c>
      <c r="AF75" s="36">
        <f>AF34*'Inputs'!$E$25/(1+'Inputs'!$E$43)*'Inputs'!$E$26</f>
        <v>0.04502649041877183</v>
      </c>
      <c r="AG75" s="36">
        <f>AG34*'Inputs'!$E$25/(1+'Inputs'!$E$43)*'Inputs'!$E$26</f>
        <v>0.025859016443643336</v>
      </c>
      <c r="AH75" s="36">
        <f>AH34*'Inputs'!$E$25/(1+'Inputs'!$E$43)*'Inputs'!$E$26</f>
        <v>0.02518513113180444</v>
      </c>
      <c r="AI75" s="36">
        <f>AI34*'Inputs'!$E$25/(1+'Inputs'!$E$43)*'Inputs'!$E$26</f>
        <v>0.024617523152446707</v>
      </c>
      <c r="AJ75" s="36">
        <f>AJ34*'Inputs'!$E$25/(1+'Inputs'!$E$43)*'Inputs'!$E$26</f>
        <v>0.024062915540812607</v>
      </c>
      <c r="AK75" s="36">
        <f>AK34*'Inputs'!$E$25/(1+'Inputs'!$E$43)*'Inputs'!$E$26</f>
        <v>0.023603154049696796</v>
      </c>
      <c r="AL75" s="36">
        <f>AL34*'Inputs'!$E$25/(1+'Inputs'!$E$43)*'Inputs'!$E$26</f>
        <v>0.023180943674375138</v>
      </c>
      <c r="AM75" s="36">
        <f>AM34*'Inputs'!$E$25/(1+'Inputs'!$E$43)*'Inputs'!$E$26</f>
        <v>0.022776300725187697</v>
      </c>
      <c r="AN75" s="36">
        <f>AN34*'Inputs'!$E$25/(1+'Inputs'!$E$43)*'Inputs'!$E$26</f>
        <v>0.02238766737763639</v>
      </c>
      <c r="AO75" s="36">
        <f>AO34*'Inputs'!$E$25/(1+'Inputs'!$E$43)*'Inputs'!$E$26</f>
        <v>0.022013625961258918</v>
      </c>
      <c r="AP75" s="36">
        <f>AP34*'Inputs'!$E$25/(1+'Inputs'!$E$43)*'Inputs'!$E$26</f>
        <v>0.02167089526058212</v>
      </c>
      <c r="AQ75" s="36">
        <f>AQ34*'Inputs'!$E$25/(1+'Inputs'!$E$43)*'Inputs'!$E$26</f>
        <v>0.021340207116470365</v>
      </c>
    </row>
    <row r="76" ht="22" customHeight="1">
      <c r="A76" s="2" t="str">
        <v>DE.DISPUTE</v>
      </c>
      <c r="B76" s="6" t="str">
        <v>Germany: card disputes</v>
      </c>
      <c r="C76" s="2" t="str">
        <v>EUR_per_user</v>
      </c>
      <c r="D76" s="2" t="str">
        <v>NA</v>
      </c>
      <c r="E76" s="2"/>
      <c r="F76" s="6" t="str"/>
      <c r="G76" s="2"/>
      <c r="H76" s="36">
        <f>H70*'Inputs'!$E$40+H71*'Inputs'!$E$40*'Inputs'!$E$41</f>
        <v>0.014121584999999999</v>
      </c>
      <c r="I76" s="36">
        <f>I70*'Inputs'!$E$40+I71*'Inputs'!$E$40*'Inputs'!$E$41</f>
        <v>0.0090945385965</v>
      </c>
      <c r="J76" s="36">
        <f>J70*'Inputs'!$E$40+J71*'Inputs'!$E$40*'Inputs'!$E$41</f>
        <v>0.010128856694390998</v>
      </c>
      <c r="K76" s="36">
        <f>K70*'Inputs'!$E$40+K71*'Inputs'!$E$40*'Inputs'!$E$41</f>
        <v>0.0110821585554273</v>
      </c>
      <c r="L76" s="36">
        <f>L70*'Inputs'!$E$40+L71*'Inputs'!$E$40*'Inputs'!$E$41</f>
        <v>0.011604371998496042</v>
      </c>
      <c r="M76" s="36">
        <f>M70*'Inputs'!$E$40+M71*'Inputs'!$E$40*'Inputs'!$E$41</f>
        <v>0.012141532040774793</v>
      </c>
      <c r="N76" s="36">
        <f>N70*'Inputs'!$E$40+N71*'Inputs'!$E$40*'Inputs'!$E$41</f>
        <v>0.012658228000428064</v>
      </c>
      <c r="O76" s="36">
        <f>O70*'Inputs'!$E$40+O71*'Inputs'!$E$40*'Inputs'!$E$41</f>
        <v>0.013003985406123585</v>
      </c>
      <c r="P76" s="36">
        <f>P70*'Inputs'!$E$40+P71*'Inputs'!$E$40*'Inputs'!$E$41</f>
        <v>0.01319691054171418</v>
      </c>
      <c r="Q76" s="36">
        <f>Q70*'Inputs'!$E$40+Q71*'Inputs'!$E$40*'Inputs'!$E$41</f>
        <v>0.013253269242738107</v>
      </c>
      <c r="R76" s="36">
        <f>R70*'Inputs'!$E$40+R71*'Inputs'!$E$40*'Inputs'!$E$41</f>
        <v>0.013482926890645099</v>
      </c>
      <c r="S76" s="36">
        <f>S70*'Inputs'!$E$40+S71*'Inputs'!$E$40*'Inputs'!$E$41</f>
        <v>0.01363593469598709</v>
      </c>
      <c r="T76" s="36">
        <f>T70*'Inputs'!$E$40+T71*'Inputs'!$E$40*'Inputs'!$E$41</f>
        <v>0.016063493953790572</v>
      </c>
      <c r="U76" s="36">
        <f>U70*'Inputs'!$E$40+U71*'Inputs'!$E$40*'Inputs'!$E$41</f>
        <v>0.01415055444176173</v>
      </c>
      <c r="V76" s="36">
        <f>V70*'Inputs'!$E$40+V71*'Inputs'!$E$40*'Inputs'!$E$41</f>
        <v>0.014368159766604558</v>
      </c>
      <c r="W76" s="36">
        <f>W70*'Inputs'!$E$40+W71*'Inputs'!$E$40*'Inputs'!$E$41</f>
        <v>0.014563270111752288</v>
      </c>
      <c r="X76" s="36">
        <f>X70*'Inputs'!$E$40+X71*'Inputs'!$E$40*'Inputs'!$E$41</f>
        <v>0.014728128489891785</v>
      </c>
      <c r="Y76" s="36">
        <f>Y70*'Inputs'!$E$40+Y71*'Inputs'!$E$40*'Inputs'!$E$41</f>
        <v>0.014869754085997642</v>
      </c>
      <c r="Z76" s="36">
        <f>Z70*'Inputs'!$E$40+Z71*'Inputs'!$E$40*'Inputs'!$E$41</f>
        <v>0.014988487903627092</v>
      </c>
      <c r="AA76" s="36">
        <f>AA70*'Inputs'!$E$40+AA71*'Inputs'!$E$40*'Inputs'!$E$41</f>
        <v>0.015084466104528842</v>
      </c>
      <c r="AB76" s="36">
        <f>AB70*'Inputs'!$E$40+AB71*'Inputs'!$E$40*'Inputs'!$E$41</f>
        <v>0.015159758980219849</v>
      </c>
      <c r="AC76" s="36">
        <f>AC70*'Inputs'!$E$40+AC71*'Inputs'!$E$40*'Inputs'!$E$41</f>
        <v>0.015216249614169671</v>
      </c>
      <c r="AD76" s="36">
        <f>AD70*'Inputs'!$E$40+AD71*'Inputs'!$E$40*'Inputs'!$E$41</f>
        <v>0.015257759804176315</v>
      </c>
      <c r="AE76" s="36">
        <f>AE70*'Inputs'!$E$40+AE71*'Inputs'!$E$40*'Inputs'!$E$41</f>
        <v>0.01528372824034056</v>
      </c>
      <c r="AF76" s="36">
        <f>AF70*'Inputs'!$E$40+AF71*'Inputs'!$E$40*'Inputs'!$E$41</f>
        <v>0.016115778802251034</v>
      </c>
      <c r="AG76" s="36">
        <f>AG70*'Inputs'!$E$40+AG71*'Inputs'!$E$40*'Inputs'!$E$41</f>
        <v>0.015225380597938994</v>
      </c>
      <c r="AH76" s="36">
        <f>AH70*'Inputs'!$E$40+AH71*'Inputs'!$E$40*'Inputs'!$E$41</f>
        <v>0.015077527964503571</v>
      </c>
      <c r="AI76" s="36">
        <f>AI70*'Inputs'!$E$40+AI71*'Inputs'!$E$40*'Inputs'!$E$41</f>
        <v>0.014920033538874812</v>
      </c>
      <c r="AJ76" s="36">
        <f>AJ70*'Inputs'!$E$40+AJ71*'Inputs'!$E$40*'Inputs'!$E$41</f>
        <v>0.014750427053065545</v>
      </c>
      <c r="AK76" s="36">
        <f>AK70*'Inputs'!$E$40+AK71*'Inputs'!$E$40*'Inputs'!$E$41</f>
        <v>0.014680388059491449</v>
      </c>
      <c r="AL76" s="36">
        <f>AL70*'Inputs'!$E$40+AL71*'Inputs'!$E$40*'Inputs'!$E$41</f>
        <v>0.014603300594295716</v>
      </c>
      <c r="AM76" s="36">
        <f>AM70*'Inputs'!$E$40+AM71*'Inputs'!$E$40*'Inputs'!$E$41</f>
        <v>0.014519140936844012</v>
      </c>
      <c r="AN76" s="36">
        <f>AN70*'Inputs'!$E$40+AN71*'Inputs'!$E$40*'Inputs'!$E$41</f>
        <v>0.014428567493492542</v>
      </c>
      <c r="AO76" s="36">
        <f>AO70*'Inputs'!$E$40+AO71*'Inputs'!$E$40*'Inputs'!$E$41</f>
        <v>0.014332177964411899</v>
      </c>
      <c r="AP76" s="36">
        <f>AP70*'Inputs'!$E$40+AP71*'Inputs'!$E$40*'Inputs'!$E$41</f>
        <v>0.014231253076092933</v>
      </c>
      <c r="AQ76" s="36">
        <f>AQ70*'Inputs'!$E$40+AQ71*'Inputs'!$E$40*'Inputs'!$E$41</f>
        <v>0.014125543626377813</v>
      </c>
    </row>
    <row r="77" ht="22" customHeight="1">
      <c r="A77" s="2" t="str">
        <v>DE.FRAUD</v>
      </c>
      <c r="B77" s="6" t="str">
        <v>Germany: card fraud losses</v>
      </c>
      <c r="C77" s="2" t="str">
        <v>EUR_per_user</v>
      </c>
      <c r="D77" s="2" t="str">
        <v>NA</v>
      </c>
      <c r="E77" s="2"/>
      <c r="F77" s="6" t="str"/>
      <c r="G77" s="2"/>
      <c r="H77" s="36">
        <f>(H68*(1-'Inputs'!$E$25)+H69)*'Inputs'!$E$42</f>
        <v>0.0022106336134453787</v>
      </c>
      <c r="I77" s="36">
        <f>(I68*(1-'Inputs'!$E$25)+I69)*'Inputs'!$E$42</f>
        <v>0.0025782849853781516</v>
      </c>
      <c r="J77" s="36">
        <f>(J68*(1-'Inputs'!$E$25)+J69)*'Inputs'!$E$42</f>
        <v>0.0029050475771808396</v>
      </c>
      <c r="K77" s="36">
        <f>(K68*(1-'Inputs'!$E$25)+K69)*'Inputs'!$E$42</f>
        <v>0.0031994180537716407</v>
      </c>
      <c r="L77" s="36">
        <f>(L68*(1-'Inputs'!$E$25)+L69)*'Inputs'!$E$42</f>
        <v>0.0033719682962769825</v>
      </c>
      <c r="M77" s="36">
        <f>(M68*(1-'Inputs'!$E$25)+M69)*'Inputs'!$E$42</f>
        <v>0.003544413458554347</v>
      </c>
      <c r="N77" s="36">
        <f>(N68*(1-'Inputs'!$E$25)+N69)*'Inputs'!$E$42</f>
        <v>0.0037086926157647955</v>
      </c>
      <c r="O77" s="36">
        <f>(O68*(1-'Inputs'!$E$25)+O69)*'Inputs'!$E$42</f>
        <v>0.003824396717319891</v>
      </c>
      <c r="P77" s="36">
        <f>(P68*(1-'Inputs'!$E$25)+P69)*'Inputs'!$E$42</f>
        <v>0.003896612854411088</v>
      </c>
      <c r="Q77" s="36">
        <f>(Q68*(1-'Inputs'!$E$25)+Q69)*'Inputs'!$E$42</f>
        <v>0.003929911434103261</v>
      </c>
      <c r="R77" s="36">
        <f>(R68*(1-'Inputs'!$E$25)+R69)*'Inputs'!$E$42</f>
        <v>0.004009512327390457</v>
      </c>
      <c r="S77" s="36">
        <f>(S68*(1-'Inputs'!$E$25)+S69)*'Inputs'!$E$42</f>
        <v>0.0040671388027490605</v>
      </c>
      <c r="T77" s="36">
        <f>(T68*(1-'Inputs'!$E$25)+T69)*'Inputs'!$E$42</f>
        <v>0.003928022015538621</v>
      </c>
      <c r="U77" s="36">
        <f>(U68*(1-'Inputs'!$E$25)+U69)*'Inputs'!$E$42</f>
        <v>0.00400660440532868</v>
      </c>
      <c r="V77" s="36">
        <f>(V68*(1-'Inputs'!$E$25)+V69)*'Inputs'!$E$42</f>
        <v>0.004076240880771476</v>
      </c>
      <c r="W77" s="36">
        <f>(W68*(1-'Inputs'!$E$25)+W69)*'Inputs'!$E$42</f>
        <v>0.0041370676985883524</v>
      </c>
      <c r="X77" s="36">
        <f>(X68*(1-'Inputs'!$E$25)+X69)*'Inputs'!$E$42</f>
        <v>0.004189949091721444</v>
      </c>
      <c r="Y77" s="36">
        <f>(Y68*(1-'Inputs'!$E$25)+Y69)*'Inputs'!$E$42</f>
        <v>0.004235348597721538</v>
      </c>
      <c r="Z77" s="36">
        <f>(Z68*(1-'Inputs'!$E$25)+Z69)*'Inputs'!$E$42</f>
        <v>0.0042738216377010115</v>
      </c>
      <c r="AA77" s="36">
        <f>(AA68*(1-'Inputs'!$E$25)+AA69)*'Inputs'!$E$42</f>
        <v>0.004306020327842817</v>
      </c>
      <c r="AB77" s="36">
        <f>(AB68*(1-'Inputs'!$E$25)+AB69)*'Inputs'!$E$42</f>
        <v>0.004332537731266206</v>
      </c>
      <c r="AC77" s="36">
        <f>(AC68*(1-'Inputs'!$E$25)+AC69)*'Inputs'!$E$42</f>
        <v>0.00435391317412654</v>
      </c>
      <c r="AD77" s="36">
        <f>(AD68*(1-'Inputs'!$E$25)+AD69)*'Inputs'!$E$42</f>
        <v>0.004370477822441094</v>
      </c>
      <c r="AE77" s="36">
        <f>(AE68*(1-'Inputs'!$E$25)+AE69)*'Inputs'!$E$42</f>
        <v>0.00438267836556315</v>
      </c>
      <c r="AF77" s="36">
        <f>(AF68*(1-'Inputs'!$E$25)+AF69)*'Inputs'!$E$42</f>
        <v>0.004328984414046817</v>
      </c>
      <c r="AG77" s="36">
        <f>(AG68*(1-'Inputs'!$E$25)+AG69)*'Inputs'!$E$42</f>
        <v>0.004294618027466887</v>
      </c>
      <c r="AH77" s="36">
        <f>(AH68*(1-'Inputs'!$E$25)+AH69)*'Inputs'!$E$42</f>
        <v>0.004256520577554923</v>
      </c>
      <c r="AI77" s="36">
        <f>(AI68*(1-'Inputs'!$E$25)+AI69)*'Inputs'!$E$42</f>
        <v>0.004214813468249398</v>
      </c>
      <c r="AJ77" s="36">
        <f>(AJ68*(1-'Inputs'!$E$25)+AJ69)*'Inputs'!$E$42</f>
        <v>0.004169864199511312</v>
      </c>
      <c r="AK77" s="36">
        <f>(AK68*(1-'Inputs'!$E$25)+AK69)*'Inputs'!$E$42</f>
        <v>0.004152024416917823</v>
      </c>
      <c r="AL77" s="36">
        <f>(AL68*(1-'Inputs'!$E$25)+AL69)*'Inputs'!$E$42</f>
        <v>0.004132022362115473</v>
      </c>
      <c r="AM77" s="36">
        <f>(AM68*(1-'Inputs'!$E$25)+AM69)*'Inputs'!$E$42</f>
        <v>0.004110066238690334</v>
      </c>
      <c r="AN77" s="36">
        <f>(AN68*(1-'Inputs'!$E$25)+AN69)*'Inputs'!$E$42</f>
        <v>0.004086345031720525</v>
      </c>
      <c r="AO77" s="36">
        <f>(AO68*(1-'Inputs'!$E$25)+AO69)*'Inputs'!$E$42</f>
        <v>0.004061030266302123</v>
      </c>
      <c r="AP77" s="36">
        <f>(AP68*(1-'Inputs'!$E$25)+AP69)*'Inputs'!$E$42</f>
        <v>0.004034221864214981</v>
      </c>
      <c r="AQ77" s="36">
        <f>(AQ68*(1-'Inputs'!$E$25)+AQ69)*'Inputs'!$E$42</f>
        <v>0.004006061344368071</v>
      </c>
    </row>
    <row r="78" ht="22" customHeight="1">
      <c r="A78" s="2" t="str">
        <v>DE.RETAIL_KYC</v>
      </c>
      <c r="B78" s="6" t="str">
        <v>Germany: identity checks, users</v>
      </c>
      <c r="C78" s="2" t="str">
        <v>EUR_per_user</v>
      </c>
      <c r="D78" s="2" t="str">
        <v>NA</v>
      </c>
      <c r="E78" s="2"/>
      <c r="F78" s="6" t="str"/>
      <c r="G78" s="2"/>
      <c r="H78" s="36">
        <f>H67*'Inputs'!$E$35/'Inputs'!$E$36</f>
        <v>0.0715869565217391</v>
      </c>
      <c r="I78" s="36">
        <f>I67*'Inputs'!$E$35/'Inputs'!$E$36</f>
        <v>0.028869097173912877</v>
      </c>
      <c r="J78" s="36">
        <f>J67*'Inputs'!$E$35/'Inputs'!$E$36</f>
        <v>0.02407770368907068</v>
      </c>
      <c r="K78" s="36">
        <f>K67*'Inputs'!$E$35/'Inputs'!$E$36</f>
        <v>0.02147620427450212</v>
      </c>
      <c r="L78" s="36">
        <f>L67*'Inputs'!$E$35/'Inputs'!$E$36</f>
        <v>0.0189975739540668</v>
      </c>
      <c r="M78" s="36">
        <f>M67*'Inputs'!$E$35/'Inputs'!$E$36</f>
        <v>0.017376467888382395</v>
      </c>
      <c r="N78" s="36">
        <f>N67*'Inputs'!$E$35/'Inputs'!$E$36</f>
        <v>0.01618876775103954</v>
      </c>
      <c r="O78" s="36">
        <f>O67*'Inputs'!$E$35/'Inputs'!$E$36</f>
        <v>0.015052527650620625</v>
      </c>
      <c r="P78" s="36">
        <f>P67*'Inputs'!$E$35/'Inputs'!$E$36</f>
        <v>0.013965823189002679</v>
      </c>
      <c r="Q78" s="36">
        <f>Q67*'Inputs'!$E$35/'Inputs'!$E$36</f>
        <v>0.01292679751587781</v>
      </c>
      <c r="R78" s="36">
        <f>R67*'Inputs'!$E$35/'Inputs'!$E$36</f>
        <v>0.01225619028467032</v>
      </c>
      <c r="S78" s="36">
        <f>S67*'Inputs'!$E$35/'Inputs'!$E$36</f>
        <v>0.011612374691392301</v>
      </c>
      <c r="T78" s="36">
        <f>T67*'Inputs'!$E$35/'Inputs'!$E$36</f>
        <v>0.010994387863967569</v>
      </c>
      <c r="U78" s="36">
        <f>U67*'Inputs'!$E$35/'Inputs'!$E$36</f>
        <v>0.01063362612729731</v>
      </c>
      <c r="V78" s="36">
        <f>V67*'Inputs'!$E$35/'Inputs'!$E$36</f>
        <v>0.01027566094569722</v>
      </c>
      <c r="W78" s="36">
        <f>W67*'Inputs'!$E$35/'Inputs'!$E$36</f>
        <v>0.009929270153808829</v>
      </c>
      <c r="X78" s="36">
        <f>X67*'Inputs'!$E$35/'Inputs'!$E$36</f>
        <v>0.009594088920156887</v>
      </c>
      <c r="Y78" s="36">
        <f>Y67*'Inputs'!$E$35/'Inputs'!$E$36</f>
        <v>0.00926976378661808</v>
      </c>
      <c r="Z78" s="36">
        <f>Z67*'Inputs'!$E$35/'Inputs'!$E$36</f>
        <v>0.008955952306718114</v>
      </c>
      <c r="AA78" s="36">
        <f>AA67*'Inputs'!$E$35/'Inputs'!$E$36</f>
        <v>0.008652322696806616</v>
      </c>
      <c r="AB78" s="36">
        <f>AB67*'Inputs'!$E$35/'Inputs'!$E$36</f>
        <v>0.00835855349948137</v>
      </c>
      <c r="AC78" s="36">
        <f>AC67*'Inputs'!$E$35/'Inputs'!$E$36</f>
        <v>0.008074333258678268</v>
      </c>
      <c r="AD78" s="36">
        <f>AD67*'Inputs'!$E$35/'Inputs'!$E$36</f>
        <v>0.0077993602058908</v>
      </c>
      <c r="AE78" s="36">
        <f>AE67*'Inputs'!$E$35/'Inputs'!$E$36</f>
        <v>0.007533341957019118</v>
      </c>
      <c r="AF78" s="36">
        <f>AF67*'Inputs'!$E$35/'Inputs'!$E$36</f>
        <v>0.007275995219383873</v>
      </c>
      <c r="AG78" s="36">
        <f>AG67*'Inputs'!$E$35/'Inputs'!$E$36</f>
        <v>0.006964889192076329</v>
      </c>
      <c r="AH78" s="36">
        <f>AH67*'Inputs'!$E$35/'Inputs'!$E$36</f>
        <v>0.006663195241938345</v>
      </c>
      <c r="AI78" s="36">
        <f>AI67*'Inputs'!$E$35/'Inputs'!$E$36</f>
        <v>0.006372677807323885</v>
      </c>
      <c r="AJ78" s="36">
        <f>AJ67*'Inputs'!$E$35/'Inputs'!$E$36</f>
        <v>0.006092954043870738</v>
      </c>
      <c r="AK78" s="36">
        <f>AK67*'Inputs'!$E$35/'Inputs'!$E$36</f>
        <v>0.005871783004300952</v>
      </c>
      <c r="AL78" s="36">
        <f>AL67*'Inputs'!$E$35/'Inputs'!$E$36</f>
        <v>0.005658095471145812</v>
      </c>
      <c r="AM78" s="36">
        <f>AM67*'Inputs'!$E$35/'Inputs'!$E$36</f>
        <v>0.0054516489180923685</v>
      </c>
      <c r="AN78" s="36">
        <f>AN67*'Inputs'!$E$35/'Inputs'!$E$36</f>
        <v>0.005252208462496322</v>
      </c>
      <c r="AO78" s="36">
        <f>AO67*'Inputs'!$E$35/'Inputs'!$E$36</f>
        <v>0.005059546627923637</v>
      </c>
      <c r="AP78" s="36">
        <f>AP67*'Inputs'!$E$35/'Inputs'!$E$36</f>
        <v>0.004873443114157219</v>
      </c>
      <c r="AQ78" s="36">
        <f>AQ67*'Inputs'!$E$35/'Inputs'!$E$36</f>
        <v>0.004693684574412683</v>
      </c>
    </row>
    <row r="79" ht="22" customHeight="1">
      <c r="A79" s="2" t="str">
        <v>DE.CLOUD_SUPPORT</v>
      </c>
      <c r="B79" s="6" t="str">
        <v>Germany: hosting and support, variable</v>
      </c>
      <c r="C79" s="2" t="str">
        <v>EUR_per_user</v>
      </c>
      <c r="D79" s="2" t="str">
        <v>NA</v>
      </c>
      <c r="E79" s="2"/>
      <c r="F79" s="6" t="str"/>
      <c r="G79" s="2"/>
      <c r="H79" s="36">
        <f>H13*('Inputs'!$E$37+'Inputs'!$E$38/'Inputs'!$E$53*'Inputs'!$E$39)</f>
        <v>0.2</v>
      </c>
      <c r="I79" s="36">
        <f>I13*('Inputs'!$E$37+'Inputs'!$E$38/'Inputs'!$E$53*'Inputs'!$E$39)</f>
        <v>0.13999999999999999</v>
      </c>
      <c r="J79" s="36">
        <f>J13*('Inputs'!$E$37+'Inputs'!$E$38/'Inputs'!$E$53*'Inputs'!$E$39)</f>
        <v>0.12</v>
      </c>
      <c r="K79" s="36">
        <f>K13*('Inputs'!$E$37+'Inputs'!$E$38/'Inputs'!$E$53*'Inputs'!$E$39)</f>
        <v>0.11000000000000001</v>
      </c>
      <c r="L79" s="36">
        <f>L13*('Inputs'!$E$37+'Inputs'!$E$38/'Inputs'!$E$53*'Inputs'!$E$39)</f>
        <v>0.1</v>
      </c>
      <c r="M79" s="36">
        <f>M13*('Inputs'!$E$37+'Inputs'!$E$38/'Inputs'!$E$53*'Inputs'!$E$39)</f>
        <v>0.094</v>
      </c>
      <c r="N79" s="36">
        <f>N13*('Inputs'!$E$37+'Inputs'!$E$38/'Inputs'!$E$53*'Inputs'!$E$39)</f>
        <v>0.09000000000000001</v>
      </c>
      <c r="O79" s="36">
        <f>O13*('Inputs'!$E$37+'Inputs'!$E$38/'Inputs'!$E$53*'Inputs'!$E$39)</f>
        <v>0.08600000000000001</v>
      </c>
      <c r="P79" s="36">
        <f>P13*('Inputs'!$E$37+'Inputs'!$E$38/'Inputs'!$E$53*'Inputs'!$E$39)</f>
        <v>0.082</v>
      </c>
      <c r="Q79" s="36">
        <f>Q13*('Inputs'!$E$37+'Inputs'!$E$38/'Inputs'!$E$53*'Inputs'!$E$39)</f>
        <v>0.07800000000000001</v>
      </c>
      <c r="R79" s="36">
        <f>R13*('Inputs'!$E$37+'Inputs'!$E$38/'Inputs'!$E$53*'Inputs'!$E$39)</f>
        <v>0.07600000000000001</v>
      </c>
      <c r="S79" s="36">
        <f>S13*('Inputs'!$E$37+'Inputs'!$E$38/'Inputs'!$E$53*'Inputs'!$E$39)</f>
        <v>0.074</v>
      </c>
      <c r="T79" s="36">
        <f>T13*('Inputs'!$E$37+'Inputs'!$E$38/'Inputs'!$E$53*'Inputs'!$E$39)</f>
        <v>0.072</v>
      </c>
      <c r="U79" s="36">
        <f>U13*('Inputs'!$E$37+'Inputs'!$E$38/'Inputs'!$E$53*'Inputs'!$E$39)</f>
        <v>0.0715</v>
      </c>
      <c r="V79" s="36">
        <f>V13*('Inputs'!$E$37+'Inputs'!$E$38/'Inputs'!$E$53*'Inputs'!$E$39)</f>
        <v>0.071</v>
      </c>
      <c r="W79" s="36">
        <f>W13*('Inputs'!$E$37+'Inputs'!$E$38/'Inputs'!$E$53*'Inputs'!$E$39)</f>
        <v>0.0705</v>
      </c>
      <c r="X79" s="36">
        <f>X13*('Inputs'!$E$37+'Inputs'!$E$38/'Inputs'!$E$53*'Inputs'!$E$39)</f>
        <v>0.06999999999999999</v>
      </c>
      <c r="Y79" s="36">
        <f>Y13*('Inputs'!$E$37+'Inputs'!$E$38/'Inputs'!$E$53*'Inputs'!$E$39)</f>
        <v>0.06949999999999999</v>
      </c>
      <c r="Z79" s="36">
        <f>Z13*('Inputs'!$E$37+'Inputs'!$E$38/'Inputs'!$E$53*'Inputs'!$E$39)</f>
        <v>0.06899999999999999</v>
      </c>
      <c r="AA79" s="36">
        <f>AA13*('Inputs'!$E$37+'Inputs'!$E$38/'Inputs'!$E$53*'Inputs'!$E$39)</f>
        <v>0.0685</v>
      </c>
      <c r="AB79" s="36">
        <f>AB13*('Inputs'!$E$37+'Inputs'!$E$38/'Inputs'!$E$53*'Inputs'!$E$39)</f>
        <v>0.068</v>
      </c>
      <c r="AC79" s="36">
        <f>AC13*('Inputs'!$E$37+'Inputs'!$E$38/'Inputs'!$E$53*'Inputs'!$E$39)</f>
        <v>0.0675</v>
      </c>
      <c r="AD79" s="36">
        <f>AD13*('Inputs'!$E$37+'Inputs'!$E$38/'Inputs'!$E$53*'Inputs'!$E$39)</f>
        <v>0.067</v>
      </c>
      <c r="AE79" s="36">
        <f>AE13*('Inputs'!$E$37+'Inputs'!$E$38/'Inputs'!$E$53*'Inputs'!$E$39)</f>
        <v>0.0665</v>
      </c>
      <c r="AF79" s="36">
        <f>AF13*('Inputs'!$E$37+'Inputs'!$E$38/'Inputs'!$E$53*'Inputs'!$E$39)</f>
        <v>0.066</v>
      </c>
      <c r="AG79" s="36">
        <f>AG13*('Inputs'!$E$37+'Inputs'!$E$38/'Inputs'!$E$53*'Inputs'!$E$39)</f>
        <v>0.0649</v>
      </c>
      <c r="AH79" s="36">
        <f>AH13*('Inputs'!$E$37+'Inputs'!$E$38/'Inputs'!$E$53*'Inputs'!$E$39)</f>
        <v>0.06380000000000001</v>
      </c>
      <c r="AI79" s="36">
        <f>AI13*('Inputs'!$E$37+'Inputs'!$E$38/'Inputs'!$E$53*'Inputs'!$E$39)</f>
        <v>0.0627</v>
      </c>
      <c r="AJ79" s="36">
        <f>AJ13*('Inputs'!$E$37+'Inputs'!$E$38/'Inputs'!$E$53*'Inputs'!$E$39)</f>
        <v>0.0616</v>
      </c>
      <c r="AK79" s="36">
        <f>AK13*('Inputs'!$E$37+'Inputs'!$E$38/'Inputs'!$E$53*'Inputs'!$E$39)</f>
        <v>0.061</v>
      </c>
      <c r="AL79" s="36">
        <f>AL13*('Inputs'!$E$37+'Inputs'!$E$38/'Inputs'!$E$53*'Inputs'!$E$39)</f>
        <v>0.0604</v>
      </c>
      <c r="AM79" s="36">
        <f>AM13*('Inputs'!$E$37+'Inputs'!$E$38/'Inputs'!$E$53*'Inputs'!$E$39)</f>
        <v>0.0598</v>
      </c>
      <c r="AN79" s="36">
        <f>AN13*('Inputs'!$E$37+'Inputs'!$E$38/'Inputs'!$E$53*'Inputs'!$E$39)</f>
        <v>0.0592</v>
      </c>
      <c r="AO79" s="36">
        <f>AO13*('Inputs'!$E$37+'Inputs'!$E$38/'Inputs'!$E$53*'Inputs'!$E$39)</f>
        <v>0.0586</v>
      </c>
      <c r="AP79" s="36">
        <f>AP13*('Inputs'!$E$37+'Inputs'!$E$38/'Inputs'!$E$53*'Inputs'!$E$39)</f>
        <v>0.057999999999999996</v>
      </c>
      <c r="AQ79" s="36">
        <f>AQ13*('Inputs'!$E$37+'Inputs'!$E$38/'Inputs'!$E$53*'Inputs'!$E$39)</f>
        <v>0.0574</v>
      </c>
    </row>
    <row r="80" ht="28" customHeight="1">
      <c r="A80" s="2" t="str">
        <v>DE.CONNECT</v>
      </c>
      <c r="B80" s="6" t="str">
        <v>Germany: payout charges (allocated by copy revenue)</v>
      </c>
      <c r="C80" s="2" t="str">
        <v>EUR_per_user</v>
      </c>
      <c r="D80" s="2" t="str">
        <v>NA</v>
      </c>
      <c r="E80" s="2"/>
      <c r="F80" s="6" t="str"/>
      <c r="G80" s="2"/>
      <c r="H80" s="36">
        <f>H69*INDEX('Calendar_Seeds'!$H$19:$CX$19,1,$E$11+H$6)</f>
        <v>0.0057375025193734785</v>
      </c>
      <c r="I80" s="36">
        <f>I69*INDEX('Calendar_Seeds'!$H$19:$CX$19,1,$E$11+I$6)</f>
        <v>0.00763778944779034</v>
      </c>
      <c r="J80" s="36">
        <f>J69*INDEX('Calendar_Seeds'!$H$19:$CX$19,1,$E$11+J$6)</f>
        <v>0.009346422806470868</v>
      </c>
      <c r="K80" s="36">
        <f>K69*INDEX('Calendar_Seeds'!$H$19:$CX$19,1,$E$11+K$6)</f>
        <v>0.010882817264279544</v>
      </c>
      <c r="L80" s="36">
        <f>L69*INDEX('Calendar_Seeds'!$H$19:$CX$19,1,$E$11+L$6)</f>
        <v>0.011791716646062565</v>
      </c>
      <c r="M80" s="36">
        <f>M69*INDEX('Calendar_Seeds'!$H$19:$CX$19,1,$E$11+M$6)</f>
        <v>0.012693558621829614</v>
      </c>
      <c r="N80" s="36">
        <f>N69*INDEX('Calendar_Seeds'!$H$19:$CX$19,1,$E$11+N$6)</f>
        <v>0.013543577173530259</v>
      </c>
      <c r="O80" s="36">
        <f>O69*INDEX('Calendar_Seeds'!$H$19:$CX$19,1,$E$11+O$6)</f>
        <v>0.014140185201778954</v>
      </c>
      <c r="P80" s="36">
        <f>P69*INDEX('Calendar_Seeds'!$H$19:$CX$19,1,$E$11+P$6)</f>
        <v>0.014513652037335626</v>
      </c>
      <c r="Q80" s="36">
        <f>Q69*INDEX('Calendar_Seeds'!$H$19:$CX$19,1,$E$11+Q$6)</f>
        <v>0.014690700388869824</v>
      </c>
      <c r="R80" s="36">
        <f>R69*INDEX('Calendar_Seeds'!$H$19:$CX$19,1,$E$11+R$6)</f>
        <v>0.01509208970007296</v>
      </c>
      <c r="S80" s="36">
        <f>S69*INDEX('Calendar_Seeds'!$H$19:$CX$19,1,$E$11+S$6)</f>
        <v>0.015378448979168001</v>
      </c>
      <c r="T80" s="36">
        <f>T69*INDEX('Calendar_Seeds'!$H$19:$CX$19,1,$E$11+T$6)</f>
        <v>0.015563354517769147</v>
      </c>
      <c r="U80" s="36">
        <f>U69*INDEX('Calendar_Seeds'!$H$19:$CX$19,1,$E$11+U$6)</f>
        <v>0.015993693101596956</v>
      </c>
      <c r="V80" s="36">
        <f>V69*INDEX('Calendar_Seeds'!$H$19:$CX$19,1,$E$11+V$6)</f>
        <v>0.016364227914700054</v>
      </c>
      <c r="W80" s="36">
        <f>W69*INDEX('Calendar_Seeds'!$H$19:$CX$19,1,$E$11+W$6)</f>
        <v>0.01668105813777424</v>
      </c>
      <c r="X80" s="36">
        <f>X69*INDEX('Calendar_Seeds'!$H$19:$CX$19,1,$E$11+X$6)</f>
        <v>0.016949143005384477</v>
      </c>
      <c r="Y80" s="36">
        <f>Y69*INDEX('Calendar_Seeds'!$H$19:$CX$19,1,$E$11+Y$6)</f>
        <v>0.017173518505576215</v>
      </c>
      <c r="Z80" s="36">
        <f>Z69*INDEX('Calendar_Seeds'!$H$19:$CX$19,1,$E$11+Z$6)</f>
        <v>0.01735884394047216</v>
      </c>
      <c r="AA80" s="36">
        <f>AA69*INDEX('Calendar_Seeds'!$H$19:$CX$19,1,$E$11+AA$6)</f>
        <v>0.017509070316467982</v>
      </c>
      <c r="AB80" s="36">
        <f>AB69*INDEX('Calendar_Seeds'!$H$19:$CX$19,1,$E$11+AB$6)</f>
        <v>0.0176268193771685</v>
      </c>
      <c r="AC80" s="36">
        <f>AC69*INDEX('Calendar_Seeds'!$H$19:$CX$19,1,$E$11+AC$6)</f>
        <v>0.017715739519939534</v>
      </c>
      <c r="AD80" s="36">
        <f>AD69*INDEX('Calendar_Seeds'!$H$19:$CX$19,1,$E$11+AD$6)</f>
        <v>0.01777917095314073</v>
      </c>
      <c r="AE80" s="36">
        <f>AE69*INDEX('Calendar_Seeds'!$H$19:$CX$19,1,$E$11+AE$6)</f>
        <v>0.017819194603933546</v>
      </c>
      <c r="AF80" s="36">
        <f>AF69*INDEX('Calendar_Seeds'!$H$19:$CX$19,1,$E$11+AF$6)</f>
        <v>0.017838254379339835</v>
      </c>
      <c r="AG80" s="36">
        <f>AG69*INDEX('Calendar_Seeds'!$H$19:$CX$19,1,$E$11+AG$6)</f>
        <v>0.01767528928297349</v>
      </c>
      <c r="AH80" s="36">
        <f>AH69*INDEX('Calendar_Seeds'!$H$19:$CX$19,1,$E$11+AH$6)</f>
        <v>0.017493418582702473</v>
      </c>
      <c r="AI80" s="36">
        <f>AI69*INDEX('Calendar_Seeds'!$H$19:$CX$19,1,$E$11+AI$6)</f>
        <v>0.017294734320906197</v>
      </c>
      <c r="AJ80" s="36">
        <f>AJ69*INDEX('Calendar_Seeds'!$H$19:$CX$19,1,$E$11+AJ$6)</f>
        <v>0.017081106559334657</v>
      </c>
      <c r="AK80" s="36">
        <f>AK69*INDEX('Calendar_Seeds'!$H$19:$CX$19,1,$E$11+AK$6)</f>
        <v>0.016993499674516865</v>
      </c>
      <c r="AL80" s="36">
        <f>AL69*INDEX('Calendar_Seeds'!$H$19:$CX$19,1,$E$11+AL$6)</f>
        <v>0.01689526120982816</v>
      </c>
      <c r="AM80" s="36">
        <f>AM69*INDEX('Calendar_Seeds'!$H$19:$CX$19,1,$E$11+AM$6)</f>
        <v>0.016787527241285027</v>
      </c>
      <c r="AN80" s="36">
        <f>AN69*INDEX('Calendar_Seeds'!$H$19:$CX$19,1,$E$11+AN$6)</f>
        <v>0.01667131867818207</v>
      </c>
      <c r="AO80" s="36">
        <f>AO69*INDEX('Calendar_Seeds'!$H$19:$CX$19,1,$E$11+AO$6)</f>
        <v>0.016547553131594964</v>
      </c>
      <c r="AP80" s="36">
        <f>AP69*INDEX('Calendar_Seeds'!$H$19:$CX$19,1,$E$11+AP$6)</f>
        <v>0.016417055392353556</v>
      </c>
      <c r="AQ80" s="36">
        <f>AQ69*INDEX('Calendar_Seeds'!$H$19:$CX$19,1,$E$11+AQ$6)</f>
        <v>0.016279847367395666</v>
      </c>
    </row>
    <row r="81" ht="28" customHeight="1">
      <c r="A81" s="2" t="str">
        <v>DE.TRADER_KYC</v>
      </c>
      <c r="B81" s="6" t="str">
        <v>Germany: identity checks, new lead traders (allocated)</v>
      </c>
      <c r="C81" s="2" t="str">
        <v>EUR_per_user</v>
      </c>
      <c r="D81" s="2" t="str">
        <v>NA</v>
      </c>
      <c r="E81" s="2"/>
      <c r="F81" s="6" t="str"/>
      <c r="G81" s="2"/>
      <c r="H81" s="36">
        <f>H69*INDEX('Calendar_Seeds'!$H$20:$CX$20,1,$E$11+H$6)</f>
        <v>0.00028838774514151466</v>
      </c>
      <c r="I81" s="36">
        <f>I69*INDEX('Calendar_Seeds'!$H$20:$CX$20,1,$E$11+I$6)</f>
        <v>0.00037819152328626127</v>
      </c>
      <c r="J81" s="36">
        <f>J69*INDEX('Calendar_Seeds'!$H$20:$CX$20,1,$E$11+J$6)</f>
        <v>0.0004562212773699965</v>
      </c>
      <c r="K81" s="36">
        <f>K69*INDEX('Calendar_Seeds'!$H$20:$CX$20,1,$E$11+K$6)</f>
        <v>0.0005240092748735917</v>
      </c>
      <c r="L81" s="36">
        <f>L69*INDEX('Calendar_Seeds'!$H$20:$CX$20,1,$E$11+L$6)</f>
        <v>0.0005604046971527002</v>
      </c>
      <c r="M81" s="36">
        <f>M69*INDEX('Calendar_Seeds'!$H$20:$CX$20,1,$E$11+M$6)</f>
        <v>0.0005961503169357666</v>
      </c>
      <c r="N81" s="36">
        <f>N69*INDEX('Calendar_Seeds'!$H$20:$CX$20,1,$E$11+N$6)</f>
        <v>0.0006288694093733898</v>
      </c>
      <c r="O81" s="36">
        <f>O69*INDEX('Calendar_Seeds'!$H$20:$CX$20,1,$E$11+O$6)</f>
        <v>0.0006494514580640717</v>
      </c>
      <c r="P81" s="36">
        <f>P69*INDEX('Calendar_Seeds'!$H$20:$CX$20,1,$E$11+P$6)</f>
        <v>0.0006596673012636702</v>
      </c>
      <c r="Q81" s="36">
        <f>Q69*INDEX('Calendar_Seeds'!$H$20:$CX$20,1,$E$11+Q$6)</f>
        <v>0.0006610391814706632</v>
      </c>
      <c r="R81" s="36">
        <f>R69*INDEX('Calendar_Seeds'!$H$20:$CX$20,1,$E$11+R$6)</f>
        <v>0.0006725729580410114</v>
      </c>
      <c r="S81" s="36">
        <f>S69*INDEX('Calendar_Seeds'!$H$20:$CX$20,1,$E$11+S$6)</f>
        <v>0.0006789950555590969</v>
      </c>
      <c r="T81" s="36">
        <f>T69*INDEX('Calendar_Seeds'!$H$20:$CX$20,1,$E$11+T$6)</f>
        <v>0.0006810373727686007</v>
      </c>
      <c r="U81" s="36">
        <f>U69*INDEX('Calendar_Seeds'!$H$20:$CX$20,1,$E$11+U$6)</f>
        <v>0.0006936139274913948</v>
      </c>
      <c r="V81" s="36">
        <f>V69*INDEX('Calendar_Seeds'!$H$20:$CX$20,1,$E$11+V$6)</f>
        <v>0.0007035716661538125</v>
      </c>
      <c r="W81" s="36">
        <f>W69*INDEX('Calendar_Seeds'!$H$20:$CX$20,1,$E$11+W$6)</f>
        <v>0.0007112236539401219</v>
      </c>
      <c r="X81" s="36">
        <f>X69*INDEX('Calendar_Seeds'!$H$20:$CX$20,1,$E$11+X$6)</f>
        <v>0.0007168396315906908</v>
      </c>
      <c r="Y81" s="36">
        <f>Y69*INDEX('Calendar_Seeds'!$H$20:$CX$20,1,$E$11+Y$6)</f>
        <v>0.0007208760721610874</v>
      </c>
      <c r="Z81" s="36">
        <f>Z69*INDEX('Calendar_Seeds'!$H$20:$CX$20,1,$E$11+Z$6)</f>
        <v>0.000723357452886572</v>
      </c>
      <c r="AA81" s="36">
        <f>AA69*INDEX('Calendar_Seeds'!$H$20:$CX$20,1,$E$11+AA$6)</f>
        <v>0.0007244886749386093</v>
      </c>
      <c r="AB81" s="36">
        <f>AB69*INDEX('Calendar_Seeds'!$H$20:$CX$20,1,$E$11+AB$6)</f>
        <v>0.0007243977751114807</v>
      </c>
      <c r="AC81" s="36">
        <f>AC69*INDEX('Calendar_Seeds'!$H$20:$CX$20,1,$E$11+AC$6)</f>
        <v>0.0007236097570705259</v>
      </c>
      <c r="AD81" s="36">
        <f>AD69*INDEX('Calendar_Seeds'!$H$20:$CX$20,1,$E$11+AD$6)</f>
        <v>0.0007218397060945466</v>
      </c>
      <c r="AE81" s="36">
        <f>AE69*INDEX('Calendar_Seeds'!$H$20:$CX$20,1,$E$11+AE$6)</f>
        <v>0.0007192546898371214</v>
      </c>
      <c r="AF81" s="36">
        <f>AF69*INDEX('Calendar_Seeds'!$H$20:$CX$20,1,$E$11+AF$6)</f>
        <v>0.0007161251183185748</v>
      </c>
      <c r="AG81" s="36">
        <f>AG69*INDEX('Calendar_Seeds'!$H$20:$CX$20,1,$E$11+AG$6)</f>
        <v>0.0007058673672812272</v>
      </c>
      <c r="AH81" s="36">
        <f>AH69*INDEX('Calendar_Seeds'!$H$20:$CX$20,1,$E$11+AH$6)</f>
        <v>0.0006950593788341393</v>
      </c>
      <c r="AI81" s="36">
        <f>AI69*INDEX('Calendar_Seeds'!$H$20:$CX$20,1,$E$11+AI$6)</f>
        <v>0.0006837819447935419</v>
      </c>
      <c r="AJ81" s="36">
        <f>AJ69*INDEX('Calendar_Seeds'!$H$20:$CX$20,1,$E$11+AJ$6)</f>
        <v>0.0006721072025951734</v>
      </c>
      <c r="AK81" s="36">
        <f>AK69*INDEX('Calendar_Seeds'!$H$20:$CX$20,1,$E$11+AK$6)</f>
        <v>0.0006655542729063279</v>
      </c>
      <c r="AL81" s="36">
        <f>AL69*INDEX('Calendar_Seeds'!$H$20:$CX$20,1,$E$11+AL$6)</f>
        <v>0.0006587188268687858</v>
      </c>
      <c r="AM81" s="36">
        <f>AM69*INDEX('Calendar_Seeds'!$H$20:$CX$20,1,$E$11+AM$6)</f>
        <v>0.000651643717560087</v>
      </c>
      <c r="AN81" s="36">
        <f>AN69*INDEX('Calendar_Seeds'!$H$20:$CX$20,1,$E$11+AN$6)</f>
        <v>0.0006443667787647007</v>
      </c>
      <c r="AO81" s="36">
        <f>AO69*INDEX('Calendar_Seeds'!$H$20:$CX$20,1,$E$11+AO$6)</f>
        <v>0.0006369214548751841</v>
      </c>
      <c r="AP81" s="36">
        <f>AP69*INDEX('Calendar_Seeds'!$H$20:$CX$20,1,$E$11+AP$6)</f>
        <v>0.0006293371330301331</v>
      </c>
      <c r="AQ81" s="36">
        <f>AQ69*INDEX('Calendar_Seeds'!$H$20:$CX$20,1,$E$11+AQ$6)</f>
        <v>0.0006216122062103086</v>
      </c>
    </row>
    <row r="82" ht="22" customHeight="1">
      <c r="A82" s="2" t="str">
        <v>DE.UNRECOVERED_VAT</v>
      </c>
      <c r="B82" s="6" t="str">
        <v>Germany: non-recoverable input VAT</v>
      </c>
      <c r="C82" s="2" t="str">
        <v>EUR_per_user</v>
      </c>
      <c r="D82" s="2" t="str">
        <v>NA</v>
      </c>
      <c r="E82" s="2"/>
      <c r="F82" s="6" t="str"/>
      <c r="G82" s="2"/>
      <c r="H82" s="36">
        <f>SUM(H78,H81,H79)*'Inputs'!$E$43*(1-'Inputs'!$E$45)</f>
        <v>0.0</v>
      </c>
      <c r="I82" s="36">
        <f>SUM(I78,I81,I79)*'Inputs'!$E$43*(1-'Inputs'!$E$45)</f>
        <v>0.0</v>
      </c>
      <c r="J82" s="36">
        <f>SUM(J78,J81,J79)*'Inputs'!$E$43*(1-'Inputs'!$E$45)</f>
        <v>0.0</v>
      </c>
      <c r="K82" s="36">
        <f>SUM(K78,K81,K79)*'Inputs'!$E$43*(1-'Inputs'!$E$45)</f>
        <v>0.0</v>
      </c>
      <c r="L82" s="36">
        <f>SUM(L78,L81,L79)*'Inputs'!$E$43*(1-'Inputs'!$E$45)</f>
        <v>0.0</v>
      </c>
      <c r="M82" s="36">
        <f>SUM(M78,M81,M79)*'Inputs'!$E$43*(1-'Inputs'!$E$45)</f>
        <v>0.0</v>
      </c>
      <c r="N82" s="36">
        <f>SUM(N78,N81,N79)*'Inputs'!$E$43*(1-'Inputs'!$E$45)</f>
        <v>0.0</v>
      </c>
      <c r="O82" s="36">
        <f>SUM(O78,O81,O79)*'Inputs'!$E$43*(1-'Inputs'!$E$45)</f>
        <v>0.0</v>
      </c>
      <c r="P82" s="36">
        <f>SUM(P78,P81,P79)*'Inputs'!$E$43*(1-'Inputs'!$E$45)</f>
        <v>0.0</v>
      </c>
      <c r="Q82" s="36">
        <f>SUM(Q78,Q81,Q79)*'Inputs'!$E$43*(1-'Inputs'!$E$45)</f>
        <v>0.0</v>
      </c>
      <c r="R82" s="36">
        <f>SUM(R78,R81,R79)*'Inputs'!$E$43*(1-'Inputs'!$E$45)</f>
        <v>0.0</v>
      </c>
      <c r="S82" s="36">
        <f>SUM(S78,S81,S79)*'Inputs'!$E$43*(1-'Inputs'!$E$45)</f>
        <v>0.0</v>
      </c>
      <c r="T82" s="36">
        <f>SUM(T78,T81,T79)*'Inputs'!$E$43*(1-'Inputs'!$E$45)</f>
        <v>0.0</v>
      </c>
      <c r="U82" s="36">
        <f>SUM(U78,U81,U79)*'Inputs'!$E$43*(1-'Inputs'!$E$45)</f>
        <v>0.0</v>
      </c>
      <c r="V82" s="36">
        <f>SUM(V78,V81,V79)*'Inputs'!$E$43*(1-'Inputs'!$E$45)</f>
        <v>0.0</v>
      </c>
      <c r="W82" s="36">
        <f>SUM(W78,W81,W79)*'Inputs'!$E$43*(1-'Inputs'!$E$45)</f>
        <v>0.0</v>
      </c>
      <c r="X82" s="36">
        <f>SUM(X78,X81,X79)*'Inputs'!$E$43*(1-'Inputs'!$E$45)</f>
        <v>0.0</v>
      </c>
      <c r="Y82" s="36">
        <f>SUM(Y78,Y81,Y79)*'Inputs'!$E$43*(1-'Inputs'!$E$45)</f>
        <v>0.0</v>
      </c>
      <c r="Z82" s="36">
        <f>SUM(Z78,Z81,Z79)*'Inputs'!$E$43*(1-'Inputs'!$E$45)</f>
        <v>0.0</v>
      </c>
      <c r="AA82" s="36">
        <f>SUM(AA78,AA81,AA79)*'Inputs'!$E$43*(1-'Inputs'!$E$45)</f>
        <v>0.0</v>
      </c>
      <c r="AB82" s="36">
        <f>SUM(AB78,AB81,AB79)*'Inputs'!$E$43*(1-'Inputs'!$E$45)</f>
        <v>0.0</v>
      </c>
      <c r="AC82" s="36">
        <f>SUM(AC78,AC81,AC79)*'Inputs'!$E$43*(1-'Inputs'!$E$45)</f>
        <v>0.0</v>
      </c>
      <c r="AD82" s="36">
        <f>SUM(AD78,AD81,AD79)*'Inputs'!$E$43*(1-'Inputs'!$E$45)</f>
        <v>0.0</v>
      </c>
      <c r="AE82" s="36">
        <f>SUM(AE78,AE81,AE79)*'Inputs'!$E$43*(1-'Inputs'!$E$45)</f>
        <v>0.0</v>
      </c>
      <c r="AF82" s="36">
        <f>SUM(AF78,AF81,AF79)*'Inputs'!$E$43*(1-'Inputs'!$E$45)</f>
        <v>0.0</v>
      </c>
      <c r="AG82" s="36">
        <f>SUM(AG78,AG81,AG79)*'Inputs'!$E$43*(1-'Inputs'!$E$45)</f>
        <v>0.0</v>
      </c>
      <c r="AH82" s="36">
        <f>SUM(AH78,AH81,AH79)*'Inputs'!$E$43*(1-'Inputs'!$E$45)</f>
        <v>0.0</v>
      </c>
      <c r="AI82" s="36">
        <f>SUM(AI78,AI81,AI79)*'Inputs'!$E$43*(1-'Inputs'!$E$45)</f>
        <v>0.0</v>
      </c>
      <c r="AJ82" s="36">
        <f>SUM(AJ78,AJ81,AJ79)*'Inputs'!$E$43*(1-'Inputs'!$E$45)</f>
        <v>0.0</v>
      </c>
      <c r="AK82" s="36">
        <f>SUM(AK78,AK81,AK79)*'Inputs'!$E$43*(1-'Inputs'!$E$45)</f>
        <v>0.0</v>
      </c>
      <c r="AL82" s="36">
        <f>SUM(AL78,AL81,AL79)*'Inputs'!$E$43*(1-'Inputs'!$E$45)</f>
        <v>0.0</v>
      </c>
      <c r="AM82" s="36">
        <f>SUM(AM78,AM81,AM79)*'Inputs'!$E$43*(1-'Inputs'!$E$45)</f>
        <v>0.0</v>
      </c>
      <c r="AN82" s="36">
        <f>SUM(AN78,AN81,AN79)*'Inputs'!$E$43*(1-'Inputs'!$E$45)</f>
        <v>0.0</v>
      </c>
      <c r="AO82" s="36">
        <f>SUM(AO78,AO81,AO79)*'Inputs'!$E$43*(1-'Inputs'!$E$45)</f>
        <v>0.0</v>
      </c>
      <c r="AP82" s="36">
        <f>SUM(AP78,AP81,AP79)*'Inputs'!$E$43*(1-'Inputs'!$E$45)</f>
        <v>0.0</v>
      </c>
      <c r="AQ82" s="36">
        <f>SUM(AQ78,AQ81,AQ79)*'Inputs'!$E$43*(1-'Inputs'!$E$45)</f>
        <v>0.0</v>
      </c>
    </row>
    <row r="83" ht="22" customHeight="1">
      <c r="A83" s="2" t="str">
        <v>DE.VARIABLE</v>
      </c>
      <c r="B83" s="6" t="str">
        <v>Germany: variable costs</v>
      </c>
      <c r="C83" s="2" t="str">
        <v>EUR_per_user</v>
      </c>
      <c r="D83" s="2" t="str">
        <v>SUM</v>
      </c>
      <c r="E83" s="35">
        <f>SUM(H83:AQ83)</f>
        <v>37.51495677090957</v>
      </c>
      <c r="F83" s="6" t="str"/>
      <c r="G83" s="2"/>
      <c r="H83" s="35">
        <f>SUM(H72,H73,H74,H75,H76,H77,H78,H79,H80,H81,H82)</f>
        <v>0.8608549940551617</v>
      </c>
      <c r="I83" s="35">
        <f>SUM(I72,I73,I74,I75,I76,I77,I78,I79,I80,I81,I82)</f>
        <v>0.6582576036796323</v>
      </c>
      <c r="J83" s="35">
        <f>SUM(J72,J73,J74,J75,J76,J77,J78,J79,J80,J81,J82)</f>
        <v>0.7244560817354543</v>
      </c>
      <c r="K83" s="35">
        <f>SUM(K72,K73,K74,K75,K76,K77,K78,K79,K80,K81,K82)</f>
        <v>0.7953997460171391</v>
      </c>
      <c r="L83" s="35">
        <f>SUM(L72,L73,L74,L75,L76,L77,L78,L79,L80,L81,L82)</f>
        <v>0.8329151874158525</v>
      </c>
      <c r="M83" s="35">
        <f>SUM(M72,M73,M74,M75,M76,M77,M78,M79,M80,M81,M82)</f>
        <v>0.8757972264059621</v>
      </c>
      <c r="N83" s="35">
        <f>SUM(N72,N73,N74,N75,N76,N77,N78,N79,N80,N81,N82)</f>
        <v>0.9189405847870717</v>
      </c>
      <c r="O83" s="35">
        <f>SUM(O72,O73,O74,O75,O76,O77,O78,O79,O80,O81,O82)</f>
        <v>0.9484552467664163</v>
      </c>
      <c r="P83" s="35">
        <f>SUM(P72,P73,P74,P75,P76,P77,P78,P79,P80,P81,P82)</f>
        <v>0.9657861126787152</v>
      </c>
      <c r="Q83" s="35">
        <f>SUM(Q72,Q73,Q74,Q75,Q76,Q77,Q78,Q79,Q80,Q81,Q82)</f>
        <v>0.9722308127297363</v>
      </c>
      <c r="R83" s="35">
        <f>SUM(R72,R73,R74,R75,R76,R77,R78,R79,R80,R81,R82)</f>
        <v>0.9939842370999747</v>
      </c>
      <c r="S83" s="35">
        <f>SUM(S72,S73,S74,S75,S76,S77,S78,S79,S80,S81,S82)</f>
        <v>1.0093973538468763</v>
      </c>
      <c r="T83" s="35">
        <f>SUM(T72,T73,T74,T75,T76,T77,T78,T79,T80,T81,T82)</f>
        <v>1.0946768316459485</v>
      </c>
      <c r="U83" s="35">
        <f>SUM(U72,U73,U74,U75,U76,U77,U78,U79,U80,U81,U82)</f>
        <v>1.049681151646651</v>
      </c>
      <c r="V83" s="35">
        <f>SUM(V72,V73,V74,V75,V76,V77,V78,V79,V80,V81,V82)</f>
        <v>1.071467913206536</v>
      </c>
      <c r="W83" s="35">
        <f>SUM(W72,W73,W74,W75,W76,W77,W78,W79,W80,W81,W82)</f>
        <v>1.0906453156778126</v>
      </c>
      <c r="X83" s="35">
        <f>SUM(X72,X73,X74,X75,X76,X77,X78,X79,X80,X81,X82)</f>
        <v>1.1071339388620085</v>
      </c>
      <c r="Y83" s="35">
        <f>SUM(Y72,Y73,Y74,Y75,Y76,Y77,Y78,Y79,Y80,Y81,Y82)</f>
        <v>1.1213168875418278</v>
      </c>
      <c r="Z83" s="35">
        <f>SUM(Z72,Z73,Z74,Z75,Z76,Z77,Z78,Z79,Z80,Z81,Z82)</f>
        <v>1.1333471211705048</v>
      </c>
      <c r="AA83" s="35">
        <f>SUM(AA72,AA73,AA74,AA75,AA76,AA77,AA78,AA79,AA80,AA81,AA82)</f>
        <v>1.1433581885048154</v>
      </c>
      <c r="AB83" s="35">
        <f>SUM(AB72,AB73,AB74,AB75,AB76,AB77,AB78,AB79,AB80,AB81,AB82)</f>
        <v>1.1515334404730186</v>
      </c>
      <c r="AC83" s="35">
        <f>SUM(AC72,AC73,AC74,AC75,AC76,AC77,AC78,AC79,AC80,AC81,AC82)</f>
        <v>1.1580413134483962</v>
      </c>
      <c r="AD83" s="35">
        <f>SUM(AD72,AD73,AD74,AD75,AD76,AD77,AD78,AD79,AD80,AD81,AD82)</f>
        <v>1.1631022675153782</v>
      </c>
      <c r="AE83" s="35">
        <f>SUM(AE72,AE73,AE74,AE75,AE76,AE77,AE78,AE79,AE80,AE81,AE82)</f>
        <v>1.1667859303229575</v>
      </c>
      <c r="AF83" s="35">
        <f>SUM(AF72,AF73,AF74,AF75,AF76,AF77,AF78,AF79,AF80,AF81,AF82)</f>
        <v>1.1956668261385492</v>
      </c>
      <c r="AG83" s="35">
        <f>SUM(AG72,AG73,AG74,AG75,AG76,AG77,AG78,AG79,AG80,AG81,AG82)</f>
        <v>1.1618416875193904</v>
      </c>
      <c r="AH83" s="35">
        <f>SUM(AH72,AH73,AH74,AH75,AH76,AH77,AH78,AH79,AH80,AH81,AH82)</f>
        <v>1.1512688926697892</v>
      </c>
      <c r="AI83" s="35">
        <f>SUM(AI72,AI73,AI74,AI75,AI76,AI77,AI78,AI79,AI80,AI81,AI82)</f>
        <v>1.1397113063854196</v>
      </c>
      <c r="AJ83" s="35">
        <f>SUM(AJ72,AJ73,AJ74,AJ75,AJ76,AJ77,AJ78,AJ79,AJ80,AJ81,AJ82)</f>
        <v>1.127154829560308</v>
      </c>
      <c r="AK83" s="35">
        <f>SUM(AK72,AK73,AK74,AK75,AK76,AK77,AK78,AK79,AK80,AK81,AK82)</f>
        <v>1.122721848359018</v>
      </c>
      <c r="AL83" s="35">
        <f>SUM(AL72,AL73,AL74,AL75,AL76,AL77,AL78,AL79,AL80,AL81,AL82)</f>
        <v>1.1176161585160205</v>
      </c>
      <c r="AM83" s="35">
        <f>SUM(AM72,AM73,AM74,AM75,AM76,AM77,AM78,AM79,AM80,AM81,AM82)</f>
        <v>1.1118786558330995</v>
      </c>
      <c r="AN83" s="35">
        <f>SUM(AN72,AN73,AN74,AN75,AN76,AN77,AN78,AN79,AN80,AN81,AN82)</f>
        <v>1.1055684365375436</v>
      </c>
      <c r="AO83" s="35">
        <f>SUM(AO72,AO73,AO74,AO75,AO76,AO77,AO78,AO79,AO80,AO81,AO82)</f>
        <v>1.098739140804779</v>
      </c>
      <c r="AP83" s="35">
        <f>SUM(AP72,AP73,AP74,AP75,AP76,AP77,AP78,AP79,AP80,AP81,AP82)</f>
        <v>1.0914632557057653</v>
      </c>
      <c r="AQ83" s="35">
        <f>SUM(AQ72,AQ73,AQ74,AQ75,AQ76,AQ77,AQ78,AQ79,AQ80,AQ81,AQ82)</f>
        <v>1.0837602456460385</v>
      </c>
    </row>
    <row r="84" ht="28" customHeight="1">
      <c r="A84" s="2" t="str">
        <v>DE.CONTRIBUTION</v>
      </c>
      <c r="B84" s="6" t="str">
        <v>Germany: contribution after variable costs</v>
      </c>
      <c r="C84" s="2" t="str">
        <v>EUR_per_user</v>
      </c>
      <c r="D84" s="2" t="str">
        <v>SUM</v>
      </c>
      <c r="E84" s="35">
        <f>SUM(H84:AQ84)</f>
        <v>42.21510322722245</v>
      </c>
      <c r="F84" s="6" t="str"/>
      <c r="G84" s="2"/>
      <c r="H84" s="35">
        <f>SUM(H68,H69)-H83</f>
        <v>0.6173760983818133</v>
      </c>
      <c r="I84" s="35">
        <f>SUM(I68,I69)-I83</f>
        <v>1.0024200311943172</v>
      </c>
      <c r="J84" s="35">
        <f>SUM(J68,J69)-J83</f>
        <v>1.095391091895638</v>
      </c>
      <c r="K84" s="35">
        <f>SUM(K68,K69)-K83</f>
        <v>1.1664915975531531</v>
      </c>
      <c r="L84" s="35">
        <f>SUM(L68,L69)-L83</f>
        <v>1.2092350667941894</v>
      </c>
      <c r="M84" s="35">
        <f>SUM(M68,M69)-M83</f>
        <v>1.246412927858129</v>
      </c>
      <c r="N84" s="35">
        <f>SUM(N68,N69)-N83</f>
        <v>1.279434179554055</v>
      </c>
      <c r="O84" s="35">
        <f>SUM(O68,O69)-O83</f>
        <v>1.3019553640104293</v>
      </c>
      <c r="P84" s="35">
        <f>SUM(P68,P69)-P83</f>
        <v>1.3150487933663961</v>
      </c>
      <c r="Q84" s="35">
        <f>SUM(Q68,Q69)-Q83</f>
        <v>1.3196780929191834</v>
      </c>
      <c r="R84" s="35">
        <f>SUM(R68,R69)-R83</f>
        <v>1.3325721513699313</v>
      </c>
      <c r="S84" s="35">
        <f>SUM(S68,S69)-S83</f>
        <v>1.3411974024073652</v>
      </c>
      <c r="T84" s="35">
        <f>SUM(T68,T69)-T83</f>
        <v>1.1229352852011865</v>
      </c>
      <c r="U84" s="35">
        <f>SUM(U68,U69)-U83</f>
        <v>1.199745516206552</v>
      </c>
      <c r="V84" s="35">
        <f>SUM(V68,V69)-V83</f>
        <v>1.2063526591331306</v>
      </c>
      <c r="W84" s="35">
        <f>SUM(W68,W69)-W83</f>
        <v>1.211896847541715</v>
      </c>
      <c r="X84" s="35">
        <f>SUM(X68,X69)-X83</f>
        <v>1.2168454201465593</v>
      </c>
      <c r="Y84" s="35">
        <f>SUM(Y68,Y69)-Y83</f>
        <v>1.220899255692589</v>
      </c>
      <c r="Z84" s="35">
        <f>SUM(Z68,Z69)-Z83</f>
        <v>1.224093230185603</v>
      </c>
      <c r="AA84" s="35">
        <f>SUM(AA68,AA69)-AA83</f>
        <v>1.2265870379609871</v>
      </c>
      <c r="AB84" s="35">
        <f>SUM(AB68,AB69)-AB83</f>
        <v>1.2284639548613292</v>
      </c>
      <c r="AC84" s="35">
        <f>SUM(AC68,AC69)-AC83</f>
        <v>1.2297979515715018</v>
      </c>
      <c r="AD84" s="35">
        <f>SUM(AD68,AD69)-AD83</f>
        <v>1.2304562183444232</v>
      </c>
      <c r="AE84" s="35">
        <f>SUM(AE68,AE69)-AE83</f>
        <v>1.2305700724675888</v>
      </c>
      <c r="AF84" s="35">
        <f>SUM(AF68,AF69)-AF83</f>
        <v>1.1521338604423588</v>
      </c>
      <c r="AG84" s="35">
        <f>SUM(AG68,AG69)-AG83</f>
        <v>1.1654977141986131</v>
      </c>
      <c r="AH84" s="35">
        <f>SUM(AH68,AH69)-AH83</f>
        <v>1.1540055063038572</v>
      </c>
      <c r="AI84" s="35">
        <f>SUM(AI68,AI69)-AI83</f>
        <v>1.1418506781190814</v>
      </c>
      <c r="AJ84" s="35">
        <f>SUM(AJ68,AJ69)-AJ83</f>
        <v>1.1292224645215567</v>
      </c>
      <c r="AK84" s="35">
        <f>SUM(AK68,AK69)-AK83</f>
        <v>1.1222131459275677</v>
      </c>
      <c r="AL84" s="35">
        <f>SUM(AL68,AL69)-AL83</f>
        <v>1.1149514771631102</v>
      </c>
      <c r="AM84" s="35">
        <f>SUM(AM68,AM69)-AM83</f>
        <v>1.107489074489216</v>
      </c>
      <c r="AN84" s="35">
        <f>SUM(AN68,AN69)-AN83</f>
        <v>1.0998507716447945</v>
      </c>
      <c r="AO84" s="35">
        <f>SUM(AO68,AO69)-AO83</f>
        <v>1.0920590632561584</v>
      </c>
      <c r="AP84" s="35">
        <f>SUM(AP68,AP69)-AP83</f>
        <v>1.0840640655786336</v>
      </c>
      <c r="AQ84" s="35">
        <f>SUM(AQ68,AQ69)-AQ83</f>
        <v>1.0759091589597367</v>
      </c>
    </row>
    <row r="85" ht="28" customHeight="1">
      <c r="A85" s="2" t="str">
        <v>AT.GATE</v>
      </c>
      <c r="B85" s="6" t="str">
        <v>Austria: copy trading licensed (1 = yes)</v>
      </c>
      <c r="C85" s="2" t="str">
        <v>flag</v>
      </c>
      <c r="D85" s="2" t="str">
        <v>NA</v>
      </c>
      <c r="E85" s="2"/>
      <c r="F85" s="6" t="str"/>
      <c r="G85" s="2"/>
      <c r="H85" s="38">
        <f>IF($E$11+H$6&gt;='Inputs'!$E$12 +1,1,0)</f>
        <v>1</v>
      </c>
      <c r="I85" s="38">
        <f>IF($E$11+I$6&gt;='Inputs'!$E$12 +1,1,0)</f>
        <v>1</v>
      </c>
      <c r="J85" s="38">
        <f>IF($E$11+J$6&gt;='Inputs'!$E$12 +1,1,0)</f>
        <v>1</v>
      </c>
      <c r="K85" s="38">
        <f>IF($E$11+K$6&gt;='Inputs'!$E$12 +1,1,0)</f>
        <v>1</v>
      </c>
      <c r="L85" s="38">
        <f>IF($E$11+L$6&gt;='Inputs'!$E$12 +1,1,0)</f>
        <v>1</v>
      </c>
      <c r="M85" s="38">
        <f>IF($E$11+M$6&gt;='Inputs'!$E$12 +1,1,0)</f>
        <v>1</v>
      </c>
      <c r="N85" s="38">
        <f>IF($E$11+N$6&gt;='Inputs'!$E$12 +1,1,0)</f>
        <v>1</v>
      </c>
      <c r="O85" s="38">
        <f>IF($E$11+O$6&gt;='Inputs'!$E$12 +1,1,0)</f>
        <v>1</v>
      </c>
      <c r="P85" s="38">
        <f>IF($E$11+P$6&gt;='Inputs'!$E$12 +1,1,0)</f>
        <v>1</v>
      </c>
      <c r="Q85" s="38">
        <f>IF($E$11+Q$6&gt;='Inputs'!$E$12 +1,1,0)</f>
        <v>1</v>
      </c>
      <c r="R85" s="38">
        <f>IF($E$11+R$6&gt;='Inputs'!$E$12 +1,1,0)</f>
        <v>1</v>
      </c>
      <c r="S85" s="38">
        <f>IF($E$11+S$6&gt;='Inputs'!$E$12 +1,1,0)</f>
        <v>1</v>
      </c>
      <c r="T85" s="38">
        <f>IF($E$11+T$6&gt;='Inputs'!$E$12 +1,1,0)</f>
        <v>1</v>
      </c>
      <c r="U85" s="38">
        <f>IF($E$11+U$6&gt;='Inputs'!$E$12 +1,1,0)</f>
        <v>1</v>
      </c>
      <c r="V85" s="38">
        <f>IF($E$11+V$6&gt;='Inputs'!$E$12 +1,1,0)</f>
        <v>1</v>
      </c>
      <c r="W85" s="38">
        <f>IF($E$11+W$6&gt;='Inputs'!$E$12 +1,1,0)</f>
        <v>1</v>
      </c>
      <c r="X85" s="38">
        <f>IF($E$11+X$6&gt;='Inputs'!$E$12 +1,1,0)</f>
        <v>1</v>
      </c>
      <c r="Y85" s="38">
        <f>IF($E$11+Y$6&gt;='Inputs'!$E$12 +1,1,0)</f>
        <v>1</v>
      </c>
      <c r="Z85" s="38">
        <f>IF($E$11+Z$6&gt;='Inputs'!$E$12 +1,1,0)</f>
        <v>1</v>
      </c>
      <c r="AA85" s="38">
        <f>IF($E$11+AA$6&gt;='Inputs'!$E$12 +1,1,0)</f>
        <v>1</v>
      </c>
      <c r="AB85" s="38">
        <f>IF($E$11+AB$6&gt;='Inputs'!$E$12 +1,1,0)</f>
        <v>1</v>
      </c>
      <c r="AC85" s="38">
        <f>IF($E$11+AC$6&gt;='Inputs'!$E$12 +1,1,0)</f>
        <v>1</v>
      </c>
      <c r="AD85" s="38">
        <f>IF($E$11+AD$6&gt;='Inputs'!$E$12 +1,1,0)</f>
        <v>1</v>
      </c>
      <c r="AE85" s="38">
        <f>IF($E$11+AE$6&gt;='Inputs'!$E$12 +1,1,0)</f>
        <v>1</v>
      </c>
      <c r="AF85" s="38">
        <f>IF($E$11+AF$6&gt;='Inputs'!$E$12 +1,1,0)</f>
        <v>1</v>
      </c>
      <c r="AG85" s="38">
        <f>IF($E$11+AG$6&gt;='Inputs'!$E$12 +1,1,0)</f>
        <v>1</v>
      </c>
      <c r="AH85" s="38">
        <f>IF($E$11+AH$6&gt;='Inputs'!$E$12 +1,1,0)</f>
        <v>1</v>
      </c>
      <c r="AI85" s="38">
        <f>IF($E$11+AI$6&gt;='Inputs'!$E$12 +1,1,0)</f>
        <v>1</v>
      </c>
      <c r="AJ85" s="38">
        <f>IF($E$11+AJ$6&gt;='Inputs'!$E$12 +1,1,0)</f>
        <v>1</v>
      </c>
      <c r="AK85" s="38">
        <f>IF($E$11+AK$6&gt;='Inputs'!$E$12 +1,1,0)</f>
        <v>1</v>
      </c>
      <c r="AL85" s="38">
        <f>IF($E$11+AL$6&gt;='Inputs'!$E$12 +1,1,0)</f>
        <v>1</v>
      </c>
      <c r="AM85" s="38">
        <f>IF($E$11+AM$6&gt;='Inputs'!$E$12 +1,1,0)</f>
        <v>1</v>
      </c>
      <c r="AN85" s="38">
        <f>IF($E$11+AN$6&gt;='Inputs'!$E$12 +1,1,0)</f>
        <v>1</v>
      </c>
      <c r="AO85" s="38">
        <f>IF($E$11+AO$6&gt;='Inputs'!$E$12 +1,1,0)</f>
        <v>1</v>
      </c>
      <c r="AP85" s="38">
        <f>IF($E$11+AP$6&gt;='Inputs'!$E$12 +1,1,0)</f>
        <v>1</v>
      </c>
      <c r="AQ85" s="38">
        <f>IF($E$11+AQ$6&gt;='Inputs'!$E$12 +1,1,0)</f>
        <v>1</v>
      </c>
    </row>
    <row r="86" ht="22" customHeight="1">
      <c r="A86" s="2" t="str">
        <v>AT.COPIERS</v>
      </c>
      <c r="B86" s="6" t="str">
        <v>Austria: copiers</v>
      </c>
      <c r="C86" s="2" t="str">
        <v>count</v>
      </c>
      <c r="D86" s="2" t="str">
        <v>NA</v>
      </c>
      <c r="E86" s="2"/>
      <c r="F86" s="6" t="str"/>
      <c r="G86" s="2"/>
      <c r="H86" s="38">
        <f>(0*H14*(1-'Inputs'!$E$30)+MAX(0,H13-0*H14)*'Inputs'!$E$29)*H85</f>
        <v>0.025</v>
      </c>
      <c r="I86" s="38">
        <f>(H86*I14*(1-'Inputs'!$E$30)+MAX(0,I13-H86*I14)*'Inputs'!$E$29)*I85</f>
        <v>0.0335125</v>
      </c>
      <c r="J86" s="38">
        <f>(I86*J14*(1-'Inputs'!$E$30)+MAX(0,J13-I86*J14)*'Inputs'!$E$29)*J85</f>
        <v>0.041283375</v>
      </c>
      <c r="K86" s="38">
        <f>(J86*K14*(1-'Inputs'!$E$30)+MAX(0,K13-J86*K14)*'Inputs'!$E$29)*K85</f>
        <v>0.04837643078125</v>
      </c>
      <c r="L86" s="38">
        <f>(K86*L14*(1-'Inputs'!$E$30)+MAX(0,L13-K86*L14)*'Inputs'!$E$29)*L85</f>
        <v>0.052740394695312505</v>
      </c>
      <c r="M86" s="38">
        <f>(L86*M14*(1-'Inputs'!$E$30)+MAX(0,M13-L86*M14)*'Inputs'!$E$29)*M85</f>
        <v>0.057112013477438286</v>
      </c>
      <c r="N86" s="38">
        <f>(M86*N14*(1-'Inputs'!$E$30)+MAX(0,N13-M86*N14)*'Inputs'!$E$29)*N85</f>
        <v>0.06128376925390472</v>
      </c>
      <c r="O86" s="38">
        <f>(N86*O14*(1-'Inputs'!$E$30)+MAX(0,O13-N86*O14)*'Inputs'!$E$29)*O85</f>
        <v>0.06433244225099735</v>
      </c>
      <c r="P86" s="38">
        <f>(O86*P14*(1-'Inputs'!$E$30)+MAX(0,P13-O86*P14)*'Inputs'!$E$29)*P85</f>
        <v>0.06637631560572478</v>
      </c>
      <c r="Q86" s="38">
        <f>(P86*Q14*(1-'Inputs'!$E$30)+MAX(0,Q13-P86*Q14)*'Inputs'!$E$29)*Q85</f>
        <v>0.06752167859488509</v>
      </c>
      <c r="R86" s="38">
        <f>(Q86*R14*(1-'Inputs'!$E$30)+MAX(0,R13-Q86*R14)*'Inputs'!$E$29)*R85</f>
        <v>0.06969817345497832</v>
      </c>
      <c r="S86" s="38">
        <f>(R86*S14*(1-'Inputs'!$E$30)+MAX(0,S13-R86*S14)*'Inputs'!$E$29)*S85</f>
        <v>0.07134557006100765</v>
      </c>
      <c r="T86" s="38">
        <f>(S86*T14*(1-'Inputs'!$E$30)+MAX(0,T13-S86*T14)*'Inputs'!$E$29)*T85</f>
        <v>0.07251683994079977</v>
      </c>
      <c r="U86" s="38">
        <f>(T86*U14*(1-'Inputs'!$E$30)+MAX(0,U13-T86*U14)*'Inputs'!$E$29)*U85</f>
        <v>0.07482962445870796</v>
      </c>
      <c r="V86" s="38">
        <f>(U86*V14*(1-'Inputs'!$E$30)+MAX(0,V13-U86*V14)*'Inputs'!$E$29)*V85</f>
        <v>0.07686530143999946</v>
      </c>
      <c r="W86" s="38">
        <f>(V86*W14*(1-'Inputs'!$E$30)+MAX(0,W13-V86*W14)*'Inputs'!$E$29)*W85</f>
        <v>0.07864895679775726</v>
      </c>
      <c r="X86" s="38">
        <f>(W86*X14*(1-'Inputs'!$E$30)+MAX(0,X13-W86*X14)*'Inputs'!$E$29)*X85</f>
        <v>0.08020341394179223</v>
      </c>
      <c r="Y86" s="38">
        <f>(X86*Y14*(1-'Inputs'!$E$30)+MAX(0,Y13-X86*Y14)*'Inputs'!$E$29)*Y85</f>
        <v>0.08154943715847747</v>
      </c>
      <c r="Z86" s="38">
        <f>(Y86*Z14*(1-'Inputs'!$E$30)+MAX(0,Z13-Y86*Z14)*'Inputs'!$E$29)*Z85</f>
        <v>0.08270591676259675</v>
      </c>
      <c r="AA86" s="38">
        <f>(Z86*AA14*(1-'Inputs'!$E$30)+MAX(0,AA13-Z86*AA14)*'Inputs'!$E$29)*AA85</f>
        <v>0.08369003765054578</v>
      </c>
      <c r="AB86" s="38">
        <f>(AA86*AB14*(1-'Inputs'!$E$30)+MAX(0,AB13-AA86*AB14)*'Inputs'!$E$29)*AB85</f>
        <v>0.0845174327389337</v>
      </c>
      <c r="AC86" s="38">
        <f>(AB86*AC14*(1-'Inputs'!$E$30)+MAX(0,AC13-AB86*AC14)*'Inputs'!$E$29)*AC85</f>
        <v>0.08520232264027047</v>
      </c>
      <c r="AD86" s="38">
        <f>(AC86*AD14*(1-'Inputs'!$E$30)+MAX(0,AD13-AC86*AD14)*'Inputs'!$E$29)*AD85</f>
        <v>0.0857576428068412</v>
      </c>
      <c r="AE86" s="38">
        <f>(AD86*AE14*(1-'Inputs'!$E$30)+MAX(0,AE13-AD86*AE14)*'Inputs'!$E$29)*AE85</f>
        <v>0.08619515926401894</v>
      </c>
      <c r="AF86" s="38">
        <f>(AE86*AF14*(1-'Inputs'!$E$30)+MAX(0,AF13-AE86*AF14)*'Inputs'!$E$29)*AF85</f>
        <v>0.08652557395419704</v>
      </c>
      <c r="AG86" s="38">
        <f>(AF86*AG14*(1-'Inputs'!$E$30)+MAX(0,AG13-AF86*AG14)*'Inputs'!$E$29)*AG85</f>
        <v>0.08596388516528877</v>
      </c>
      <c r="AH86" s="38">
        <f>(AG86*AH14*(1-'Inputs'!$E$30)+MAX(0,AH13-AG86*AH14)*'Inputs'!$E$29)*AH85</f>
        <v>0.08529878619867584</v>
      </c>
      <c r="AI86" s="38">
        <f>(AH86*AI14*(1-'Inputs'!$E$30)+MAX(0,AI13-AH86*AI14)*'Inputs'!$E$29)*AI85</f>
        <v>0.08454022748606789</v>
      </c>
      <c r="AJ86" s="38">
        <f>(AI86*AJ14*(1-'Inputs'!$E$30)+MAX(0,AJ13-AI86*AJ14)*'Inputs'!$E$29)*AJ85</f>
        <v>0.08369721502431787</v>
      </c>
      <c r="AK86" s="38">
        <f>(AJ86*AK14*(1-'Inputs'!$E$30)+MAX(0,AK13-AJ86*AK14)*'Inputs'!$E$29)*AK85</f>
        <v>0.08346201390555684</v>
      </c>
      <c r="AL86" s="38">
        <f>(AK86*AL14*(1-'Inputs'!$E$30)+MAX(0,AL13-AK86*AL14)*'Inputs'!$E$29)*AL85</f>
        <v>0.0831665845984345</v>
      </c>
      <c r="AM86" s="38">
        <f>(AL86*AM14*(1-'Inputs'!$E$30)+MAX(0,AM13-AL86*AM14)*'Inputs'!$E$29)*AM85</f>
        <v>0.0828164902230553</v>
      </c>
      <c r="AN86" s="38">
        <f>(AM86*AN14*(1-'Inputs'!$E$30)+MAX(0,AN13-AM86*AN14)*'Inputs'!$E$29)*AN85</f>
        <v>0.08241678331776689</v>
      </c>
      <c r="AO86" s="38">
        <f>(AN86*AO14*(1-'Inputs'!$E$30)+MAX(0,AO13-AN86*AO14)*'Inputs'!$E$29)*AO85</f>
        <v>0.0819720524445159</v>
      </c>
      <c r="AP86" s="38">
        <f>(AO86*AP14*(1-'Inputs'!$E$30)+MAX(0,AP13-AO86*AP14)*'Inputs'!$E$29)*AP85</f>
        <v>0.08148646456024673</v>
      </c>
      <c r="AQ86" s="38">
        <f>(AP86*AQ14*(1-'Inputs'!$E$30)+MAX(0,AQ13-AP86*AQ14)*'Inputs'!$E$29)*AQ85</f>
        <v>0.0809638035373917</v>
      </c>
    </row>
    <row r="87" ht="28" customHeight="1">
      <c r="A87" s="2" t="str">
        <v>AT.U.FREE</v>
      </c>
      <c r="B87" s="6" t="str">
        <v>Austria: not yet identity-checked: non-payers</v>
      </c>
      <c r="C87" s="2" t="str">
        <v>count</v>
      </c>
      <c r="D87" s="2" t="str">
        <v>NA</v>
      </c>
      <c r="E87" s="2"/>
      <c r="F87" s="6" t="str"/>
      <c r="G87" s="2"/>
      <c r="H87" s="38">
        <f>(H13-H88+SUM(0*H14*'Inputs'!$E$23,0*H14*(1-'Inputs'!$E$24),0*H14*'Inputs'!$E$23,0*H14*(1-'Inputs'!$E$24)))*(1-'Inputs'!$E$29*H85)</f>
        <v>0.897</v>
      </c>
      <c r="I87" s="38">
        <f>(H87*I14-I88+SUM(H89*I14*'Inputs'!$E$23,H102*I14*(1-'Inputs'!$E$24),H90*I14*'Inputs'!$E$23,H114*I14*(1-'Inputs'!$E$24)))*(1-'Inputs'!$E$29*I85)</f>
        <v>0.60982023375</v>
      </c>
      <c r="J87" s="38">
        <f>(I87*J14-J88+SUM(I89*J14*'Inputs'!$E$23,I102*J14*(1-'Inputs'!$E$24),I90*J14*'Inputs'!$E$23,I114*J14*(1-'Inputs'!$E$24)))*(1-'Inputs'!$E$29*J85)</f>
        <v>0.5076647185106251</v>
      </c>
      <c r="K87" s="38">
        <f>(J87*K14-K88+SUM(J89*K14*'Inputs'!$E$23,J102*K14*(1-'Inputs'!$E$24),J90*K14*'Inputs'!$E$23,J114*K14*(1-'Inputs'!$E$24)))*(1-'Inputs'!$E$29*K85)</f>
        <v>0.45198081084791497</v>
      </c>
      <c r="L87" s="38">
        <f>(K87*L14-L88+SUM(K89*L14*'Inputs'!$E$23,K102*L14*(1-'Inputs'!$E$24),K90*L14*'Inputs'!$E$23,K114*L14*(1-'Inputs'!$E$24)))*(1-'Inputs'!$E$29*L85)</f>
        <v>0.3990870616283236</v>
      </c>
      <c r="M87" s="38">
        <f>(L87*M14-M88+SUM(L89*M14*'Inputs'!$E$23,L102*M14*(1-'Inputs'!$E$24),L90*M14*'Inputs'!$E$23,L114*M14*(1-'Inputs'!$E$24)))*(1-'Inputs'!$E$29*M85)</f>
        <v>0.36437099971081466</v>
      </c>
      <c r="N87" s="38">
        <f>(M87*N14-N88+SUM(M89*N14*'Inputs'!$E$23,M102*N14*(1-'Inputs'!$E$24),M90*N14*'Inputs'!$E$23,M114*N14*(1-'Inputs'!$E$24)))*(1-'Inputs'!$E$29*N85)</f>
        <v>0.3388550835735225</v>
      </c>
      <c r="O87" s="38">
        <f>(N87*O14-O88+SUM(N89*O14*'Inputs'!$E$23,N102*O14*(1-'Inputs'!$E$24),N90*O14*'Inputs'!$E$23,N114*O14*(1-'Inputs'!$E$24)))*(1-'Inputs'!$E$29*O85)</f>
        <v>0.31450827607475024</v>
      </c>
      <c r="P87" s="38">
        <f>(O87*P14-P88+SUM(O89*P14*'Inputs'!$E$23,O102*P14*(1-'Inputs'!$E$24),O90*P14*'Inputs'!$E$23,O114*P14*(1-'Inputs'!$E$24)))*(1-'Inputs'!$E$29*P85)</f>
        <v>0.29128330770698746</v>
      </c>
      <c r="Q87" s="38">
        <f>(P87*Q14-Q88+SUM(P89*Q14*'Inputs'!$E$23,P102*Q14*(1-'Inputs'!$E$24),P90*Q14*'Inputs'!$E$23,P114*Q14*(1-'Inputs'!$E$24)))*(1-'Inputs'!$E$29*Q85)</f>
        <v>0.2691348328020231</v>
      </c>
      <c r="R87" s="38">
        <f>(Q87*R14-R88+SUM(Q89*R14*'Inputs'!$E$23,Q102*R14*(1-'Inputs'!$E$24),Q90*R14*'Inputs'!$E$23,Q114*R14*(1-'Inputs'!$E$24)))*(1-'Inputs'!$E$29*R85)</f>
        <v>0.25472255995587556</v>
      </c>
      <c r="S87" s="38">
        <f>(R87*S14-S88+SUM(R89*S14*'Inputs'!$E$23,R102*S14*(1-'Inputs'!$E$24),R90*S14*'Inputs'!$E$23,R114*S14*(1-'Inputs'!$E$24)))*(1-'Inputs'!$E$29*S85)</f>
        <v>0.24091761138415688</v>
      </c>
      <c r="T87" s="38">
        <f>(S87*T14-T88+SUM(S89*T14*'Inputs'!$E$23,S102*T14*(1-'Inputs'!$E$24),S90*T14*'Inputs'!$E$23,S114*T14*(1-'Inputs'!$E$24)))*(1-'Inputs'!$E$29*T85)</f>
        <v>0.2307272751285693</v>
      </c>
      <c r="U87" s="38">
        <f>(T87*U14-U88+SUM(T89*U14*'Inputs'!$E$23,T102*U14*(1-'Inputs'!$E$24),T90*U14*'Inputs'!$E$23,T114*U14*(1-'Inputs'!$E$24)))*(1-'Inputs'!$E$29*U85)</f>
        <v>0.2228256741012836</v>
      </c>
      <c r="V87" s="38">
        <f>(U87*V14-V88+SUM(U89*V14*'Inputs'!$E$23,U102*V14*(1-'Inputs'!$E$24),U90*V14*'Inputs'!$E$23,U114*V14*(1-'Inputs'!$E$24)))*(1-'Inputs'!$E$29*V85)</f>
        <v>0.2151854707809564</v>
      </c>
      <c r="W87" s="38">
        <f>(V87*W14-W88+SUM(V89*W14*'Inputs'!$E$23,V102*W14*(1-'Inputs'!$E$24),V90*W14*'Inputs'!$E$23,V114*W14*(1-'Inputs'!$E$24)))*(1-'Inputs'!$E$29*W85)</f>
        <v>0.20779805956803668</v>
      </c>
      <c r="X87" s="38">
        <f>(W87*X14-X88+SUM(W89*X14*'Inputs'!$E$23,W102*X14*(1-'Inputs'!$E$24),W90*X14*'Inputs'!$E$23,W114*X14*(1-'Inputs'!$E$24)))*(1-'Inputs'!$E$29*X85)</f>
        <v>0.2006551372522019</v>
      </c>
      <c r="Y87" s="38">
        <f>(X87*Y14-Y88+SUM(X89*Y14*'Inputs'!$E$23,X102*Y14*(1-'Inputs'!$E$24),X90*Y14*'Inputs'!$E$23,X114*Y14*(1-'Inputs'!$E$24)))*(1-'Inputs'!$E$29*Y85)</f>
        <v>0.1937486895620842</v>
      </c>
      <c r="Z87" s="38">
        <f>(Y87*Z14-Z88+SUM(Y89*Z14*'Inputs'!$E$23,Y102*Z14*(1-'Inputs'!$E$24),Y90*Z14*'Inputs'!$E$23,Y114*Z14*(1-'Inputs'!$E$24)))*(1-'Inputs'!$E$29*Z85)</f>
        <v>0.1870709786328929</v>
      </c>
      <c r="AA87" s="38">
        <f>(Z87*AA14-AA88+SUM(Z89*AA14*'Inputs'!$E$23,Z102*AA14*(1-'Inputs'!$E$24),Z90*AA14*'Inputs'!$E$23,Z114*AA14*(1-'Inputs'!$E$24)))*(1-'Inputs'!$E$29*AA85)</f>
        <v>0.18061453130216243</v>
      </c>
      <c r="AB87" s="38">
        <f>(AA87*AB14-AB88+SUM(AA89*AB14*'Inputs'!$E$23,AA102*AB14*(1-'Inputs'!$E$24),AA90*AB14*'Inputs'!$E$23,AA114*AB14*(1-'Inputs'!$E$24)))*(1-'Inputs'!$E$29*AB85)</f>
        <v>0.17437212815409345</v>
      </c>
      <c r="AC87" s="38">
        <f>(AB87*AC14-AC88+SUM(AB89*AC14*'Inputs'!$E$23,AB102*AC14*(1-'Inputs'!$E$24),AB90*AC14*'Inputs'!$E$23,AB114*AC14*(1-'Inputs'!$E$24)))*(1-'Inputs'!$E$29*AC85)</f>
        <v>0.16833679324197667</v>
      </c>
      <c r="AD87" s="38">
        <f>(AC87*AD14-AD88+SUM(AC89*AD14*'Inputs'!$E$23,AC102*AD14*(1-'Inputs'!$E$24),AC90*AD14*'Inputs'!$E$23,AC114*AD14*(1-'Inputs'!$E$24)))*(1-'Inputs'!$E$29*AD85)</f>
        <v>0.16250178442613164</v>
      </c>
      <c r="AE87" s="38">
        <f>(AD87*AE14-AE88+SUM(AD89*AE14*'Inputs'!$E$23,AD102*AE14*(1-'Inputs'!$E$24),AD90*AE14*'Inputs'!$E$23,AD114*AE14*(1-'Inputs'!$E$24)))*(1-'Inputs'!$E$29*AE85)</f>
        <v>0.15686058427179467</v>
      </c>
      <c r="AF87" s="38">
        <f>(AE87*AF14-AF88+SUM(AE89*AF14*'Inputs'!$E$23,AE102*AF14*(1-'Inputs'!$E$24),AE90*AF14*'Inputs'!$E$23,AE114*AF14*(1-'Inputs'!$E$24)))*(1-'Inputs'!$E$29*AF85)</f>
        <v>0.15212449279331128</v>
      </c>
      <c r="AG87" s="38">
        <f>(AF87*AG14-AG88+SUM(AF89*AG14*'Inputs'!$E$23,AF102*AG14*(1-'Inputs'!$E$24),AF90*AG14*'Inputs'!$E$23,AF114*AG14*(1-'Inputs'!$E$24)))*(1-'Inputs'!$E$29*AG85)</f>
        <v>0.14554406716815774</v>
      </c>
      <c r="AH87" s="38">
        <f>(AG87*AH14-AH88+SUM(AG89*AH14*'Inputs'!$E$23,AG102*AH14*(1-'Inputs'!$E$24),AG90*AH14*'Inputs'!$E$23,AG114*AH14*(1-'Inputs'!$E$24)))*(1-'Inputs'!$E$29*AH85)</f>
        <v>0.1392084405252115</v>
      </c>
      <c r="AI87" s="38">
        <f>(AH87*AI14-AI88+SUM(AH89*AI14*'Inputs'!$E$23,AH102*AI14*(1-'Inputs'!$E$24),AH90*AI14*'Inputs'!$E$23,AH114*AI14*(1-'Inputs'!$E$24)))*(1-'Inputs'!$E$29*AI85)</f>
        <v>0.1331091466664055</v>
      </c>
      <c r="AJ87" s="38">
        <f>(AI87*AJ14-AJ88+SUM(AI89*AJ14*'Inputs'!$E$23,AI102*AJ14*(1-'Inputs'!$E$24),AI90*AJ14*'Inputs'!$E$23,AI114*AJ14*(1-'Inputs'!$E$24)))*(1-'Inputs'!$E$29*AJ85)</f>
        <v>0.12723800445877353</v>
      </c>
      <c r="AK87" s="38">
        <f>(AJ87*AK14-AK88+SUM(AJ89*AK14*'Inputs'!$E$23,AJ102*AK14*(1-'Inputs'!$E$24),AJ90*AK14*'Inputs'!$E$23,AJ114*AK14*(1-'Inputs'!$E$24)))*(1-'Inputs'!$E$29*AK85)</f>
        <v>0.12259195990145903</v>
      </c>
      <c r="AL87" s="38">
        <f>(AK87*AL14-AL88+SUM(AK89*AL14*'Inputs'!$E$23,AK102*AL14*(1-'Inputs'!$E$24),AK90*AL14*'Inputs'!$E$23,AK114*AL14*(1-'Inputs'!$E$24)))*(1-'Inputs'!$E$29*AL85)</f>
        <v>0.11810418312371</v>
      </c>
      <c r="AM87" s="38">
        <f>(AL87*AM14-AM88+SUM(AL89*AM14*'Inputs'!$E$23,AL102*AM14*(1-'Inputs'!$E$24),AL90*AM14*'Inputs'!$E$23,AL114*AM14*(1-'Inputs'!$E$24)))*(1-'Inputs'!$E$29*AM85)</f>
        <v>0.11376949397813277</v>
      </c>
      <c r="AN87" s="38">
        <f>(AM87*AN14-AN88+SUM(AM89*AN14*'Inputs'!$E$23,AM102*AN14*(1-'Inputs'!$E$24),AM90*AN14*'Inputs'!$E$23,AM114*AN14*(1-'Inputs'!$E$24)))*(1-'Inputs'!$E$29*AN85)</f>
        <v>0.10958287968684056</v>
      </c>
      <c r="AO87" s="38">
        <f>(AN87*AO14-AO88+SUM(AN89*AO14*'Inputs'!$E$23,AN102*AO14*(1-'Inputs'!$E$24),AN90*AO14*'Inputs'!$E$23,AN114*AO14*(1-'Inputs'!$E$24)))*(1-'Inputs'!$E$29*AO85)</f>
        <v>0.10553948918513216</v>
      </c>
      <c r="AP87" s="38">
        <f>(AO87*AP14-AP88+SUM(AO89*AP14*'Inputs'!$E$23,AO102*AP14*(1-'Inputs'!$E$24),AO90*AP14*'Inputs'!$E$23,AO114*AP14*(1-'Inputs'!$E$24)))*(1-'Inputs'!$E$29*AP85)</f>
        <v>0.10163462769795376</v>
      </c>
      <c r="AQ87" s="38">
        <f>(AP87*AQ14-AQ88+SUM(AP89*AQ14*'Inputs'!$E$23,AP102*AQ14*(1-'Inputs'!$E$24),AP90*AQ14*'Inputs'!$E$23,AP114*AQ14*(1-'Inputs'!$E$24)))*(1-'Inputs'!$E$29*AQ85)</f>
        <v>0.09786375153462337</v>
      </c>
    </row>
    <row r="88" ht="28" customHeight="1">
      <c r="A88" s="2" t="str">
        <v>AT.U.NEW</v>
      </c>
      <c r="B88" s="6" t="str">
        <v>Austria: not yet identity-checked: new payers</v>
      </c>
      <c r="C88" s="2" t="str">
        <v>count</v>
      </c>
      <c r="D88" s="2" t="str">
        <v>NA</v>
      </c>
      <c r="E88" s="2"/>
      <c r="F88" s="6" t="str"/>
      <c r="G88" s="2"/>
      <c r="H88" s="38">
        <f>H13*'Inputs'!$E$20*H15</f>
        <v>0.08</v>
      </c>
      <c r="I88" s="38">
        <f>H87*I14*'Inputs'!$E$21*I15</f>
        <v>0.0050232</v>
      </c>
      <c r="J88" s="38">
        <f>I87*J14*'Inputs'!$E$21*J15</f>
        <v>0.004181624460000001</v>
      </c>
      <c r="K88" s="38">
        <f>J87*K14*'Inputs'!$E$21*K15</f>
        <v>0.0037228746024112512</v>
      </c>
      <c r="L88" s="38">
        <f>K87*L14*'Inputs'!$E$21*L15</f>
        <v>0.003287133169803018</v>
      </c>
      <c r="M88" s="38">
        <f>L87*M14*'Inputs'!$E$21*M15</f>
        <v>0.0030011347034449936</v>
      </c>
      <c r="N88" s="38">
        <f>M87*N14*'Inputs'!$E$21*N15</f>
        <v>0.002790926806295602</v>
      </c>
      <c r="O88" s="38">
        <f>N87*O14*'Inputs'!$E$21*O15</f>
        <v>0.002590358861095372</v>
      </c>
      <c r="P88" s="38">
        <f>O87*P14*'Inputs'!$E$21*P15</f>
        <v>0.002399039873314374</v>
      </c>
      <c r="Q88" s="38">
        <f>P87*Q14*'Inputs'!$E$21*Q15</f>
        <v>0.002216594926940978</v>
      </c>
      <c r="R88" s="38">
        <f>Q87*R14*'Inputs'!$E$21*R15</f>
        <v>0.002097871517226026</v>
      </c>
      <c r="S88" s="38">
        <f>R87*S14*'Inputs'!$E$21*S15</f>
        <v>0.001984154677551031</v>
      </c>
      <c r="T88" s="38">
        <f>S87*T14*'Inputs'!$E$21*T15</f>
        <v>0.0018752505967199239</v>
      </c>
      <c r="U88" s="38">
        <f>T87*U14*'Inputs'!$E$21*U15</f>
        <v>0.0018330000190769674</v>
      </c>
      <c r="V88" s="38">
        <f>U87*V14*'Inputs'!$E$21*V15</f>
        <v>0.0017701396208325746</v>
      </c>
      <c r="W88" s="38">
        <f>V87*W14*'Inputs'!$E$21*W15</f>
        <v>0.0017093606411332312</v>
      </c>
      <c r="X88" s="38">
        <f>W87*X14*'Inputs'!$E$21*X15</f>
        <v>0.0016505945157177383</v>
      </c>
      <c r="Y88" s="38">
        <f>X87*Y14*'Inputs'!$E$21*Y15</f>
        <v>0.0015937750901746325</v>
      </c>
      <c r="Z88" s="38">
        <f>Y87*Z14*'Inputs'!$E$21*Z15</f>
        <v>0.0015388385127808701</v>
      </c>
      <c r="AA88" s="38">
        <f>Z87*AA14*'Inputs'!$E$21*AA15</f>
        <v>0.0014857231346496426</v>
      </c>
      <c r="AB88" s="38">
        <f>AA87*AB14*'Inputs'!$E$21*AB15</f>
        <v>0.0014343694164726478</v>
      </c>
      <c r="AC88" s="38">
        <f>AB87*AC14*'Inputs'!$E$21*AC15</f>
        <v>0.0013847198412236831</v>
      </c>
      <c r="AD88" s="38">
        <f>AC87*AD14*'Inputs'!$E$21*AD15</f>
        <v>0.0013367188322622149</v>
      </c>
      <c r="AE88" s="38">
        <f>AD87*AE14*'Inputs'!$E$21*AE15</f>
        <v>0.0012903126763388361</v>
      </c>
      <c r="AF88" s="38">
        <f>AE87*AF14*'Inputs'!$E$21*AF15</f>
        <v>0.0012454494510602643</v>
      </c>
      <c r="AG88" s="38">
        <f>AF87*AG14*'Inputs'!$E$21*AG15</f>
        <v>0.0011967126766407152</v>
      </c>
      <c r="AH88" s="38">
        <f>AG87*AH14*'Inputs'!$E$21*AH15</f>
        <v>0.001144617748576698</v>
      </c>
      <c r="AI88" s="38">
        <f>AH87*AI14*'Inputs'!$E$21*AI15</f>
        <v>0.001094466359991318</v>
      </c>
      <c r="AJ88" s="38">
        <f>AI87*AJ14*'Inputs'!$E$21*AJ15</f>
        <v>0.0010461911878342045</v>
      </c>
      <c r="AK88" s="38">
        <f>AJ87*AK14*'Inputs'!$E$21*AK15</f>
        <v>0.001007989385972102</v>
      </c>
      <c r="AL88" s="38">
        <f>AK87*AL14*'Inputs'!$E$21*AL15</f>
        <v>0.00097108909876041</v>
      </c>
      <c r="AM88" s="38">
        <f>AL87*AM14*'Inputs'!$E$21*AM15</f>
        <v>0.0009354477020924315</v>
      </c>
      <c r="AN88" s="38">
        <f>AM87*AN14*'Inputs'!$E$21*AN15</f>
        <v>0.0009010239523084227</v>
      </c>
      <c r="AO88" s="38">
        <f>AN87*AO14*'Inputs'!$E$21*AO15</f>
        <v>0.0008677779391417374</v>
      </c>
      <c r="AP88" s="38">
        <f>AO87*AP14*'Inputs'!$E$21*AP15</f>
        <v>0.0008356710406467803</v>
      </c>
      <c r="AQ88" s="38">
        <f>AP87*AQ14*'Inputs'!$E$21*AQ15</f>
        <v>0.0008046658799810408</v>
      </c>
    </row>
    <row r="89" ht="28" customHeight="1">
      <c r="A89" s="2" t="str">
        <v>AT.U.PLUS.M</v>
      </c>
      <c r="B89" s="6" t="str">
        <v>Austria: not yet identity-checked: Plus monthly</v>
      </c>
      <c r="C89" s="2" t="str">
        <v>count</v>
      </c>
      <c r="D89" s="2" t="str">
        <v>NA</v>
      </c>
      <c r="E89" s="2"/>
      <c r="F89" s="6" t="str"/>
      <c r="G89" s="2"/>
      <c r="H89" s="38">
        <f>(0*H14*(1-'Inputs'!$E$23)+H88*(1-'Inputs'!$E$19)*(1-'Inputs'!$E$22))*(1-'Inputs'!$E$29*H85)</f>
        <v>0.04094999999999999</v>
      </c>
      <c r="I89" s="38">
        <f>(H89*I14*(1-'Inputs'!$E$23)+I88*(1-'Inputs'!$E$19)*(1-'Inputs'!$E$22))*(1-'Inputs'!$E$29*I85)</f>
        <v>0.028004271749999993</v>
      </c>
      <c r="J89" s="38">
        <f>(I89*J14*(1-'Inputs'!$E$23)+J88*(1-'Inputs'!$E$19)*(1-'Inputs'!$E$22))*(1-'Inputs'!$E$29*J85)</f>
        <v>0.023437717686337498</v>
      </c>
      <c r="K89" s="38">
        <f>(J89*K14*(1-'Inputs'!$E$23)+K88*(1-'Inputs'!$E$19)*(1-'Inputs'!$E$22))*(1-'Inputs'!$E$29*K85)</f>
        <v>0.02096783520287863</v>
      </c>
      <c r="L89" s="38">
        <f>(K89*L14*(1-'Inputs'!$E$23)+L88*(1-'Inputs'!$E$19)*(1-'Inputs'!$E$22))*(1-'Inputs'!$E$29*L85)</f>
        <v>0.01859506654925116</v>
      </c>
      <c r="M89" s="38">
        <f>(L89*M14*(1-'Inputs'!$E$23)+M88*(1-'Inputs'!$E$19)*(1-'Inputs'!$E$22))*(1-'Inputs'!$E$29*M85)</f>
        <v>0.01704477025439961</v>
      </c>
      <c r="N89" s="38">
        <f>(M89*N14*(1-'Inputs'!$E$23)+N88*(1-'Inputs'!$E$19)*(1-'Inputs'!$E$22))*(1-'Inputs'!$E$29*N85)</f>
        <v>0.015908047326413464</v>
      </c>
      <c r="O89" s="38">
        <f>(N89*O14*(1-'Inputs'!$E$23)+O88*(1-'Inputs'!$E$19)*(1-'Inputs'!$E$22))*(1-'Inputs'!$E$29*O85)</f>
        <v>0.014813047599478634</v>
      </c>
      <c r="P89" s="38">
        <f>(O89*P14*(1-'Inputs'!$E$23)+P88*(1-'Inputs'!$E$19)*(1-'Inputs'!$E$22))*(1-'Inputs'!$E$29*P85)</f>
        <v>0.013759588437202427</v>
      </c>
      <c r="Q89" s="38">
        <f>(P89*Q14*(1-'Inputs'!$E$23)+Q88*(1-'Inputs'!$E$19)*(1-'Inputs'!$E$22))*(1-'Inputs'!$E$29*Q85)</f>
        <v>0.012747292669579286</v>
      </c>
      <c r="R89" s="38">
        <f>(Q89*R14*(1-'Inputs'!$E$23)+R88*(1-'Inputs'!$E$19)*(1-'Inputs'!$E$22))*(1-'Inputs'!$E$29*R85)</f>
        <v>0.012093882495731364</v>
      </c>
      <c r="S89" s="38">
        <f>(R89*S14*(1-'Inputs'!$E$23)+S88*(1-'Inputs'!$E$19)*(1-'Inputs'!$E$22))*(1-'Inputs'!$E$29*S85)</f>
        <v>0.011463560176637045</v>
      </c>
      <c r="T89" s="38">
        <f>(S89*T14*(1-'Inputs'!$E$23)+T88*(1-'Inputs'!$E$19)*(1-'Inputs'!$E$22))*(1-'Inputs'!$E$29*T85)</f>
        <v>0.01085604459114098</v>
      </c>
      <c r="U89" s="38">
        <f>(T89*U14*(1-'Inputs'!$E$23)+U88*(1-'Inputs'!$E$19)*(1-'Inputs'!$E$22))*(1-'Inputs'!$E$29*U85)</f>
        <v>0.010503403381841735</v>
      </c>
      <c r="V89" s="38">
        <f>(U89*V14*(1-'Inputs'!$E$23)+V88*(1-'Inputs'!$E$19)*(1-'Inputs'!$E$22))*(1-'Inputs'!$E$29*V85)</f>
        <v>0.01016006602524269</v>
      </c>
      <c r="W89" s="38">
        <f>(V89*W14*(1-'Inputs'!$E$23)+W88*(1-'Inputs'!$E$19)*(1-'Inputs'!$E$22))*(1-'Inputs'!$E$29*W85)</f>
        <v>0.009826015033859067</v>
      </c>
      <c r="X89" s="38">
        <f>(W89*X14*(1-'Inputs'!$E$23)+X88*(1-'Inputs'!$E$19)*(1-'Inputs'!$E$22))*(1-'Inputs'!$E$29*X85)</f>
        <v>0.009501199184263542</v>
      </c>
      <c r="Y89" s="38">
        <f>(X89*Y14*(1-'Inputs'!$E$23)+Y88*(1-'Inputs'!$E$19)*(1-'Inputs'!$E$22))*(1-'Inputs'!$E$29*Y85)</f>
        <v>0.009185538750690697</v>
      </c>
      <c r="Z89" s="38">
        <f>(Y89*Z14*(1-'Inputs'!$E$23)+Z88*(1-'Inputs'!$E$19)*(1-'Inputs'!$E$22))*(1-'Inputs'!$E$29*Z85)</f>
        <v>0.008878930067355205</v>
      </c>
      <c r="AA89" s="38">
        <f>(Z89*AA14*(1-'Inputs'!$E$23)+AA88*(1-'Inputs'!$E$19)*(1-'Inputs'!$E$22))*(1-'Inputs'!$E$29*AA85)</f>
        <v>0.008581249502083164</v>
      </c>
      <c r="AB89" s="38">
        <f>(AA89*AB14*(1-'Inputs'!$E$23)+AB88*(1-'Inputs'!$E$19)*(1-'Inputs'!$E$22))*(1-'Inputs'!$E$29*AB85)</f>
        <v>0.00829235691380414</v>
      </c>
      <c r="AC89" s="38">
        <f>(AB89*AC14*(1-'Inputs'!$E$23)+AC88*(1-'Inputs'!$E$19)*(1-'Inputs'!$E$22))*(1-'Inputs'!$E$29*AC85)</f>
        <v>0.008012098657618415</v>
      </c>
      <c r="AD89" s="38">
        <f>(AC89*AD14*(1-'Inputs'!$E$23)+AD88*(1-'Inputs'!$E$19)*(1-'Inputs'!$E$22))*(1-'Inputs'!$E$29*AD85)</f>
        <v>0.007740310193391923</v>
      </c>
      <c r="AE89" s="38">
        <f>(AD89*AE14*(1-'Inputs'!$E$23)+AE88*(1-'Inputs'!$E$19)*(1-'Inputs'!$E$22))*(1-'Inputs'!$E$29*AE85)</f>
        <v>0.007476818347011157</v>
      </c>
      <c r="AF89" s="38">
        <f>(AE89*AF14*(1-'Inputs'!$E$23)+AF88*(1-'Inputs'!$E$19)*(1-'Inputs'!$E$22))*(1-'Inputs'!$E$29*AF85)</f>
        <v>0.007221443267437455</v>
      </c>
      <c r="AG89" s="38">
        <f>(AF89*AG14*(1-'Inputs'!$E$23)+AG88*(1-'Inputs'!$E$19)*(1-'Inputs'!$E$22))*(1-'Inputs'!$E$29*AG85)</f>
        <v>0.006913005748072116</v>
      </c>
      <c r="AH89" s="38">
        <f>(AG89*AH14*(1-'Inputs'!$E$23)+AH88*(1-'Inputs'!$E$19)*(1-'Inputs'!$E$22))*(1-'Inputs'!$E$29*AH85)</f>
        <v>0.006615506842233462</v>
      </c>
      <c r="AI89" s="38">
        <f>(AH89*AI14*(1-'Inputs'!$E$23)+AI88*(1-'Inputs'!$E$19)*(1-'Inputs'!$E$22))*(1-'Inputs'!$E$29*AI85)</f>
        <v>0.006328638268175442</v>
      </c>
      <c r="AJ89" s="38">
        <f>(AI89*AJ14*(1-'Inputs'!$E$23)+AJ88*(1-'Inputs'!$E$19)*(1-'Inputs'!$E$22))*(1-'Inputs'!$E$29*AJ85)</f>
        <v>0.006052093166773774</v>
      </c>
      <c r="AK89" s="38">
        <f>(AJ89*AK14*(1-'Inputs'!$E$23)+AK88*(1-'Inputs'!$E$19)*(1-'Inputs'!$E$22))*(1-'Inputs'!$E$29*AK85)</f>
        <v>0.005833381764922098</v>
      </c>
      <c r="AL89" s="38">
        <f>(AK89*AL14*(1-'Inputs'!$E$23)+AL88*(1-'Inputs'!$E$19)*(1-'Inputs'!$E$22))*(1-'Inputs'!$E$29*AL85)</f>
        <v>0.005621835993805014</v>
      </c>
      <c r="AM89" s="38">
        <f>(AL89*AM14*(1-'Inputs'!$E$23)+AM88*(1-'Inputs'!$E$19)*(1-'Inputs'!$E$22))*(1-'Inputs'!$E$29*AM85)</f>
        <v>0.005417256867560041</v>
      </c>
      <c r="AN89" s="38">
        <f>(AM89*AN14*(1-'Inputs'!$E$23)+AN88*(1-'Inputs'!$E$19)*(1-'Inputs'!$E$22))*(1-'Inputs'!$E$29*AN85)</f>
        <v>0.005219447428563871</v>
      </c>
      <c r="AO89" s="38">
        <f>(AN89*AO14*(1-'Inputs'!$E$23)+AO88*(1-'Inputs'!$E$19)*(1-'Inputs'!$E$22))*(1-'Inputs'!$E$29*AO85)</f>
        <v>0.00502821321158816</v>
      </c>
      <c r="AP89" s="38">
        <f>(AO89*AP14*(1-'Inputs'!$E$23)+AP88*(1-'Inputs'!$E$19)*(1-'Inputs'!$E$22))*(1-'Inputs'!$E$29*AP85)</f>
        <v>0.004843362628861659</v>
      </c>
      <c r="AQ89" s="38">
        <f>(AP89*AQ14*(1-'Inputs'!$E$23)+AQ88*(1-'Inputs'!$E$19)*(1-'Inputs'!$E$22))*(1-'Inputs'!$E$29*AQ85)</f>
        <v>0.0046647072864025516</v>
      </c>
    </row>
    <row r="90" ht="28" customHeight="1">
      <c r="A90" s="2" t="str">
        <v>AT.U.PRO.M</v>
      </c>
      <c r="B90" s="6" t="str">
        <v>Austria: not yet identity-checked: Pro monthly</v>
      </c>
      <c r="C90" s="2" t="str">
        <v>count</v>
      </c>
      <c r="D90" s="2" t="str">
        <v>NA</v>
      </c>
      <c r="E90" s="2"/>
      <c r="F90" s="6" t="str"/>
      <c r="G90" s="2"/>
      <c r="H90" s="38">
        <f>(0*H14*(1-'Inputs'!$E$23)+H88*'Inputs'!$E$19*(1-'Inputs'!$E$22))*(1-'Inputs'!$E$29*H85)* (1-H85)</f>
        <v>0.0</v>
      </c>
      <c r="I90" s="38">
        <f>(H90*I14*(1-'Inputs'!$E$23)+I88*'Inputs'!$E$19*(1-'Inputs'!$E$22))*(1-'Inputs'!$E$29*I85)* (1-I85)</f>
        <v>0.0</v>
      </c>
      <c r="J90" s="38">
        <f>(I90*J14*(1-'Inputs'!$E$23)+J88*'Inputs'!$E$19*(1-'Inputs'!$E$22))*(1-'Inputs'!$E$29*J85)* (1-J85)</f>
        <v>0.0</v>
      </c>
      <c r="K90" s="38">
        <f>(J90*K14*(1-'Inputs'!$E$23)+K88*'Inputs'!$E$19*(1-'Inputs'!$E$22))*(1-'Inputs'!$E$29*K85)* (1-K85)</f>
        <v>0.0</v>
      </c>
      <c r="L90" s="38">
        <f>(K90*L14*(1-'Inputs'!$E$23)+L88*'Inputs'!$E$19*(1-'Inputs'!$E$22))*(1-'Inputs'!$E$29*L85)* (1-L85)</f>
        <v>0.0</v>
      </c>
      <c r="M90" s="38">
        <f>(L90*M14*(1-'Inputs'!$E$23)+M88*'Inputs'!$E$19*(1-'Inputs'!$E$22))*(1-'Inputs'!$E$29*M85)* (1-M85)</f>
        <v>0.0</v>
      </c>
      <c r="N90" s="38">
        <f>(M90*N14*(1-'Inputs'!$E$23)+N88*'Inputs'!$E$19*(1-'Inputs'!$E$22))*(1-'Inputs'!$E$29*N85)* (1-N85)</f>
        <v>0.0</v>
      </c>
      <c r="O90" s="38">
        <f>(N90*O14*(1-'Inputs'!$E$23)+O88*'Inputs'!$E$19*(1-'Inputs'!$E$22))*(1-'Inputs'!$E$29*O85)* (1-O85)</f>
        <v>0.0</v>
      </c>
      <c r="P90" s="38">
        <f>(O90*P14*(1-'Inputs'!$E$23)+P88*'Inputs'!$E$19*(1-'Inputs'!$E$22))*(1-'Inputs'!$E$29*P85)* (1-P85)</f>
        <v>0.0</v>
      </c>
      <c r="Q90" s="38">
        <f>(P90*Q14*(1-'Inputs'!$E$23)+Q88*'Inputs'!$E$19*(1-'Inputs'!$E$22))*(1-'Inputs'!$E$29*Q85)* (1-Q85)</f>
        <v>0.0</v>
      </c>
      <c r="R90" s="38">
        <f>(Q90*R14*(1-'Inputs'!$E$23)+R88*'Inputs'!$E$19*(1-'Inputs'!$E$22))*(1-'Inputs'!$E$29*R85)* (1-R85)</f>
        <v>0.0</v>
      </c>
      <c r="S90" s="38">
        <f>(R90*S14*(1-'Inputs'!$E$23)+S88*'Inputs'!$E$19*(1-'Inputs'!$E$22))*(1-'Inputs'!$E$29*S85)* (1-S85)</f>
        <v>0.0</v>
      </c>
      <c r="T90" s="38">
        <f>(S90*T14*(1-'Inputs'!$E$23)+T88*'Inputs'!$E$19*(1-'Inputs'!$E$22))*(1-'Inputs'!$E$29*T85)* (1-T85)</f>
        <v>0.0</v>
      </c>
      <c r="U90" s="38">
        <f>(T90*U14*(1-'Inputs'!$E$23)+U88*'Inputs'!$E$19*(1-'Inputs'!$E$22))*(1-'Inputs'!$E$29*U85)* (1-U85)</f>
        <v>0.0</v>
      </c>
      <c r="V90" s="38">
        <f>(U90*V14*(1-'Inputs'!$E$23)+V88*'Inputs'!$E$19*(1-'Inputs'!$E$22))*(1-'Inputs'!$E$29*V85)* (1-V85)</f>
        <v>0.0</v>
      </c>
      <c r="W90" s="38">
        <f>(V90*W14*(1-'Inputs'!$E$23)+W88*'Inputs'!$E$19*(1-'Inputs'!$E$22))*(1-'Inputs'!$E$29*W85)* (1-W85)</f>
        <v>0.0</v>
      </c>
      <c r="X90" s="38">
        <f>(W90*X14*(1-'Inputs'!$E$23)+X88*'Inputs'!$E$19*(1-'Inputs'!$E$22))*(1-'Inputs'!$E$29*X85)* (1-X85)</f>
        <v>0.0</v>
      </c>
      <c r="Y90" s="38">
        <f>(X90*Y14*(1-'Inputs'!$E$23)+Y88*'Inputs'!$E$19*(1-'Inputs'!$E$22))*(1-'Inputs'!$E$29*Y85)* (1-Y85)</f>
        <v>0.0</v>
      </c>
      <c r="Z90" s="38">
        <f>(Y90*Z14*(1-'Inputs'!$E$23)+Z88*'Inputs'!$E$19*(1-'Inputs'!$E$22))*(1-'Inputs'!$E$29*Z85)* (1-Z85)</f>
        <v>0.0</v>
      </c>
      <c r="AA90" s="38">
        <f>(Z90*AA14*(1-'Inputs'!$E$23)+AA88*'Inputs'!$E$19*(1-'Inputs'!$E$22))*(1-'Inputs'!$E$29*AA85)* (1-AA85)</f>
        <v>0.0</v>
      </c>
      <c r="AB90" s="38">
        <f>(AA90*AB14*(1-'Inputs'!$E$23)+AB88*'Inputs'!$E$19*(1-'Inputs'!$E$22))*(1-'Inputs'!$E$29*AB85)* (1-AB85)</f>
        <v>0.0</v>
      </c>
      <c r="AC90" s="38">
        <f>(AB90*AC14*(1-'Inputs'!$E$23)+AC88*'Inputs'!$E$19*(1-'Inputs'!$E$22))*(1-'Inputs'!$E$29*AC85)* (1-AC85)</f>
        <v>0.0</v>
      </c>
      <c r="AD90" s="38">
        <f>(AC90*AD14*(1-'Inputs'!$E$23)+AD88*'Inputs'!$E$19*(1-'Inputs'!$E$22))*(1-'Inputs'!$E$29*AD85)* (1-AD85)</f>
        <v>0.0</v>
      </c>
      <c r="AE90" s="38">
        <f>(AD90*AE14*(1-'Inputs'!$E$23)+AE88*'Inputs'!$E$19*(1-'Inputs'!$E$22))*(1-'Inputs'!$E$29*AE85)* (1-AE85)</f>
        <v>0.0</v>
      </c>
      <c r="AF90" s="38">
        <f>(AE90*AF14*(1-'Inputs'!$E$23)+AF88*'Inputs'!$E$19*(1-'Inputs'!$E$22))*(1-'Inputs'!$E$29*AF85)* (1-AF85)</f>
        <v>0.0</v>
      </c>
      <c r="AG90" s="38">
        <f>(AF90*AG14*(1-'Inputs'!$E$23)+AG88*'Inputs'!$E$19*(1-'Inputs'!$E$22))*(1-'Inputs'!$E$29*AG85)* (1-AG85)</f>
        <v>0.0</v>
      </c>
      <c r="AH90" s="38">
        <f>(AG90*AH14*(1-'Inputs'!$E$23)+AH88*'Inputs'!$E$19*(1-'Inputs'!$E$22))*(1-'Inputs'!$E$29*AH85)* (1-AH85)</f>
        <v>0.0</v>
      </c>
      <c r="AI90" s="38">
        <f>(AH90*AI14*(1-'Inputs'!$E$23)+AI88*'Inputs'!$E$19*(1-'Inputs'!$E$22))*(1-'Inputs'!$E$29*AI85)* (1-AI85)</f>
        <v>0.0</v>
      </c>
      <c r="AJ90" s="38">
        <f>(AI90*AJ14*(1-'Inputs'!$E$23)+AJ88*'Inputs'!$E$19*(1-'Inputs'!$E$22))*(1-'Inputs'!$E$29*AJ85)* (1-AJ85)</f>
        <v>0.0</v>
      </c>
      <c r="AK90" s="38">
        <f>(AJ90*AK14*(1-'Inputs'!$E$23)+AK88*'Inputs'!$E$19*(1-'Inputs'!$E$22))*(1-'Inputs'!$E$29*AK85)* (1-AK85)</f>
        <v>0.0</v>
      </c>
      <c r="AL90" s="38">
        <f>(AK90*AL14*(1-'Inputs'!$E$23)+AL88*'Inputs'!$E$19*(1-'Inputs'!$E$22))*(1-'Inputs'!$E$29*AL85)* (1-AL85)</f>
        <v>0.0</v>
      </c>
      <c r="AM90" s="38">
        <f>(AL90*AM14*(1-'Inputs'!$E$23)+AM88*'Inputs'!$E$19*(1-'Inputs'!$E$22))*(1-'Inputs'!$E$29*AM85)* (1-AM85)</f>
        <v>0.0</v>
      </c>
      <c r="AN90" s="38">
        <f>(AM90*AN14*(1-'Inputs'!$E$23)+AN88*'Inputs'!$E$19*(1-'Inputs'!$E$22))*(1-'Inputs'!$E$29*AN85)* (1-AN85)</f>
        <v>0.0</v>
      </c>
      <c r="AO90" s="38">
        <f>(AN90*AO14*(1-'Inputs'!$E$23)+AO88*'Inputs'!$E$19*(1-'Inputs'!$E$22))*(1-'Inputs'!$E$29*AO85)* (1-AO85)</f>
        <v>0.0</v>
      </c>
      <c r="AP90" s="38">
        <f>(AO90*AP14*(1-'Inputs'!$E$23)+AP88*'Inputs'!$E$19*(1-'Inputs'!$E$22))*(1-'Inputs'!$E$29*AP85)* (1-AP85)</f>
        <v>0.0</v>
      </c>
      <c r="AQ90" s="38">
        <f>(AP90*AQ14*(1-'Inputs'!$E$23)+AQ88*'Inputs'!$E$19*(1-'Inputs'!$E$22))*(1-'Inputs'!$E$29*AQ85)* (1-AQ85)</f>
        <v>0.0</v>
      </c>
    </row>
    <row r="91" ht="28" customHeight="1">
      <c r="A91" s="2" t="str">
        <v>AT.U.PLUS.Y0</v>
      </c>
      <c r="B91" s="6" t="str">
        <v>Austria: not yet identity-checked: Plus annual, plan month 1</v>
      </c>
      <c r="C91" s="2" t="str">
        <v>count</v>
      </c>
      <c r="D91" s="2" t="str">
        <v>NA</v>
      </c>
      <c r="E91" s="2"/>
      <c r="F91" s="6" t="str"/>
      <c r="G91" s="2"/>
      <c r="H91" s="38">
        <f>(H88*(1-'Inputs'!$E$19)*'Inputs'!$E$22+0*H14*'Inputs'!$E$24)*(1-'Inputs'!$E$29*H85)</f>
        <v>0.01755</v>
      </c>
      <c r="I91" s="38">
        <f>(I88*(1-'Inputs'!$E$19)*'Inputs'!$E$22+H102*I14*'Inputs'!$E$24)*(1-'Inputs'!$E$29*I85)</f>
        <v>0.0011019645</v>
      </c>
      <c r="J91" s="38">
        <f>(J88*(1-'Inputs'!$E$19)*'Inputs'!$E$22+I102*J14*'Inputs'!$E$24)*(1-'Inputs'!$E$29*J85)</f>
        <v>0.0009173438659125001</v>
      </c>
      <c r="K91" s="38">
        <f>(K88*(1-'Inputs'!$E$19)*'Inputs'!$E$22+J102*K14*'Inputs'!$E$24)*(1-'Inputs'!$E$29*K85)</f>
        <v>0.0008167056159039683</v>
      </c>
      <c r="L91" s="38">
        <f>(L88*(1-'Inputs'!$E$19)*'Inputs'!$E$22+K102*L14*'Inputs'!$E$24)*(1-'Inputs'!$E$29*L85)</f>
        <v>0.000721114839125537</v>
      </c>
      <c r="M91" s="38">
        <f>(M88*(1-'Inputs'!$E$19)*'Inputs'!$E$22+L102*M14*'Inputs'!$E$24)*(1-'Inputs'!$E$29*M85)</f>
        <v>0.0006583739255682454</v>
      </c>
      <c r="N91" s="38">
        <f>(N88*(1-'Inputs'!$E$19)*'Inputs'!$E$22+M102*N14*'Inputs'!$E$24)*(1-'Inputs'!$E$29*N85)</f>
        <v>0.0006122595681310976</v>
      </c>
      <c r="O91" s="38">
        <f>(O88*(1-'Inputs'!$E$19)*'Inputs'!$E$22+N102*O14*'Inputs'!$E$24)*(1-'Inputs'!$E$29*O85)</f>
        <v>0.0005682599751527973</v>
      </c>
      <c r="P91" s="38">
        <f>(P88*(1-'Inputs'!$E$19)*'Inputs'!$E$22+O102*P14*'Inputs'!$E$24)*(1-'Inputs'!$E$29*P85)</f>
        <v>0.0005262893722083407</v>
      </c>
      <c r="Q91" s="38">
        <f>(Q88*(1-'Inputs'!$E$19)*'Inputs'!$E$22+P102*Q14*'Inputs'!$E$24)*(1-'Inputs'!$E$29*Q85)</f>
        <v>0.0004862655120976771</v>
      </c>
      <c r="R91" s="38">
        <f>(R88*(1-'Inputs'!$E$19)*'Inputs'!$E$22+Q102*R14*'Inputs'!$E$24)*(1-'Inputs'!$E$29*R85)</f>
        <v>0.0004602205640914595</v>
      </c>
      <c r="S91" s="38">
        <f>(S88*(1-'Inputs'!$E$19)*'Inputs'!$E$22+R102*S14*'Inputs'!$E$24)*(1-'Inputs'!$E$29*S85)</f>
        <v>0.0004352739323877574</v>
      </c>
      <c r="T91" s="38">
        <f>(T88*(1-'Inputs'!$E$19)*'Inputs'!$E$22+S102*T14*'Inputs'!$E$24)*(1-'Inputs'!$E$29*T85)</f>
        <v>0.002043318841781907</v>
      </c>
      <c r="U91" s="38">
        <f>(U88*(1-'Inputs'!$E$19)*'Inputs'!$E$22+T102*U14*'Inputs'!$E$24)*(1-'Inputs'!$E$29*U85)</f>
        <v>0.0005474824552810548</v>
      </c>
      <c r="V91" s="38">
        <f>(V88*(1-'Inputs'!$E$19)*'Inputs'!$E$22+U102*V14*'Inputs'!$E$24)*(1-'Inputs'!$E$29*V85)</f>
        <v>0.0005285194347501593</v>
      </c>
      <c r="W91" s="38">
        <f>(W88*(1-'Inputs'!$E$19)*'Inputs'!$E$22+V102*W14*'Inputs'!$E$24)*(1-'Inputs'!$E$29*W85)</f>
        <v>0.0005101937037049949</v>
      </c>
      <c r="X91" s="38">
        <f>(X88*(1-'Inputs'!$E$19)*'Inputs'!$E$22+W102*X14*'Inputs'!$E$24)*(1-'Inputs'!$E$29*X85)</f>
        <v>0.0004924836536998748</v>
      </c>
      <c r="Y91" s="38">
        <f>(Y88*(1-'Inputs'!$E$19)*'Inputs'!$E$22+X102*Y14*'Inputs'!$E$24)*(1-'Inputs'!$E$29*Y85)</f>
        <v>0.0004753684898136118</v>
      </c>
      <c r="Z91" s="38">
        <f>(Z88*(1-'Inputs'!$E$19)*'Inputs'!$E$22+Y102*Z14*'Inputs'!$E$24)*(1-'Inputs'!$E$29*Z85)</f>
        <v>0.00045882818925474273</v>
      </c>
      <c r="AA91" s="38">
        <f>(AA88*(1-'Inputs'!$E$19)*'Inputs'!$E$22+Z102*AA14*'Inputs'!$E$24)*(1-'Inputs'!$E$29*AA85)</f>
        <v>0.0004428434632085635</v>
      </c>
      <c r="AB91" s="38">
        <f>(AB88*(1-'Inputs'!$E$19)*'Inputs'!$E$22+AA102*AB14*'Inputs'!$E$24)*(1-'Inputs'!$E$29*AB85)</f>
        <v>0.00042739572158696115</v>
      </c>
      <c r="AC91" s="38">
        <f>(AC88*(1-'Inputs'!$E$19)*'Inputs'!$E$22+AB102*AC14*'Inputs'!$E$24)*(1-'Inputs'!$E$29*AC85)</f>
        <v>0.0004124670403815225</v>
      </c>
      <c r="AD91" s="38">
        <f>(AD88*(1-'Inputs'!$E$19)*'Inputs'!$E$22+AC102*AD14*'Inputs'!$E$24)*(1-'Inputs'!$E$29*AD85)</f>
        <v>0.00039804013135514877</v>
      </c>
      <c r="AE91" s="38">
        <f>(AE88*(1-'Inputs'!$E$19)*'Inputs'!$E$22+AD102*AE14*'Inputs'!$E$24)*(1-'Inputs'!$E$29*AE85)</f>
        <v>0.0003840983138379998</v>
      </c>
      <c r="AF91" s="38">
        <f>(AF88*(1-'Inputs'!$E$19)*'Inputs'!$E$22+AE102*AF14*'Inputs'!$E$24)*(1-'Inputs'!$E$29*AF85)</f>
        <v>0.000757026207671444</v>
      </c>
      <c r="AG91" s="38">
        <f>(AG88*(1-'Inputs'!$E$19)*'Inputs'!$E$22+AF102*AG14*'Inputs'!$E$24)*(1-'Inputs'!$E$29*AG85)</f>
        <v>0.0003908896076298859</v>
      </c>
      <c r="AH91" s="38">
        <f>(AH88*(1-'Inputs'!$E$19)*'Inputs'!$E$22+AG102*AH14*'Inputs'!$E$24)*(1-'Inputs'!$E$29*AH85)</f>
        <v>0.00037377287976943756</v>
      </c>
      <c r="AI91" s="38">
        <f>(AI88*(1-'Inputs'!$E$19)*'Inputs'!$E$22+AH102*AI14*'Inputs'!$E$24)*(1-'Inputs'!$E$29*AI85)</f>
        <v>0.00035730107815520727</v>
      </c>
      <c r="AJ91" s="38">
        <f>(AJ88*(1-'Inputs'!$E$19)*'Inputs'!$E$22+AI102*AJ14*'Inputs'!$E$24)*(1-'Inputs'!$E$29*AJ85)</f>
        <v>0.0003414514453384978</v>
      </c>
      <c r="AK91" s="38">
        <f>(AK88*(1-'Inputs'!$E$19)*'Inputs'!$E$22+AJ102*AK14*'Inputs'!$E$24)*(1-'Inputs'!$E$29*AK85)</f>
        <v>0.00032889791252102454</v>
      </c>
      <c r="AL91" s="38">
        <f>(AL88*(1-'Inputs'!$E$19)*'Inputs'!$E$22+AK102*AL14*'Inputs'!$E$24)*(1-'Inputs'!$E$29*AL85)</f>
        <v>0.00031677628496401127</v>
      </c>
      <c r="AM91" s="38">
        <f>(AM88*(1-'Inputs'!$E$19)*'Inputs'!$E$22+AL102*AM14*'Inputs'!$E$24)*(1-'Inputs'!$E$29*AM85)</f>
        <v>0.0003050721661784659</v>
      </c>
      <c r="AN91" s="38">
        <f>(AN88*(1-'Inputs'!$E$19)*'Inputs'!$E$22+AM102*AN14*'Inputs'!$E$24)*(1-'Inputs'!$E$29*AN85)</f>
        <v>0.0002937716470741806</v>
      </c>
      <c r="AO91" s="38">
        <f>(AO88*(1-'Inputs'!$E$19)*'Inputs'!$E$22+AN102*AO14*'Inputs'!$E$24)*(1-'Inputs'!$E$29*AO85)</f>
        <v>0.0002828612871307955</v>
      </c>
      <c r="AP91" s="38">
        <f>(AP88*(1-'Inputs'!$E$19)*'Inputs'!$E$22+AO102*AP14*'Inputs'!$E$24)*(1-'Inputs'!$E$29*AP85)</f>
        <v>0.0002723280965987272</v>
      </c>
      <c r="AQ91" s="38">
        <f>(AQ88*(1-'Inputs'!$E$19)*'Inputs'!$E$22+AP102*AQ14*'Inputs'!$E$24)*(1-'Inputs'!$E$29*AQ85)</f>
        <v>0.00026215951964290464</v>
      </c>
    </row>
    <row r="92" ht="28" customHeight="1">
      <c r="A92" s="2" t="str">
        <v>AT.U.PLUS.Y1</v>
      </c>
      <c r="B92" s="6" t="str">
        <v>Austria: not yet identity-checked: Plus annual, plan month 2</v>
      </c>
      <c r="C92" s="2" t="str">
        <v>count</v>
      </c>
      <c r="D92" s="2" t="str">
        <v>NA</v>
      </c>
      <c r="E92" s="2"/>
      <c r="F92" s="6" t="str"/>
      <c r="G92" s="2"/>
      <c r="H92" s="38">
        <f>0*H14*(1-'Inputs'!$E$29*H85)</f>
        <v>0.0</v>
      </c>
      <c r="I92" s="38">
        <f>H91*I14*(1-'Inputs'!$E$29*I85)</f>
        <v>0.011977874999999999</v>
      </c>
      <c r="J92" s="38">
        <f>I91*J14*(1-'Inputs'!$E$29*J85)</f>
        <v>0.000920927475</v>
      </c>
      <c r="K92" s="38">
        <f>J91*K14*(1-'Inputs'!$E$29*K85)</f>
        <v>0.0008198760801592969</v>
      </c>
      <c r="L92" s="38">
        <f>K91*L14*(1-'Inputs'!$E$29*L85)</f>
        <v>0.0007238981595512446</v>
      </c>
      <c r="M92" s="38">
        <f>L91*M14*(1-'Inputs'!$E$29*M85)</f>
        <v>0.0006609017500585545</v>
      </c>
      <c r="N92" s="38">
        <f>M91*N14*(1-'Inputs'!$E$29*N85)</f>
        <v>0.0006145990634958886</v>
      </c>
      <c r="O92" s="38">
        <f>N91*O14*(1-'Inputs'!$E$29*O85)</f>
        <v>0.0005704218309754726</v>
      </c>
      <c r="P92" s="38">
        <f>O91*P14*(1-'Inputs'!$E$29*P85)</f>
        <v>0.000528283546668211</v>
      </c>
      <c r="Q92" s="38">
        <f>P91*Q14*(1-'Inputs'!$E$29*Q85)</f>
        <v>0.0004881013019078575</v>
      </c>
      <c r="R92" s="38">
        <f>Q91*R14*(1-'Inputs'!$E$29*R85)</f>
        <v>0.0004619522364927932</v>
      </c>
      <c r="S92" s="38">
        <f>R91*S14*(1-'Inputs'!$E$29*S85)</f>
        <v>0.0004369067591999842</v>
      </c>
      <c r="T92" s="38">
        <f>S91*T14*(1-'Inputs'!$E$29*T85)</f>
        <v>0.00041292202775162926</v>
      </c>
      <c r="U92" s="38">
        <f>T91*U14*(1-'Inputs'!$E$29*U85)</f>
        <v>0.001978400899412794</v>
      </c>
      <c r="V92" s="38">
        <f>U91*V14*(1-'Inputs'!$E$29*V85)</f>
        <v>0.0005300625589766576</v>
      </c>
      <c r="W92" s="38">
        <f>V91*W14*(1-'Inputs'!$E$29*W85)</f>
        <v>0.000511677530227311</v>
      </c>
      <c r="X92" s="38">
        <f>W91*X14*(1-'Inputs'!$E$29*X85)</f>
        <v>0.0004939109259271758</v>
      </c>
      <c r="Y92" s="38">
        <f>X91*Y14*(1-'Inputs'!$E$29*Y85)</f>
        <v>0.00047674176548339665</v>
      </c>
      <c r="Z92" s="38">
        <f>Y91*Z14*(1-'Inputs'!$E$29*Z85)</f>
        <v>0.00046014985830519046</v>
      </c>
      <c r="AA92" s="38">
        <f>Z91*AA14*(1-'Inputs'!$E$29*AA85)</f>
        <v>0.0004441157636210309</v>
      </c>
      <c r="AB92" s="38">
        <f>AA91*AB14*(1-'Inputs'!$E$29*AB85)</f>
        <v>0.00042862075344128115</v>
      </c>
      <c r="AC92" s="38">
        <f>AB91*AC14*(1-'Inputs'!$E$29*AC85)</f>
        <v>0.0004136467783373806</v>
      </c>
      <c r="AD92" s="38">
        <f>AC91*AD14*(1-'Inputs'!$E$29*AD85)</f>
        <v>0.00039917643574700673</v>
      </c>
      <c r="AE92" s="38">
        <f>AD91*AE14*(1-'Inputs'!$E$29*AE85)</f>
        <v>0.0003851929405483501</v>
      </c>
      <c r="AF92" s="38">
        <f>AE91*AF14*(1-'Inputs'!$E$29*AF85)</f>
        <v>0.0003716800976763201</v>
      </c>
      <c r="AG92" s="38">
        <f>AF91*AG14*(1-'Inputs'!$E$29*AG85)</f>
        <v>0.0007257988766049969</v>
      </c>
      <c r="AH92" s="38">
        <f>AG91*AH14*(1-'Inputs'!$E$29*AH85)</f>
        <v>0.0003746577510418652</v>
      </c>
      <c r="AI92" s="38">
        <f>AH91*AI14*(1-'Inputs'!$E$29*AI85)</f>
        <v>0.00035814530677907744</v>
      </c>
      <c r="AJ92" s="38">
        <f>AI91*AJ14*(1-'Inputs'!$E$29*AJ85)</f>
        <v>0.00034225682223288273</v>
      </c>
      <c r="AK92" s="38">
        <f>AJ91*AK14*(1-'Inputs'!$E$29*AK85)</f>
        <v>0.00032967247908290837</v>
      </c>
      <c r="AL92" s="38">
        <f>AK91*AL14*(1-'Inputs'!$E$29*AL85)</f>
        <v>0.00031752127980923175</v>
      </c>
      <c r="AM92" s="38">
        <f>AL91*AM14*(1-'Inputs'!$E$29*AM85)</f>
        <v>0.000305788763159382</v>
      </c>
      <c r="AN92" s="38">
        <f>AM91*AN14*(1-'Inputs'!$E$29*AN85)</f>
        <v>0.00029446096039834535</v>
      </c>
      <c r="AO92" s="38">
        <f>AN91*AO14*(1-'Inputs'!$E$29*AO85)</f>
        <v>0.00028352437593890723</v>
      </c>
      <c r="AP92" s="38">
        <f>AO91*AP14*(1-'Inputs'!$E$29*AP85)</f>
        <v>0.00027296596906563965</v>
      </c>
      <c r="AQ92" s="38">
        <f>AP91*AQ14*(1-'Inputs'!$E$29*AQ85)</f>
        <v>0.0002627731366577201</v>
      </c>
    </row>
    <row r="93" ht="28" customHeight="1">
      <c r="A93" s="2" t="str">
        <v>AT.U.PLUS.Y2</v>
      </c>
      <c r="B93" s="6" t="str">
        <v>Austria: not yet identity-checked: Plus annual, plan month 3</v>
      </c>
      <c r="C93" s="2" t="str">
        <v>count</v>
      </c>
      <c r="D93" s="2" t="str">
        <v>NA</v>
      </c>
      <c r="E93" s="2"/>
      <c r="F93" s="6" t="str"/>
      <c r="G93" s="2"/>
      <c r="H93" s="38">
        <f>0*H14*(1-'Inputs'!$E$29*H85)</f>
        <v>0.0</v>
      </c>
      <c r="I93" s="38">
        <f>H92*I14*(1-'Inputs'!$E$29*I85)</f>
        <v>0.0</v>
      </c>
      <c r="J93" s="38">
        <f>I92*J14*(1-'Inputs'!$E$29*J85)</f>
        <v>0.01001008125</v>
      </c>
      <c r="K93" s="38">
        <f>J92*K14*(1-'Inputs'!$E$29*K85)</f>
        <v>0.00082307893078125</v>
      </c>
      <c r="L93" s="38">
        <f>K92*L14*(1-'Inputs'!$E$29*L85)</f>
        <v>0.0007267083437775586</v>
      </c>
      <c r="M93" s="38">
        <f>L92*M14*(1-'Inputs'!$E$29*M85)</f>
        <v>0.0006634526632287156</v>
      </c>
      <c r="N93" s="38">
        <f>M92*N14*(1-'Inputs'!$E$29*N85)</f>
        <v>0.0006169588145493422</v>
      </c>
      <c r="O93" s="38">
        <f>N92*O14*(1-'Inputs'!$E$29*O85)</f>
        <v>0.0005726014608236695</v>
      </c>
      <c r="P93" s="38">
        <f>O92*P14*(1-'Inputs'!$E$29*P85)</f>
        <v>0.0005302933184475469</v>
      </c>
      <c r="Q93" s="38">
        <f>P92*Q14*(1-'Inputs'!$E$29*Q85)</f>
        <v>0.0004899507771233835</v>
      </c>
      <c r="R93" s="38">
        <f>Q92*R14*(1-'Inputs'!$E$29*R85)</f>
        <v>0.00046369623681246464</v>
      </c>
      <c r="S93" s="38">
        <f>R92*S14*(1-'Inputs'!$E$29*S85)</f>
        <v>0.0004385507087230925</v>
      </c>
      <c r="T93" s="38">
        <f>S92*T14*(1-'Inputs'!$E$29*T85)</f>
        <v>0.0004144710067005256</v>
      </c>
      <c r="U93" s="38">
        <f>T92*U14*(1-'Inputs'!$E$29*U85)</f>
        <v>0.0003998031508282702</v>
      </c>
      <c r="V93" s="38">
        <f>U92*V14*(1-'Inputs'!$E$29*V85)</f>
        <v>0.0019154517798860235</v>
      </c>
      <c r="W93" s="38">
        <f>V92*W14*(1-'Inputs'!$E$29*W85)</f>
        <v>0.0005131714809529296</v>
      </c>
      <c r="X93" s="38">
        <f>W92*X14*(1-'Inputs'!$E$29*X85)</f>
        <v>0.0004953473962838862</v>
      </c>
      <c r="Y93" s="38">
        <f>X92*Y14*(1-'Inputs'!$E$29*Y85)</f>
        <v>0.0004781234159734322</v>
      </c>
      <c r="Z93" s="38">
        <f>Y92*Z14*(1-'Inputs'!$E$29*Z85)</f>
        <v>0.00046147916939418</v>
      </c>
      <c r="AA93" s="38">
        <f>Z92*AA14*(1-'Inputs'!$E$29*AA85)</f>
        <v>0.0004453950530660567</v>
      </c>
      <c r="AB93" s="38">
        <f>AA92*AB14*(1-'Inputs'!$E$29*AB85)</f>
        <v>0.00042985219165072046</v>
      </c>
      <c r="AC93" s="38">
        <f>AB92*AC14*(1-'Inputs'!$E$29*AC85)</f>
        <v>0.00041483240199785754</v>
      </c>
      <c r="AD93" s="38">
        <f>AC92*AD14*(1-'Inputs'!$E$29*AD85)</f>
        <v>0.0004003181599242872</v>
      </c>
      <c r="AE93" s="38">
        <f>AD92*AE14*(1-'Inputs'!$E$29*AE85)</f>
        <v>0.0003862925694439783</v>
      </c>
      <c r="AF93" s="38">
        <f>AE92*AF14*(1-'Inputs'!$E$29*AF85)</f>
        <v>0.0003727393341997944</v>
      </c>
      <c r="AG93" s="38">
        <f>AF92*AG14*(1-'Inputs'!$E$29*AG85)</f>
        <v>0.00035634829364717183</v>
      </c>
      <c r="AH93" s="38">
        <f>AG92*AH14*(1-'Inputs'!$E$29*AH85)</f>
        <v>0.0006956597707120774</v>
      </c>
      <c r="AI93" s="38">
        <f>AH92*AI14*(1-'Inputs'!$E$29*AI85)</f>
        <v>0.0003589931812784768</v>
      </c>
      <c r="AJ93" s="38">
        <f>AI92*AJ14*(1-'Inputs'!$E$29*AJ85)</f>
        <v>0.00034306550438837946</v>
      </c>
      <c r="AK93" s="38">
        <f>AJ92*AK14*(1-'Inputs'!$E$29*AK85)</f>
        <v>0.00033045007308929713</v>
      </c>
      <c r="AL93" s="38">
        <f>AK92*AL14*(1-'Inputs'!$E$29*AL85)</f>
        <v>0.0003182690539867619</v>
      </c>
      <c r="AM93" s="38">
        <f>AL92*AM14*(1-'Inputs'!$E$29*AM85)</f>
        <v>0.0003065079175377029</v>
      </c>
      <c r="AN93" s="38">
        <f>AM92*AN14*(1-'Inputs'!$E$29*AN85)</f>
        <v>0.0002951526322668818</v>
      </c>
      <c r="AO93" s="38">
        <f>AN92*AO14*(1-'Inputs'!$E$29*AO85)</f>
        <v>0.00028418964480336924</v>
      </c>
      <c r="AP93" s="38">
        <f>AO92*AP14*(1-'Inputs'!$E$29*AP85)</f>
        <v>0.00027360586108097617</v>
      </c>
      <c r="AQ93" s="38">
        <f>AP92*AQ14*(1-'Inputs'!$E$29*AQ85)</f>
        <v>0.00026338862859928485</v>
      </c>
    </row>
    <row r="94" ht="28" customHeight="1">
      <c r="A94" s="2" t="str">
        <v>AT.U.PLUS.Y3</v>
      </c>
      <c r="B94" s="6" t="str">
        <v>Austria: not yet identity-checked: Plus annual, plan month 4</v>
      </c>
      <c r="C94" s="2" t="str">
        <v>count</v>
      </c>
      <c r="D94" s="2" t="str">
        <v>NA</v>
      </c>
      <c r="E94" s="2"/>
      <c r="F94" s="6" t="str"/>
      <c r="G94" s="2"/>
      <c r="H94" s="38">
        <f>0*H14*(1-'Inputs'!$E$29*H85)</f>
        <v>0.0</v>
      </c>
      <c r="I94" s="38">
        <f>H93*I14*(1-'Inputs'!$E$29*I85)</f>
        <v>0.0</v>
      </c>
      <c r="J94" s="38">
        <f>I93*J14*(1-'Inputs'!$E$29*J85)</f>
        <v>0.0</v>
      </c>
      <c r="K94" s="38">
        <f>J93*K14*(1-'Inputs'!$E$29*K85)</f>
        <v>0.008946510117187502</v>
      </c>
      <c r="L94" s="38">
        <f>K93*L14*(1-'Inputs'!$E$29*L85)</f>
        <v>0.0007295472341015624</v>
      </c>
      <c r="M94" s="38">
        <f>L93*M14*(1-'Inputs'!$E$29*M85)</f>
        <v>0.0006660281970721324</v>
      </c>
      <c r="N94" s="38">
        <f>M93*N14*(1-'Inputs'!$E$29*N85)</f>
        <v>0.0006193401191310616</v>
      </c>
      <c r="O94" s="38">
        <f>N93*O14*(1-'Inputs'!$E$29*O85)</f>
        <v>0.0005747999622218038</v>
      </c>
      <c r="P94" s="38">
        <f>O93*P14*(1-'Inputs'!$E$29*P85)</f>
        <v>0.0005323196138703765</v>
      </c>
      <c r="Q94" s="38">
        <f>P93*Q14*(1-'Inputs'!$E$29*Q85)</f>
        <v>0.0004918147179016579</v>
      </c>
      <c r="R94" s="38">
        <f>Q93*R14*(1-'Inputs'!$E$29*R85)</f>
        <v>0.0004654532382672143</v>
      </c>
      <c r="S94" s="38">
        <f>R93*S14*(1-'Inputs'!$E$29*S85)</f>
        <v>0.000440206361658149</v>
      </c>
      <c r="T94" s="38">
        <f>S93*T14*(1-'Inputs'!$E$29*T85)</f>
        <v>0.00041603053719406876</v>
      </c>
      <c r="U94" s="38">
        <f>T93*U14*(1-'Inputs'!$E$29*U85)</f>
        <v>0.0004013029174251443</v>
      </c>
      <c r="V94" s="38">
        <f>U93*V14*(1-'Inputs'!$E$29*V85)</f>
        <v>0.0003870821414837343</v>
      </c>
      <c r="W94" s="38">
        <f>V93*W14*(1-'Inputs'!$E$29*W85)</f>
        <v>0.0018544136157734583</v>
      </c>
      <c r="X94" s="38">
        <f>W93*X14*(1-'Inputs'!$E$29*X85)</f>
        <v>0.0004967936677310276</v>
      </c>
      <c r="Y94" s="38">
        <f>X93*Y14*(1-'Inputs'!$E$29*Y85)</f>
        <v>0.00047951397058124053</v>
      </c>
      <c r="Z94" s="38">
        <f>Y93*Z14*(1-'Inputs'!$E$29*Z85)</f>
        <v>0.00046281658718867123</v>
      </c>
      <c r="AA94" s="38">
        <f>Z93*AA14*(1-'Inputs'!$E$29*AA85)</f>
        <v>0.0004466817395059971</v>
      </c>
      <c r="AB94" s="38">
        <f>AA93*AB14*(1-'Inputs'!$E$29*AB85)</f>
        <v>0.00043109039442743887</v>
      </c>
      <c r="AC94" s="38">
        <f>AB93*AC14*(1-'Inputs'!$E$29*AC85)</f>
        <v>0.0004160242259266624</v>
      </c>
      <c r="AD94" s="38">
        <f>AC93*AD14*(1-'Inputs'!$E$29*AD85)</f>
        <v>0.00040146558015570434</v>
      </c>
      <c r="AE94" s="38">
        <f>AD93*AE14*(1-'Inputs'!$E$29*AE85)</f>
        <v>0.0003873974431953876</v>
      </c>
      <c r="AF94" s="38">
        <f>AE93*AF14*(1-'Inputs'!$E$29*AF85)</f>
        <v>0.0003738034111837594</v>
      </c>
      <c r="AG94" s="38">
        <f>AF93*AG14*(1-'Inputs'!$E$29*AG85)</f>
        <v>0.00035736383666405285</v>
      </c>
      <c r="AH94" s="38">
        <f>AG93*AH14*(1-'Inputs'!$E$29*AH85)</f>
        <v>0.0003415507797584333</v>
      </c>
      <c r="AI94" s="38">
        <f>AH93*AI14*(1-'Inputs'!$E$29*AI85)</f>
        <v>0.0006665739958159259</v>
      </c>
      <c r="AJ94" s="38">
        <f>AI93*AJ14*(1-'Inputs'!$E$29*AJ85)</f>
        <v>0.00034387767890885673</v>
      </c>
      <c r="AK94" s="38">
        <f>AJ93*AK14*(1-'Inputs'!$E$29*AK85)</f>
        <v>0.0003312308583360206</v>
      </c>
      <c r="AL94" s="38">
        <f>AK93*AL14*(1-'Inputs'!$E$29*AL85)</f>
        <v>0.0003190197508889952</v>
      </c>
      <c r="AM94" s="38">
        <f>AL93*AM14*(1-'Inputs'!$E$29*AM85)</f>
        <v>0.0003072297548459959</v>
      </c>
      <c r="AN94" s="38">
        <f>AM93*AN14*(1-'Inputs'!$E$29*AN85)</f>
        <v>0.00029584677257986976</v>
      </c>
      <c r="AO94" s="38">
        <f>AN93*AO14*(1-'Inputs'!$E$29*AO85)</f>
        <v>0.0002848571899420319</v>
      </c>
      <c r="AP94" s="38">
        <f>AO93*AP14*(1-'Inputs'!$E$29*AP85)</f>
        <v>0.00027424785688789303</v>
      </c>
      <c r="AQ94" s="38">
        <f>AP93*AQ14*(1-'Inputs'!$E$29*AQ85)</f>
        <v>0.00026400606923097984</v>
      </c>
    </row>
    <row r="95" ht="28" customHeight="1">
      <c r="A95" s="2" t="str">
        <v>AT.U.PLUS.Y4</v>
      </c>
      <c r="B95" s="6" t="str">
        <v>Austria: not yet identity-checked: Plus annual, plan month 5</v>
      </c>
      <c r="C95" s="2" t="str">
        <v>count</v>
      </c>
      <c r="D95" s="2" t="str">
        <v>NA</v>
      </c>
      <c r="E95" s="2"/>
      <c r="F95" s="6" t="str"/>
      <c r="G95" s="2"/>
      <c r="H95" s="38">
        <f>0*H14*(1-'Inputs'!$E$29*H85)</f>
        <v>0.0</v>
      </c>
      <c r="I95" s="38">
        <f>H94*I14*(1-'Inputs'!$E$29*I85)</f>
        <v>0.0</v>
      </c>
      <c r="J95" s="38">
        <f>I94*J14*(1-'Inputs'!$E$29*J85)</f>
        <v>0.0</v>
      </c>
      <c r="K95" s="38">
        <f>J94*K14*(1-'Inputs'!$E$29*K85)</f>
        <v>0.0</v>
      </c>
      <c r="L95" s="38">
        <f>K94*L14*(1-'Inputs'!$E$29*L85)</f>
        <v>0.007929861240234376</v>
      </c>
      <c r="M95" s="38">
        <f>L94*M14*(1-'Inputs'!$E$29*M85)</f>
        <v>0.0006686300400540819</v>
      </c>
      <c r="N95" s="38">
        <f>M94*N14*(1-'Inputs'!$E$29*N85)</f>
        <v>0.0006217444073731874</v>
      </c>
      <c r="O95" s="38">
        <f>N94*O14*(1-'Inputs'!$E$29*O85)</f>
        <v>0.0005770185443237724</v>
      </c>
      <c r="P95" s="38">
        <f>O94*P14*(1-'Inputs'!$E$29*P85)</f>
        <v>0.000534363453251549</v>
      </c>
      <c r="Q95" s="38">
        <f>P94*Q14*(1-'Inputs'!$E$29*Q85)</f>
        <v>0.0004936939833517333</v>
      </c>
      <c r="R95" s="38">
        <f>Q94*R14*(1-'Inputs'!$E$29*R85)</f>
        <v>0.0004672239820065749</v>
      </c>
      <c r="S95" s="38">
        <f>R94*S14*(1-'Inputs'!$E$29*S85)</f>
        <v>0.00044187435711815143</v>
      </c>
      <c r="T95" s="38">
        <f>S94*T14*(1-'Inputs'!$E$29*T85)</f>
        <v>0.00041760117011354134</v>
      </c>
      <c r="U95" s="38">
        <f>T94*U14*(1-'Inputs'!$E$29*U85)</f>
        <v>0.0004028129003352989</v>
      </c>
      <c r="V95" s="38">
        <f>U94*V14*(1-'Inputs'!$E$29*V85)</f>
        <v>0.00038853418823434424</v>
      </c>
      <c r="W95" s="38">
        <f>V94*W14*(1-'Inputs'!$E$29*W85)</f>
        <v>0.00037474730563715755</v>
      </c>
      <c r="X95" s="38">
        <f>W94*X14*(1-'Inputs'!$E$29*X85)</f>
        <v>0.0017952302025040926</v>
      </c>
      <c r="Y95" s="38">
        <f>X94*Y14*(1-'Inputs'!$E$29*Y85)</f>
        <v>0.00048091401299462516</v>
      </c>
      <c r="Z95" s="38">
        <f>Y94*Z14*(1-'Inputs'!$E$29*Z85)</f>
        <v>0.00046416262404104974</v>
      </c>
      <c r="AA95" s="38">
        <f>Z94*AA14*(1-'Inputs'!$E$29*AA85)</f>
        <v>0.000447976272708165</v>
      </c>
      <c r="AB95" s="38">
        <f>AA94*AB14*(1-'Inputs'!$E$29*AB85)</f>
        <v>0.0004323357566313519</v>
      </c>
      <c r="AC95" s="38">
        <f>AB94*AC14*(1-'Inputs'!$E$29*AC85)</f>
        <v>0.0004172225968125856</v>
      </c>
      <c r="AD95" s="38">
        <f>AC94*AD14*(1-'Inputs'!$E$29*AD85)</f>
        <v>0.00040261900086902545</v>
      </c>
      <c r="AE95" s="38">
        <f>AD94*AE14*(1-'Inputs'!$E$29*AE85)</f>
        <v>0.00038850782915441013</v>
      </c>
      <c r="AF95" s="38">
        <f>AE94*AF14*(1-'Inputs'!$E$29*AF85)</f>
        <v>0.0003748725634529803</v>
      </c>
      <c r="AG95" s="38">
        <f>AF94*AG14*(1-'Inputs'!$E$29*AG85)</f>
        <v>0.0003583840204724293</v>
      </c>
      <c r="AH95" s="38">
        <f>AG94*AH14*(1-'Inputs'!$E$29*AH85)</f>
        <v>0.00034252415192122346</v>
      </c>
      <c r="AI95" s="38">
        <f>AH94*AI14*(1-'Inputs'!$E$29*AI85)</f>
        <v>0.0003272704238806022</v>
      </c>
      <c r="AJ95" s="38">
        <f>AI94*AJ14*(1-'Inputs'!$E$29*AJ85)</f>
        <v>0.0006385077223078869</v>
      </c>
      <c r="AK95" s="38">
        <f>AJ94*AK14*(1-'Inputs'!$E$29*AK85)</f>
        <v>0.0003320150154724717</v>
      </c>
      <c r="AL95" s="38">
        <f>AK94*AL14*(1-'Inputs'!$E$29*AL85)</f>
        <v>0.0003197735286460369</v>
      </c>
      <c r="AM95" s="38">
        <f>AL94*AM14*(1-'Inputs'!$E$29*AM85)</f>
        <v>0.0003079544135030276</v>
      </c>
      <c r="AN95" s="38">
        <f>AM94*AN14*(1-'Inputs'!$E$29*AN85)</f>
        <v>0.00029654350250352644</v>
      </c>
      <c r="AO95" s="38">
        <f>AN94*AO14*(1-'Inputs'!$E$29*AO85)</f>
        <v>0.00028552711742146724</v>
      </c>
      <c r="AP95" s="38">
        <f>AO94*AP14*(1-'Inputs'!$E$29*AP85)</f>
        <v>0.0002748920493382577</v>
      </c>
      <c r="AQ95" s="38">
        <f>AP94*AQ14*(1-'Inputs'!$E$29*AQ85)</f>
        <v>0.0002646255398401885</v>
      </c>
    </row>
    <row r="96" ht="28" customHeight="1">
      <c r="A96" s="2" t="str">
        <v>AT.U.PLUS.Y5</v>
      </c>
      <c r="B96" s="6" t="str">
        <v>Austria: not yet identity-checked: Plus annual, plan month 6</v>
      </c>
      <c r="C96" s="2" t="str">
        <v>count</v>
      </c>
      <c r="D96" s="2" t="str">
        <v>NA</v>
      </c>
      <c r="E96" s="2"/>
      <c r="F96" s="6" t="str"/>
      <c r="G96" s="2"/>
      <c r="H96" s="38">
        <f>0*H14*(1-'Inputs'!$E$29*H85)</f>
        <v>0.0</v>
      </c>
      <c r="I96" s="38">
        <f>H95*I14*(1-'Inputs'!$E$29*I85)</f>
        <v>0.0</v>
      </c>
      <c r="J96" s="38">
        <f>I95*J14*(1-'Inputs'!$E$29*J85)</f>
        <v>0.0</v>
      </c>
      <c r="K96" s="38">
        <f>J95*K14*(1-'Inputs'!$E$29*K85)</f>
        <v>0.0</v>
      </c>
      <c r="L96" s="38">
        <f>K95*L14*(1-'Inputs'!$E$29*L85)</f>
        <v>0.0</v>
      </c>
      <c r="M96" s="38">
        <f>L95*M14*(1-'Inputs'!$E$29*M85)</f>
        <v>0.007267717826674804</v>
      </c>
      <c r="N96" s="38">
        <f>M95*N14*(1-'Inputs'!$E$29*N85)</f>
        <v>0.0006241732554760181</v>
      </c>
      <c r="O96" s="38">
        <f>N95*O14*(1-'Inputs'!$E$29*O85)</f>
        <v>0.0005792585395360196</v>
      </c>
      <c r="P96" s="38">
        <f>O95*P14*(1-'Inputs'!$E$29*P85)</f>
        <v>0.0005364259606823906</v>
      </c>
      <c r="Q96" s="38">
        <f>P95*Q14*(1-'Inputs'!$E$29*Q85)</f>
        <v>0.0004955895197534183</v>
      </c>
      <c r="R96" s="38">
        <f>Q95*R14*(1-'Inputs'!$E$29*R85)</f>
        <v>0.0004690092841841466</v>
      </c>
      <c r="S96" s="38">
        <f>R95*S14*(1-'Inputs'!$E$29*S85)</f>
        <v>0.00044355539870755763</v>
      </c>
      <c r="T96" s="38">
        <f>S95*T14*(1-'Inputs'!$E$29*T85)</f>
        <v>0.0004191835117526247</v>
      </c>
      <c r="U96" s="38">
        <f>T95*U14*(1-'Inputs'!$E$29*U85)</f>
        <v>0.00040433363293805905</v>
      </c>
      <c r="V96" s="38">
        <f>U95*V14*(1-'Inputs'!$E$29*V85)</f>
        <v>0.0003899961262337212</v>
      </c>
      <c r="W96" s="38">
        <f>V95*W14*(1-'Inputs'!$E$29*W85)</f>
        <v>0.00037615308117969345</v>
      </c>
      <c r="X96" s="38">
        <f>W95*X14*(1-'Inputs'!$E$29*X85)</f>
        <v>0.00036278728524448227</v>
      </c>
      <c r="Y96" s="38">
        <f>X95*Y14*(1-'Inputs'!$E$29*Y85)</f>
        <v>0.0017378469513883367</v>
      </c>
      <c r="Z96" s="38">
        <f>Y95*Z14*(1-'Inputs'!$E$29*Z85)</f>
        <v>0.0004655178449527109</v>
      </c>
      <c r="AA96" s="38">
        <f>Z95*AA14*(1-'Inputs'!$E$29*AA85)</f>
        <v>0.0004492791485962553</v>
      </c>
      <c r="AB96" s="38">
        <f>AA95*AB14*(1-'Inputs'!$E$29*AB85)</f>
        <v>0.0004335887135846911</v>
      </c>
      <c r="AC96" s="38">
        <f>AB95*AC14*(1-'Inputs'!$E$29*AC85)</f>
        <v>0.00041842789681324777</v>
      </c>
      <c r="AD96" s="38">
        <f>AC95*AD14*(1-'Inputs'!$E$29*AD85)</f>
        <v>0.00040377875758195787</v>
      </c>
      <c r="AE96" s="38">
        <f>AD95*AE14*(1-'Inputs'!$E$29*AE85)</f>
        <v>0.0003896240219230662</v>
      </c>
      <c r="AF96" s="38">
        <f>AE95*AF14*(1-'Inputs'!$E$29*AF85)</f>
        <v>0.0003759470497155833</v>
      </c>
      <c r="AG96" s="38">
        <f>AF95*AG14*(1-'Inputs'!$E$29*AG85)</f>
        <v>0.0003594090702105448</v>
      </c>
      <c r="AH96" s="38">
        <f>AG95*AH14*(1-'Inputs'!$E$29*AH85)</f>
        <v>0.00034350197216467587</v>
      </c>
      <c r="AI96" s="38">
        <f>AH95*AI14*(1-'Inputs'!$E$29*AI85)</f>
        <v>0.00032820309901762055</v>
      </c>
      <c r="AJ96" s="38">
        <f>AI95*AJ14*(1-'Inputs'!$E$29*AJ85)</f>
        <v>0.0003134906165593137</v>
      </c>
      <c r="AK96" s="38">
        <f>AJ95*AK14*(1-'Inputs'!$E$29*AK85)</f>
        <v>0.0006164812789652853</v>
      </c>
      <c r="AL96" s="38">
        <f>AK95*AL14*(1-'Inputs'!$E$29*AL85)</f>
        <v>0.00032053056165858777</v>
      </c>
      <c r="AM96" s="38">
        <f>AL95*AM14*(1-'Inputs'!$E$29*AM85)</f>
        <v>0.0003086820461540924</v>
      </c>
      <c r="AN96" s="38">
        <f>AM95*AN14*(1-'Inputs'!$E$29*AN85)</f>
        <v>0.0002972429556420527</v>
      </c>
      <c r="AO96" s="38">
        <f>AN95*AO14*(1-'Inputs'!$E$29*AO85)</f>
        <v>0.0002861995441814017</v>
      </c>
      <c r="AP96" s="38">
        <f>AO95*AP14*(1-'Inputs'!$E$29*AP85)</f>
        <v>0.0002755385407881224</v>
      </c>
      <c r="AQ96" s="38">
        <f>AP95*AQ14*(1-'Inputs'!$E$29*AQ85)</f>
        <v>0.0002652471300209585</v>
      </c>
    </row>
    <row r="97" ht="28" customHeight="1">
      <c r="A97" s="2" t="str">
        <v>AT.U.PLUS.Y6</v>
      </c>
      <c r="B97" s="6" t="str">
        <v>Austria: not yet identity-checked: Plus annual, plan month 7</v>
      </c>
      <c r="C97" s="2" t="str">
        <v>count</v>
      </c>
      <c r="D97" s="2" t="str">
        <v>NA</v>
      </c>
      <c r="E97" s="2"/>
      <c r="F97" s="6" t="str"/>
      <c r="G97" s="2"/>
      <c r="H97" s="38">
        <f>0*H14*(1-'Inputs'!$E$29*H85)</f>
        <v>0.0</v>
      </c>
      <c r="I97" s="38">
        <f>H96*I14*(1-'Inputs'!$E$29*I85)</f>
        <v>0.0</v>
      </c>
      <c r="J97" s="38">
        <f>I96*J14*(1-'Inputs'!$E$29*J85)</f>
        <v>0.0</v>
      </c>
      <c r="K97" s="38">
        <f>J96*K14*(1-'Inputs'!$E$29*K85)</f>
        <v>0.0</v>
      </c>
      <c r="L97" s="38">
        <f>K96*L14*(1-'Inputs'!$E$29*L85)</f>
        <v>0.0</v>
      </c>
      <c r="M97" s="38">
        <f>L96*M14*(1-'Inputs'!$E$29*M85)</f>
        <v>0.0</v>
      </c>
      <c r="N97" s="38">
        <f>M96*N14*(1-'Inputs'!$E$29*N85)</f>
        <v>0.006784491907348022</v>
      </c>
      <c r="O97" s="38">
        <f>N96*O14*(1-'Inputs'!$E$29*O85)</f>
        <v>0.0005815214163518235</v>
      </c>
      <c r="P97" s="38">
        <f>O96*P14*(1-'Inputs'!$E$29*P85)</f>
        <v>0.0005385083748361019</v>
      </c>
      <c r="Q97" s="38">
        <f>P96*Q14*(1-'Inputs'!$E$29*Q85)</f>
        <v>0.0004975023696328757</v>
      </c>
      <c r="R97" s="38">
        <f>Q96*R14*(1-'Inputs'!$E$29*R85)</f>
        <v>0.0004708100437657474</v>
      </c>
      <c r="S97" s="38">
        <f>R96*S14*(1-'Inputs'!$E$29*S85)</f>
        <v>0.0004452502612353444</v>
      </c>
      <c r="T97" s="38">
        <f>S96*T14*(1-'Inputs'!$E$29*T85)</f>
        <v>0.0004207782295847371</v>
      </c>
      <c r="U97" s="38">
        <f>T96*U14*(1-'Inputs'!$E$29*U85)</f>
        <v>0.00040586570226465067</v>
      </c>
      <c r="V97" s="38">
        <f>U96*V14*(1-'Inputs'!$E$29*V85)</f>
        <v>0.0003914684718900299</v>
      </c>
      <c r="W97" s="38">
        <f>V96*W14*(1-'Inputs'!$E$29*W85)</f>
        <v>0.00037756843277451284</v>
      </c>
      <c r="X97" s="38">
        <f>W96*X14*(1-'Inputs'!$E$29*X85)</f>
        <v>0.0003641481956101288</v>
      </c>
      <c r="Y97" s="38">
        <f>X96*Y14*(1-'Inputs'!$E$29*Y85)</f>
        <v>0.00035119104880541754</v>
      </c>
      <c r="Z97" s="38">
        <f>Y96*Z14*(1-'Inputs'!$E$29*Z85)</f>
        <v>0.0016822108439518038</v>
      </c>
      <c r="AA97" s="38">
        <f>Z96*AA14*(1-'Inputs'!$E$29*AA85)</f>
        <v>0.0004505909140547708</v>
      </c>
      <c r="AB97" s="38">
        <f>AA96*AB14*(1-'Inputs'!$E$29*AB85)</f>
        <v>0.00043484974528367485</v>
      </c>
      <c r="AC97" s="38">
        <f>AB96*AC14*(1-'Inputs'!$E$29*AC85)</f>
        <v>0.0004196405472469483</v>
      </c>
      <c r="AD97" s="38">
        <f>AC96*AD14*(1-'Inputs'!$E$29*AD85)</f>
        <v>0.0004049452201381542</v>
      </c>
      <c r="AE97" s="38">
        <f>AD96*AE14*(1-'Inputs'!$E$29*AE85)</f>
        <v>0.0003907463461898536</v>
      </c>
      <c r="AF97" s="38">
        <f>AE96*AF14*(1-'Inputs'!$E$29*AF85)</f>
        <v>0.00037702715504886176</v>
      </c>
      <c r="AG97" s="38">
        <f>AF96*AG14*(1-'Inputs'!$E$29*AG85)</f>
        <v>0.00036043923391481546</v>
      </c>
      <c r="AH97" s="38">
        <f>AG96*AH14*(1-'Inputs'!$E$29*AH85)</f>
        <v>0.00034448445627807293</v>
      </c>
      <c r="AI97" s="38">
        <f>AH96*AI14*(1-'Inputs'!$E$29*AI85)</f>
        <v>0.0003291400362595148</v>
      </c>
      <c r="AJ97" s="38">
        <f>AI96*AJ14*(1-'Inputs'!$E$29*AJ85)</f>
        <v>0.000314384021164247</v>
      </c>
      <c r="AK97" s="38">
        <f>AJ96*AK14*(1-'Inputs'!$E$29*AK85)</f>
        <v>0.0003026762081146945</v>
      </c>
      <c r="AL97" s="38">
        <f>AK96*AL14*(1-'Inputs'!$E$29*AL85)</f>
        <v>0.0005951570904633713</v>
      </c>
      <c r="AM97" s="38">
        <f>AL96*AM14*(1-'Inputs'!$E$29*AM85)</f>
        <v>0.00030941282115072783</v>
      </c>
      <c r="AN97" s="38">
        <f>AM96*AN14*(1-'Inputs'!$E$29*AN85)</f>
        <v>0.00029794527933134135</v>
      </c>
      <c r="AO97" s="38">
        <f>AN96*AO14*(1-'Inputs'!$E$29*AO85)</f>
        <v>0.0002868745991656872</v>
      </c>
      <c r="AP97" s="38">
        <f>AO96*AP14*(1-'Inputs'!$E$29*AP85)</f>
        <v>0.0002761874440863185</v>
      </c>
      <c r="AQ97" s="38">
        <f>AP96*AQ14*(1-'Inputs'!$E$29*AQ85)</f>
        <v>0.0002658709385380564</v>
      </c>
    </row>
    <row r="98" ht="28" customHeight="1">
      <c r="A98" s="2" t="str">
        <v>AT.U.PLUS.Y7</v>
      </c>
      <c r="B98" s="6" t="str">
        <v>Austria: not yet identity-checked: Plus annual, plan month 8</v>
      </c>
      <c r="C98" s="2" t="str">
        <v>count</v>
      </c>
      <c r="D98" s="2" t="str">
        <v>NA</v>
      </c>
      <c r="E98" s="2"/>
      <c r="F98" s="6" t="str"/>
      <c r="G98" s="2"/>
      <c r="H98" s="38">
        <f>0*H14*(1-'Inputs'!$E$29*H85)</f>
        <v>0.0</v>
      </c>
      <c r="I98" s="38">
        <f>H97*I14*(1-'Inputs'!$E$29*I85)</f>
        <v>0.0</v>
      </c>
      <c r="J98" s="38">
        <f>I97*J14*(1-'Inputs'!$E$29*J85)</f>
        <v>0.0</v>
      </c>
      <c r="K98" s="38">
        <f>J97*K14*(1-'Inputs'!$E$29*K85)</f>
        <v>0.0</v>
      </c>
      <c r="L98" s="38">
        <f>K97*L14*(1-'Inputs'!$E$29*L85)</f>
        <v>0.0</v>
      </c>
      <c r="M98" s="38">
        <f>L97*M14*(1-'Inputs'!$E$29*M85)</f>
        <v>0.0</v>
      </c>
      <c r="N98" s="38">
        <f>M97*N14*(1-'Inputs'!$E$29*N85)</f>
        <v>0.0</v>
      </c>
      <c r="O98" s="38">
        <f>N97*O14*(1-'Inputs'!$E$29*O85)</f>
        <v>0.006320884960345907</v>
      </c>
      <c r="P98" s="38">
        <f>O97*P14*(1-'Inputs'!$E$29*P85)</f>
        <v>0.000540612060899166</v>
      </c>
      <c r="Q98" s="38">
        <f>P97*Q14*(1-'Inputs'!$E$29*Q85)</f>
        <v>0.0004994336817839702</v>
      </c>
      <c r="R98" s="38">
        <f>Q97*R14*(1-'Inputs'!$E$29*R85)</f>
        <v>0.00047262725115123185</v>
      </c>
      <c r="S98" s="38">
        <f>R97*S14*(1-'Inputs'!$E$29*S85)</f>
        <v>0.0004469597981276141</v>
      </c>
      <c r="T98" s="38">
        <f>S97*T14*(1-'Inputs'!$E$29*T85)</f>
        <v>0.00042238605863136725</v>
      </c>
      <c r="U98" s="38">
        <f>T97*U14*(1-'Inputs'!$E$29*U85)</f>
        <v>0.0004074097545823053</v>
      </c>
      <c r="V98" s="38">
        <f>U97*V14*(1-'Inputs'!$E$29*V85)</f>
        <v>0.00039295179355622995</v>
      </c>
      <c r="W98" s="38">
        <f>V97*W14*(1-'Inputs'!$E$29*W85)</f>
        <v>0.0003789938603738159</v>
      </c>
      <c r="X98" s="38">
        <f>W97*X14*(1-'Inputs'!$E$29*X85)</f>
        <v>0.0003655183764093688</v>
      </c>
      <c r="Y98" s="38">
        <f>X97*Y14*(1-'Inputs'!$E$29*Y85)</f>
        <v>0.00035250845864330505</v>
      </c>
      <c r="Z98" s="38">
        <f>Y97*Z14*(1-'Inputs'!$E$29*Z85)</f>
        <v>0.00033994788213502833</v>
      </c>
      <c r="AA98" s="38">
        <f>Z97*AA14*(1-'Inputs'!$E$29*AA85)</f>
        <v>0.00162827038754248</v>
      </c>
      <c r="AB98" s="38">
        <f>AA97*AB14*(1-'Inputs'!$E$29*AB85)</f>
        <v>0.00043611938104863216</v>
      </c>
      <c r="AC98" s="38">
        <f>AB97*AC14*(1-'Inputs'!$E$29*AC85)</f>
        <v>0.00042086101266885074</v>
      </c>
      <c r="AD98" s="38">
        <f>AC97*AD14*(1-'Inputs'!$E$29*AD85)</f>
        <v>0.0004061187962801022</v>
      </c>
      <c r="AE98" s="38">
        <f>AD97*AE14*(1-'Inputs'!$E$29*AE85)</f>
        <v>0.00039187515986130705</v>
      </c>
      <c r="AF98" s="38">
        <f>AE97*AF14*(1-'Inputs'!$E$29*AF85)</f>
        <v>0.0003781131936438659</v>
      </c>
      <c r="AG98" s="38">
        <f>AF97*AG14*(1-'Inputs'!$E$29*AG85)</f>
        <v>0.0003614747849030962</v>
      </c>
      <c r="AH98" s="38">
        <f>AG97*AH14*(1-'Inputs'!$E$29*AH85)</f>
        <v>0.00034547184199801376</v>
      </c>
      <c r="AI98" s="38">
        <f>AH97*AI14*(1-'Inputs'!$E$29*AI85)</f>
        <v>0.00033008144237334317</v>
      </c>
      <c r="AJ98" s="38">
        <f>AI97*AJ14*(1-'Inputs'!$E$29*AJ85)</f>
        <v>0.0003152815084170089</v>
      </c>
      <c r="AK98" s="38">
        <f>AJ97*AK14*(1-'Inputs'!$E$29*AK85)</f>
        <v>0.00030353879316142196</v>
      </c>
      <c r="AL98" s="38">
        <f>AK97*AL14*(1-'Inputs'!$E$29*AL85)</f>
        <v>0.0002922065884569567</v>
      </c>
      <c r="AM98" s="38">
        <f>AL97*AM14*(1-'Inputs'!$E$29*AM85)</f>
        <v>0.0005745138105871997</v>
      </c>
      <c r="AN98" s="38">
        <f>AM97*AN14*(1-'Inputs'!$E$29*AN85)</f>
        <v>0.00029865063606722425</v>
      </c>
      <c r="AO98" s="38">
        <f>AN97*AO14*(1-'Inputs'!$E$29*AO85)</f>
        <v>0.00028755242457088155</v>
      </c>
      <c r="AP98" s="38">
        <f>AO97*AP14*(1-'Inputs'!$E$29*AP85)</f>
        <v>0.00027683888366586364</v>
      </c>
      <c r="AQ98" s="38">
        <f>AP97*AQ14*(1-'Inputs'!$E$29*AQ85)</f>
        <v>0.00026649707428087613</v>
      </c>
    </row>
    <row r="99" ht="28" customHeight="1">
      <c r="A99" s="2" t="str">
        <v>AT.U.PLUS.Y8</v>
      </c>
      <c r="B99" s="6" t="str">
        <v>Austria: not yet identity-checked: Plus annual, plan month 9</v>
      </c>
      <c r="C99" s="2" t="str">
        <v>count</v>
      </c>
      <c r="D99" s="2" t="str">
        <v>NA</v>
      </c>
      <c r="E99" s="2"/>
      <c r="F99" s="6" t="str"/>
      <c r="G99" s="2"/>
      <c r="H99" s="38">
        <f>0*H14*(1-'Inputs'!$E$29*H85)</f>
        <v>0.0</v>
      </c>
      <c r="I99" s="38">
        <f>H98*I14*(1-'Inputs'!$E$29*I85)</f>
        <v>0.0</v>
      </c>
      <c r="J99" s="38">
        <f>I98*J14*(1-'Inputs'!$E$29*J85)</f>
        <v>0.0</v>
      </c>
      <c r="K99" s="38">
        <f>J98*K14*(1-'Inputs'!$E$29*K85)</f>
        <v>0.0</v>
      </c>
      <c r="L99" s="38">
        <f>K98*L14*(1-'Inputs'!$E$29*L85)</f>
        <v>0.0</v>
      </c>
      <c r="M99" s="38">
        <f>L98*M14*(1-'Inputs'!$E$29*M85)</f>
        <v>0.0</v>
      </c>
      <c r="N99" s="38">
        <f>M98*N14*(1-'Inputs'!$E$29*N85)</f>
        <v>0.0</v>
      </c>
      <c r="O99" s="38">
        <f>N98*O14*(1-'Inputs'!$E$29*O85)</f>
        <v>0.0</v>
      </c>
      <c r="P99" s="38">
        <f>O98*P14*(1-'Inputs'!$E$29*P85)</f>
        <v>0.005876218053251805</v>
      </c>
      <c r="Q99" s="38">
        <f>P98*Q14*(1-'Inputs'!$E$29*Q85)</f>
        <v>0.0005013847223339216</v>
      </c>
      <c r="R99" s="38">
        <f>Q98*R14*(1-'Inputs'!$E$29*R85)</f>
        <v>0.00047446199769477166</v>
      </c>
      <c r="S99" s="38">
        <f>R98*S14*(1-'Inputs'!$E$29*S85)</f>
        <v>0.0004486849496126497</v>
      </c>
      <c r="T99" s="38">
        <f>S98*T14*(1-'Inputs'!$E$29*T85)</f>
        <v>0.0004240078084940339</v>
      </c>
      <c r="U99" s="38">
        <f>T98*U14*(1-'Inputs'!$E$29*U85)</f>
        <v>0.0004089665015602665</v>
      </c>
      <c r="V99" s="38">
        <f>U98*V14*(1-'Inputs'!$E$29*V85)</f>
        <v>0.00039444671693650464</v>
      </c>
      <c r="W99" s="38">
        <f>V98*W14*(1-'Inputs'!$E$29*W85)</f>
        <v>0.0003804299142193149</v>
      </c>
      <c r="X99" s="38">
        <f>W98*X14*(1-'Inputs'!$E$29*X85)</f>
        <v>0.00036689831163848135</v>
      </c>
      <c r="Y99" s="38">
        <f>X98*Y14*(1-'Inputs'!$E$29*Y85)</f>
        <v>0.00035383484259199794</v>
      </c>
      <c r="Z99" s="38">
        <f>Y98*Z14*(1-'Inputs'!$E$29*Z85)</f>
        <v>0.0003412231159025661</v>
      </c>
      <c r="AA99" s="38">
        <f>Z98*AA14*(1-'Inputs'!$E$29*AA85)</f>
        <v>0.0003290473793926552</v>
      </c>
      <c r="AB99" s="38">
        <f>AA98*AB14*(1-'Inputs'!$E$29*AB85)</f>
        <v>0.001575975572176152</v>
      </c>
      <c r="AC99" s="38">
        <f>AB98*AC14*(1-'Inputs'!$E$29*AC85)</f>
        <v>0.0004220898053715162</v>
      </c>
      <c r="AD99" s="38">
        <f>AC98*AD14*(1-'Inputs'!$E$29*AD85)</f>
        <v>0.00040729993559396555</v>
      </c>
      <c r="AE99" s="38">
        <f>AD98*AE14*(1-'Inputs'!$E$29*AE85)</f>
        <v>0.00039301085751956903</v>
      </c>
      <c r="AF99" s="38">
        <f>AE98*AF14*(1-'Inputs'!$E$29*AF85)</f>
        <v>0.0003792055118357159</v>
      </c>
      <c r="AG99" s="38">
        <f>AF98*AG14*(1-'Inputs'!$E$29*AG85)</f>
        <v>0.00036251602440605634</v>
      </c>
      <c r="AH99" s="38">
        <f>AG98*AH14*(1-'Inputs'!$E$29*AH85)</f>
        <v>0.0003464643912927134</v>
      </c>
      <c r="AI99" s="38">
        <f>AH98*AI14*(1-'Inputs'!$E$29*AI85)</f>
        <v>0.0003310275451558554</v>
      </c>
      <c r="AJ99" s="38">
        <f>AI98*AJ14*(1-'Inputs'!$E$29*AJ85)</f>
        <v>0.00031618327637867607</v>
      </c>
      <c r="AK99" s="38">
        <f>AJ98*AK14*(1-'Inputs'!$E$29*AK85)</f>
        <v>0.0003044053200178832</v>
      </c>
      <c r="AL99" s="38">
        <f>AK98*AL14*(1-'Inputs'!$E$29*AL85)</f>
        <v>0.00029303933654551047</v>
      </c>
      <c r="AM99" s="38">
        <f>AL98*AM14*(1-'Inputs'!$E$29*AM85)</f>
        <v>0.00028207127715203413</v>
      </c>
      <c r="AN99" s="38">
        <f>AM98*AN14*(1-'Inputs'!$E$29*AN85)</f>
        <v>0.0005545307215232971</v>
      </c>
      <c r="AO99" s="38">
        <f>AN98*AO14*(1-'Inputs'!$E$29*AO85)</f>
        <v>0.0002882331772246766</v>
      </c>
      <c r="AP99" s="38">
        <f>AO98*AP14*(1-'Inputs'!$E$29*AP85)</f>
        <v>0.00027749299674886265</v>
      </c>
      <c r="AQ99" s="38">
        <f>AP98*AQ14*(1-'Inputs'!$E$29*AQ85)</f>
        <v>0.0002671256573165527</v>
      </c>
    </row>
    <row r="100" ht="28" customHeight="1">
      <c r="A100" s="2" t="str">
        <v>AT.U.PLUS.Y9</v>
      </c>
      <c r="B100" s="6" t="str">
        <v>Austria: not yet identity-checked: Plus annual, plan month 10</v>
      </c>
      <c r="C100" s="2" t="str">
        <v>count</v>
      </c>
      <c r="D100" s="2" t="str">
        <v>NA</v>
      </c>
      <c r="E100" s="2"/>
      <c r="F100" s="6" t="str"/>
      <c r="G100" s="2"/>
      <c r="H100" s="38">
        <f>0*H14*(1-'Inputs'!$E$29*H85)</f>
        <v>0.0</v>
      </c>
      <c r="I100" s="38">
        <f>H99*I14*(1-'Inputs'!$E$29*I85)</f>
        <v>0.0</v>
      </c>
      <c r="J100" s="38">
        <f>I99*J14*(1-'Inputs'!$E$29*J85)</f>
        <v>0.0</v>
      </c>
      <c r="K100" s="38">
        <f>J99*K14*(1-'Inputs'!$E$29*K85)</f>
        <v>0.0</v>
      </c>
      <c r="L100" s="38">
        <f>K99*L14*(1-'Inputs'!$E$29*L85)</f>
        <v>0.0</v>
      </c>
      <c r="M100" s="38">
        <f>L99*M14*(1-'Inputs'!$E$29*M85)</f>
        <v>0.0</v>
      </c>
      <c r="N100" s="38">
        <f>M99*N14*(1-'Inputs'!$E$29*N85)</f>
        <v>0.0</v>
      </c>
      <c r="O100" s="38">
        <f>N99*O14*(1-'Inputs'!$E$29*O85)</f>
        <v>0.0</v>
      </c>
      <c r="P100" s="38">
        <f>O99*P14*(1-'Inputs'!$E$29*P85)</f>
        <v>0.0</v>
      </c>
      <c r="Q100" s="38">
        <f>P99*Q14*(1-'Inputs'!$E$29*Q85)</f>
        <v>0.005449833938412193</v>
      </c>
      <c r="R100" s="38">
        <f>Q99*R14*(1-'Inputs'!$E$29*R85)</f>
        <v>0.0004763154862172255</v>
      </c>
      <c r="S100" s="38">
        <f>R99*S14*(1-'Inputs'!$E$29*S85)</f>
        <v>0.00045042675175891806</v>
      </c>
      <c r="T100" s="38">
        <f>S99*T14*(1-'Inputs'!$E$29*T85)</f>
        <v>0.00042564437111902714</v>
      </c>
      <c r="U100" s="38">
        <f>T99*U14*(1-'Inputs'!$E$29*U85)</f>
        <v>0.000410536727078338</v>
      </c>
      <c r="V100" s="38">
        <f>U99*V14*(1-'Inputs'!$E$29*V85)</f>
        <v>0.0003959539310560762</v>
      </c>
      <c r="W100" s="38">
        <f>V99*W14*(1-'Inputs'!$E$29*W85)</f>
        <v>0.00038187720007638014</v>
      </c>
      <c r="X100" s="38">
        <f>W99*X14*(1-'Inputs'!$E$29*X85)</f>
        <v>0.00036828853397827293</v>
      </c>
      <c r="Y100" s="38">
        <f>X99*Y14*(1-'Inputs'!$E$29*Y85)</f>
        <v>0.0003551706691771799</v>
      </c>
      <c r="Z100" s="38">
        <f>Y99*Z14*(1-'Inputs'!$E$29*Z85)</f>
        <v>0.0003425070364802397</v>
      </c>
      <c r="AA100" s="38">
        <f>Z99*AA14*(1-'Inputs'!$E$29*AA85)</f>
        <v>0.00033028172251221215</v>
      </c>
      <c r="AB100" s="38">
        <f>AA99*AB14*(1-'Inputs'!$E$29*AB85)</f>
        <v>0.0003184794343610663</v>
      </c>
      <c r="AC100" s="38">
        <f>AB99*AC14*(1-'Inputs'!$E$29*AC85)</f>
        <v>0.0015252778285859264</v>
      </c>
      <c r="AD100" s="38">
        <f>AC99*AD14*(1-'Inputs'!$E$29*AD85)</f>
        <v>0.00040848913386510064</v>
      </c>
      <c r="AE100" s="38">
        <f>AD99*AE14*(1-'Inputs'!$E$29*AE85)</f>
        <v>0.00039415387423990655</v>
      </c>
      <c r="AF100" s="38">
        <f>AE99*AF14*(1-'Inputs'!$E$29*AF85)</f>
        <v>0.00038030449144938746</v>
      </c>
      <c r="AG100" s="38">
        <f>AF99*AG14*(1-'Inputs'!$E$29*AG85)</f>
        <v>0.0003635632844724926</v>
      </c>
      <c r="AH100" s="38">
        <f>AG99*AH14*(1-'Inputs'!$E$29*AH85)</f>
        <v>0.0003474623928841099</v>
      </c>
      <c r="AI100" s="38">
        <f>AH99*AI14*(1-'Inputs'!$E$29*AI85)</f>
        <v>0.0003319785956222853</v>
      </c>
      <c r="AJ100" s="38">
        <f>AI99*AJ14*(1-'Inputs'!$E$29*AJ85)</f>
        <v>0.0003170895432545562</v>
      </c>
      <c r="AK100" s="38">
        <f>AJ99*AK14*(1-'Inputs'!$E$29*AK85)</f>
        <v>0.00030527597991269085</v>
      </c>
      <c r="AL100" s="38">
        <f>AK99*AL14*(1-'Inputs'!$E$29*AL85)</f>
        <v>0.00029387589009595313</v>
      </c>
      <c r="AM100" s="38">
        <f>AL99*AM14*(1-'Inputs'!$E$29*AM85)</f>
        <v>0.0002828751410146686</v>
      </c>
      <c r="AN100" s="38">
        <f>AM99*AN14*(1-'Inputs'!$E$29*AN85)</f>
        <v>0.00027226010229457204</v>
      </c>
      <c r="AO100" s="38">
        <f>AN99*AO14*(1-'Inputs'!$E$29*AO85)</f>
        <v>0.0005351877157809725</v>
      </c>
      <c r="AP100" s="38">
        <f>AO99*AP14*(1-'Inputs'!$E$29*AP85)</f>
        <v>0.00027814993467671433</v>
      </c>
      <c r="AQ100" s="38">
        <f>AP99*AQ14*(1-'Inputs'!$E$29*AQ85)</f>
        <v>0.0002677568200525879</v>
      </c>
    </row>
    <row r="101" ht="28" customHeight="1">
      <c r="A101" s="2" t="str">
        <v>AT.U.PLUS.Y10</v>
      </c>
      <c r="B101" s="6" t="str">
        <v>Austria: not yet identity-checked: Plus annual, plan month 11</v>
      </c>
      <c r="C101" s="2" t="str">
        <v>count</v>
      </c>
      <c r="D101" s="2" t="str">
        <v>NA</v>
      </c>
      <c r="E101" s="2"/>
      <c r="F101" s="6" t="str"/>
      <c r="G101" s="2"/>
      <c r="H101" s="38">
        <f>0*H14*(1-'Inputs'!$E$29*H85)</f>
        <v>0.0</v>
      </c>
      <c r="I101" s="38">
        <f>H100*I14*(1-'Inputs'!$E$29*I85)</f>
        <v>0.0</v>
      </c>
      <c r="J101" s="38">
        <f>I100*J14*(1-'Inputs'!$E$29*J85)</f>
        <v>0.0</v>
      </c>
      <c r="K101" s="38">
        <f>J100*K14*(1-'Inputs'!$E$29*K85)</f>
        <v>0.0</v>
      </c>
      <c r="L101" s="38">
        <f>K100*L14*(1-'Inputs'!$E$29*L85)</f>
        <v>0.0</v>
      </c>
      <c r="M101" s="38">
        <f>L100*M14*(1-'Inputs'!$E$29*M85)</f>
        <v>0.0</v>
      </c>
      <c r="N101" s="38">
        <f>M100*N14*(1-'Inputs'!$E$29*N85)</f>
        <v>0.0</v>
      </c>
      <c r="O101" s="38">
        <f>N100*O14*(1-'Inputs'!$E$29*O85)</f>
        <v>0.0</v>
      </c>
      <c r="P101" s="38">
        <f>O100*P14*(1-'Inputs'!$E$29*P85)</f>
        <v>0.0</v>
      </c>
      <c r="Q101" s="38">
        <f>P100*Q14*(1-'Inputs'!$E$29*Q85)</f>
        <v>0.0</v>
      </c>
      <c r="R101" s="38">
        <f>Q100*R14*(1-'Inputs'!$E$29*R85)</f>
        <v>0.005177342241491583</v>
      </c>
      <c r="S101" s="38">
        <f>R100*S14*(1-'Inputs'!$E$29*S85)</f>
        <v>0.00045218634645490555</v>
      </c>
      <c r="T101" s="38">
        <f>S100*T14*(1-'Inputs'!$E$29*T85)</f>
        <v>0.0004272967293712979</v>
      </c>
      <c r="U101" s="38">
        <f>T100*U14*(1-'Inputs'!$E$29*U85)</f>
        <v>0.0004121212947449331</v>
      </c>
      <c r="V101" s="38">
        <f>U100*V14*(1-'Inputs'!$E$29*V85)</f>
        <v>0.00039747419485311816</v>
      </c>
      <c r="W101" s="38">
        <f>V100*W14*(1-'Inputs'!$E$29*W85)</f>
        <v>0.00038333638501362023</v>
      </c>
      <c r="X101" s="38">
        <f>W100*X14*(1-'Inputs'!$E$29*X85)</f>
        <v>0.0003696896298611765</v>
      </c>
      <c r="Y101" s="38">
        <f>X100*Y14*(1-'Inputs'!$E$29*Y85)</f>
        <v>0.000356516454052896</v>
      </c>
      <c r="Z101" s="38">
        <f>Y100*Z14*(1-'Inputs'!$E$29*Z85)</f>
        <v>0.00034380009739416945</v>
      </c>
      <c r="AA101" s="38">
        <f>Z100*AA14*(1-'Inputs'!$E$29*AA85)</f>
        <v>0.00033152447389744947</v>
      </c>
      <c r="AB101" s="38">
        <f>AA100*AB14*(1-'Inputs'!$E$29*AB85)</f>
        <v>0.0003196741343439367</v>
      </c>
      <c r="AC101" s="38">
        <f>AB100*AC14*(1-'Inputs'!$E$29*AC85)</f>
        <v>0.0003082342319689364</v>
      </c>
      <c r="AD101" s="38">
        <f>AC100*AD14*(1-'Inputs'!$E$29*AD85)</f>
        <v>0.0014761299874426021</v>
      </c>
      <c r="AE101" s="38">
        <f>AD100*AE14*(1-'Inputs'!$E$29*AE85)</f>
        <v>0.0003953046898056487</v>
      </c>
      <c r="AF101" s="38">
        <f>AE100*AF14*(1-'Inputs'!$E$29*AF85)</f>
        <v>0.0003814105534938043</v>
      </c>
      <c r="AG101" s="38">
        <f>AF100*AG14*(1-'Inputs'!$E$29*AG85)</f>
        <v>0.00036461693117710017</v>
      </c>
      <c r="AH101" s="38">
        <f>AG100*AH14*(1-'Inputs'!$E$29*AH85)</f>
        <v>0.0003484661650325331</v>
      </c>
      <c r="AI101" s="38">
        <f>AH100*AI14*(1-'Inputs'!$E$29*AI85)</f>
        <v>0.000332934870423007</v>
      </c>
      <c r="AJ101" s="38">
        <f>AI100*AJ14*(1-'Inputs'!$E$29*AJ85)</f>
        <v>0.00031800054949082066</v>
      </c>
      <c r="AK101" s="38">
        <f>AJ100*AK14*(1-'Inputs'!$E$29*AK85)</f>
        <v>0.0003061509835237781</v>
      </c>
      <c r="AL101" s="38">
        <f>AK100*AL14*(1-'Inputs'!$E$29*AL85)</f>
        <v>0.00029471643372226827</v>
      </c>
      <c r="AM101" s="38">
        <f>AL100*AM14*(1-'Inputs'!$E$29*AM85)</f>
        <v>0.0002836826783451084</v>
      </c>
      <c r="AN101" s="38">
        <f>AM100*AN14*(1-'Inputs'!$E$29*AN85)</f>
        <v>0.000273036005675028</v>
      </c>
      <c r="AO101" s="38">
        <f>AN100*AO14*(1-'Inputs'!$E$29*AO85)</f>
        <v>0.00026276319163176303</v>
      </c>
      <c r="AP101" s="38">
        <f>AO100*AP14*(1-'Inputs'!$E$29*AP85)</f>
        <v>0.0005164652786248122</v>
      </c>
      <c r="AQ101" s="38">
        <f>AP100*AQ14*(1-'Inputs'!$E$29*AQ85)</f>
        <v>0.0002683907085203848</v>
      </c>
    </row>
    <row r="102" ht="28" customHeight="1">
      <c r="A102" s="2" t="str">
        <v>AT.U.PLUS.Y11</v>
      </c>
      <c r="B102" s="6" t="str">
        <v>Austria: not yet identity-checked: Plus annual, plan month 12</v>
      </c>
      <c r="C102" s="2" t="str">
        <v>count</v>
      </c>
      <c r="D102" s="2" t="str">
        <v>NA</v>
      </c>
      <c r="E102" s="2"/>
      <c r="F102" s="6" t="str"/>
      <c r="G102" s="2"/>
      <c r="H102" s="38">
        <f>0*H14*(1-'Inputs'!$E$29*H85)</f>
        <v>0.0</v>
      </c>
      <c r="I102" s="38">
        <f>H101*I14*(1-'Inputs'!$E$29*I85)</f>
        <v>0.0</v>
      </c>
      <c r="J102" s="38">
        <f>I101*J14*(1-'Inputs'!$E$29*J85)</f>
        <v>0.0</v>
      </c>
      <c r="K102" s="38">
        <f>J101*K14*(1-'Inputs'!$E$29*K85)</f>
        <v>0.0</v>
      </c>
      <c r="L102" s="38">
        <f>K101*L14*(1-'Inputs'!$E$29*L85)</f>
        <v>0.0</v>
      </c>
      <c r="M102" s="38">
        <f>L101*M14*(1-'Inputs'!$E$29*M85)</f>
        <v>0.0</v>
      </c>
      <c r="N102" s="38">
        <f>M101*N14*(1-'Inputs'!$E$29*N85)</f>
        <v>0.0</v>
      </c>
      <c r="O102" s="38">
        <f>N101*O14*(1-'Inputs'!$E$29*O85)</f>
        <v>0.0</v>
      </c>
      <c r="P102" s="38">
        <f>O101*P14*(1-'Inputs'!$E$29*P85)</f>
        <v>0.0</v>
      </c>
      <c r="Q102" s="38">
        <f>P101*Q14*(1-'Inputs'!$E$29*Q85)</f>
        <v>0.0</v>
      </c>
      <c r="R102" s="38">
        <f>Q101*R14*(1-'Inputs'!$E$29*R85)</f>
        <v>0.0</v>
      </c>
      <c r="S102" s="38">
        <f>R101*S14*(1-'Inputs'!$E$29*S85)</f>
        <v>0.004915068983205497</v>
      </c>
      <c r="T102" s="38">
        <f>S101*T14*(1-'Inputs'!$E$29*T85)</f>
        <v>0.00042896596650181576</v>
      </c>
      <c r="U102" s="38">
        <f>T101*U14*(1-'Inputs'!$E$29*U85)</f>
        <v>0.000413721156198564</v>
      </c>
      <c r="V102" s="38">
        <f>U101*V14*(1-'Inputs'!$E$29*V85)</f>
        <v>0.0003990083444575943</v>
      </c>
      <c r="W102" s="38">
        <f>V101*W14*(1-'Inputs'!$E$29*W85)</f>
        <v>0.00038480820378473534</v>
      </c>
      <c r="X102" s="38">
        <f>W101*X14*(1-'Inputs'!$E$29*X85)</f>
        <v>0.000371102245066377</v>
      </c>
      <c r="Y102" s="38">
        <f>X101*Y14*(1-'Inputs'!$E$29*Y85)</f>
        <v>0.0003578727649066853</v>
      </c>
      <c r="Z102" s="38">
        <f>Y101*Z14*(1-'Inputs'!$E$29*Z85)</f>
        <v>0.0003451027977900515</v>
      </c>
      <c r="AA102" s="38">
        <f>Z101*AA14*(1-'Inputs'!$E$29*AA85)</f>
        <v>0.00033277607253207384</v>
      </c>
      <c r="AB102" s="38">
        <f>AA101*AB14*(1-'Inputs'!$E$29*AB85)</f>
        <v>0.00032087697254599854</v>
      </c>
      <c r="AC102" s="38">
        <f>AB101*AC14*(1-'Inputs'!$E$29*AC85)</f>
        <v>0.0003093904995075049</v>
      </c>
      <c r="AD102" s="38">
        <f>AC101*AD14*(1-'Inputs'!$E$29*AD85)</f>
        <v>0.0002983022400499373</v>
      </c>
      <c r="AE102" s="38">
        <f>AD101*AE14*(1-'Inputs'!$E$29*AE85)</f>
        <v>0.0014284862397135778</v>
      </c>
      <c r="AF102" s="38">
        <f>AE101*AF14*(1-'Inputs'!$E$29*AF85)</f>
        <v>0.00038252416224050366</v>
      </c>
      <c r="AG102" s="38">
        <f>AF101*AG14*(1-'Inputs'!$E$29*AG85)</f>
        <v>0.0003656773681621848</v>
      </c>
      <c r="AH102" s="38">
        <f>AG101*AH14*(1-'Inputs'!$E$29*AH85)</f>
        <v>0.00034947605861127137</v>
      </c>
      <c r="AI102" s="38">
        <f>AH101*AI14*(1-'Inputs'!$E$29*AI85)</f>
        <v>0.0003338966745117763</v>
      </c>
      <c r="AJ102" s="38">
        <f>AI101*AJ14*(1-'Inputs'!$E$29*AJ85)</f>
        <v>0.0003189165600894067</v>
      </c>
      <c r="AK102" s="38">
        <f>AJ101*AK14*(1-'Inputs'!$E$29*AK85)</f>
        <v>0.0003070305630027039</v>
      </c>
      <c r="AL102" s="38">
        <f>AK101*AL14*(1-'Inputs'!$E$29*AL85)</f>
        <v>0.0002955611708150048</v>
      </c>
      <c r="AM102" s="38">
        <f>AL101*AM14*(1-'Inputs'!$E$29*AM85)</f>
        <v>0.00028449406735392137</v>
      </c>
      <c r="AN102" s="38">
        <f>AM101*AN14*(1-'Inputs'!$E$29*AN85)</f>
        <v>0.0002738154547504959</v>
      </c>
      <c r="AO102" s="38">
        <f>AN101*AO14*(1-'Inputs'!$E$29*AO85)</f>
        <v>0.0002635120301392352</v>
      </c>
      <c r="AP102" s="38">
        <f>AO101*AP14*(1-'Inputs'!$E$29*AP85)</f>
        <v>0.00025357096393816036</v>
      </c>
      <c r="AQ102" s="38">
        <f>AP101*AQ14*(1-'Inputs'!$E$29*AQ85)</f>
        <v>0.0004983444710040967</v>
      </c>
    </row>
    <row r="103" ht="28" customHeight="1">
      <c r="A103" s="2" t="str">
        <v>AT.U.PRO.Y0</v>
      </c>
      <c r="B103" s="6" t="str">
        <v>Austria: not yet identity-checked: Pro annual, plan month 1</v>
      </c>
      <c r="C103" s="2" t="str">
        <v>count</v>
      </c>
      <c r="D103" s="2" t="str">
        <v>NA</v>
      </c>
      <c r="E103" s="2"/>
      <c r="F103" s="6" t="str"/>
      <c r="G103" s="2"/>
      <c r="H103" s="38">
        <f>(H88*'Inputs'!$E$19*'Inputs'!$E$22+0*H14*'Inputs'!$E$24)*(1-'Inputs'!$E$29*H85)* (1-H85)</f>
        <v>0.0</v>
      </c>
      <c r="I103" s="38">
        <f>(I88*'Inputs'!$E$19*'Inputs'!$E$22+H114*I14*'Inputs'!$E$24)*(1-'Inputs'!$E$29*I85)* (1-I85)</f>
        <v>0.0</v>
      </c>
      <c r="J103" s="38">
        <f>(J88*'Inputs'!$E$19*'Inputs'!$E$22+I114*J14*'Inputs'!$E$24)*(1-'Inputs'!$E$29*J85)* (1-J85)</f>
        <v>0.0</v>
      </c>
      <c r="K103" s="38">
        <f>(K88*'Inputs'!$E$19*'Inputs'!$E$22+J114*K14*'Inputs'!$E$24)*(1-'Inputs'!$E$29*K85)* (1-K85)</f>
        <v>0.0</v>
      </c>
      <c r="L103" s="38">
        <f>(L88*'Inputs'!$E$19*'Inputs'!$E$22+K114*L14*'Inputs'!$E$24)*(1-'Inputs'!$E$29*L85)* (1-L85)</f>
        <v>0.0</v>
      </c>
      <c r="M103" s="38">
        <f>(M88*'Inputs'!$E$19*'Inputs'!$E$22+L114*M14*'Inputs'!$E$24)*(1-'Inputs'!$E$29*M85)* (1-M85)</f>
        <v>0.0</v>
      </c>
      <c r="N103" s="38">
        <f>(N88*'Inputs'!$E$19*'Inputs'!$E$22+M114*N14*'Inputs'!$E$24)*(1-'Inputs'!$E$29*N85)* (1-N85)</f>
        <v>0.0</v>
      </c>
      <c r="O103" s="38">
        <f>(O88*'Inputs'!$E$19*'Inputs'!$E$22+N114*O14*'Inputs'!$E$24)*(1-'Inputs'!$E$29*O85)* (1-O85)</f>
        <v>0.0</v>
      </c>
      <c r="P103" s="38">
        <f>(P88*'Inputs'!$E$19*'Inputs'!$E$22+O114*P14*'Inputs'!$E$24)*(1-'Inputs'!$E$29*P85)* (1-P85)</f>
        <v>0.0</v>
      </c>
      <c r="Q103" s="38">
        <f>(Q88*'Inputs'!$E$19*'Inputs'!$E$22+P114*Q14*'Inputs'!$E$24)*(1-'Inputs'!$E$29*Q85)* (1-Q85)</f>
        <v>0.0</v>
      </c>
      <c r="R103" s="38">
        <f>(R88*'Inputs'!$E$19*'Inputs'!$E$22+Q114*R14*'Inputs'!$E$24)*(1-'Inputs'!$E$29*R85)* (1-R85)</f>
        <v>0.0</v>
      </c>
      <c r="S103" s="38">
        <f>(S88*'Inputs'!$E$19*'Inputs'!$E$22+R114*S14*'Inputs'!$E$24)*(1-'Inputs'!$E$29*S85)* (1-S85)</f>
        <v>0.0</v>
      </c>
      <c r="T103" s="38">
        <f>(T88*'Inputs'!$E$19*'Inputs'!$E$22+S114*T14*'Inputs'!$E$24)*(1-'Inputs'!$E$29*T85)* (1-T85)</f>
        <v>0.0</v>
      </c>
      <c r="U103" s="38">
        <f>(U88*'Inputs'!$E$19*'Inputs'!$E$22+T114*U14*'Inputs'!$E$24)*(1-'Inputs'!$E$29*U85)* (1-U85)</f>
        <v>0.0</v>
      </c>
      <c r="V103" s="38">
        <f>(V88*'Inputs'!$E$19*'Inputs'!$E$22+U114*V14*'Inputs'!$E$24)*(1-'Inputs'!$E$29*V85)* (1-V85)</f>
        <v>0.0</v>
      </c>
      <c r="W103" s="38">
        <f>(W88*'Inputs'!$E$19*'Inputs'!$E$22+V114*W14*'Inputs'!$E$24)*(1-'Inputs'!$E$29*W85)* (1-W85)</f>
        <v>0.0</v>
      </c>
      <c r="X103" s="38">
        <f>(X88*'Inputs'!$E$19*'Inputs'!$E$22+W114*X14*'Inputs'!$E$24)*(1-'Inputs'!$E$29*X85)* (1-X85)</f>
        <v>0.0</v>
      </c>
      <c r="Y103" s="38">
        <f>(Y88*'Inputs'!$E$19*'Inputs'!$E$22+X114*Y14*'Inputs'!$E$24)*(1-'Inputs'!$E$29*Y85)* (1-Y85)</f>
        <v>0.0</v>
      </c>
      <c r="Z103" s="38">
        <f>(Z88*'Inputs'!$E$19*'Inputs'!$E$22+Y114*Z14*'Inputs'!$E$24)*(1-'Inputs'!$E$29*Z85)* (1-Z85)</f>
        <v>0.0</v>
      </c>
      <c r="AA103" s="38">
        <f>(AA88*'Inputs'!$E$19*'Inputs'!$E$22+Z114*AA14*'Inputs'!$E$24)*(1-'Inputs'!$E$29*AA85)* (1-AA85)</f>
        <v>0.0</v>
      </c>
      <c r="AB103" s="38">
        <f>(AB88*'Inputs'!$E$19*'Inputs'!$E$22+AA114*AB14*'Inputs'!$E$24)*(1-'Inputs'!$E$29*AB85)* (1-AB85)</f>
        <v>0.0</v>
      </c>
      <c r="AC103" s="38">
        <f>(AC88*'Inputs'!$E$19*'Inputs'!$E$22+AB114*AC14*'Inputs'!$E$24)*(1-'Inputs'!$E$29*AC85)* (1-AC85)</f>
        <v>0.0</v>
      </c>
      <c r="AD103" s="38">
        <f>(AD88*'Inputs'!$E$19*'Inputs'!$E$22+AC114*AD14*'Inputs'!$E$24)*(1-'Inputs'!$E$29*AD85)* (1-AD85)</f>
        <v>0.0</v>
      </c>
      <c r="AE103" s="38">
        <f>(AE88*'Inputs'!$E$19*'Inputs'!$E$22+AD114*AE14*'Inputs'!$E$24)*(1-'Inputs'!$E$29*AE85)* (1-AE85)</f>
        <v>0.0</v>
      </c>
      <c r="AF103" s="38">
        <f>(AF88*'Inputs'!$E$19*'Inputs'!$E$22+AE114*AF14*'Inputs'!$E$24)*(1-'Inputs'!$E$29*AF85)* (1-AF85)</f>
        <v>0.0</v>
      </c>
      <c r="AG103" s="38">
        <f>(AG88*'Inputs'!$E$19*'Inputs'!$E$22+AF114*AG14*'Inputs'!$E$24)*(1-'Inputs'!$E$29*AG85)* (1-AG85)</f>
        <v>0.0</v>
      </c>
      <c r="AH103" s="38">
        <f>(AH88*'Inputs'!$E$19*'Inputs'!$E$22+AG114*AH14*'Inputs'!$E$24)*(1-'Inputs'!$E$29*AH85)* (1-AH85)</f>
        <v>0.0</v>
      </c>
      <c r="AI103" s="38">
        <f>(AI88*'Inputs'!$E$19*'Inputs'!$E$22+AH114*AI14*'Inputs'!$E$24)*(1-'Inputs'!$E$29*AI85)* (1-AI85)</f>
        <v>0.0</v>
      </c>
      <c r="AJ103" s="38">
        <f>(AJ88*'Inputs'!$E$19*'Inputs'!$E$22+AI114*AJ14*'Inputs'!$E$24)*(1-'Inputs'!$E$29*AJ85)* (1-AJ85)</f>
        <v>0.0</v>
      </c>
      <c r="AK103" s="38">
        <f>(AK88*'Inputs'!$E$19*'Inputs'!$E$22+AJ114*AK14*'Inputs'!$E$24)*(1-'Inputs'!$E$29*AK85)* (1-AK85)</f>
        <v>0.0</v>
      </c>
      <c r="AL103" s="38">
        <f>(AL88*'Inputs'!$E$19*'Inputs'!$E$22+AK114*AL14*'Inputs'!$E$24)*(1-'Inputs'!$E$29*AL85)* (1-AL85)</f>
        <v>0.0</v>
      </c>
      <c r="AM103" s="38">
        <f>(AM88*'Inputs'!$E$19*'Inputs'!$E$22+AL114*AM14*'Inputs'!$E$24)*(1-'Inputs'!$E$29*AM85)* (1-AM85)</f>
        <v>0.0</v>
      </c>
      <c r="AN103" s="38">
        <f>(AN88*'Inputs'!$E$19*'Inputs'!$E$22+AM114*AN14*'Inputs'!$E$24)*(1-'Inputs'!$E$29*AN85)* (1-AN85)</f>
        <v>0.0</v>
      </c>
      <c r="AO103" s="38">
        <f>(AO88*'Inputs'!$E$19*'Inputs'!$E$22+AN114*AO14*'Inputs'!$E$24)*(1-'Inputs'!$E$29*AO85)* (1-AO85)</f>
        <v>0.0</v>
      </c>
      <c r="AP103" s="38">
        <f>(AP88*'Inputs'!$E$19*'Inputs'!$E$22+AO114*AP14*'Inputs'!$E$24)*(1-'Inputs'!$E$29*AP85)* (1-AP85)</f>
        <v>0.0</v>
      </c>
      <c r="AQ103" s="38">
        <f>(AQ88*'Inputs'!$E$19*'Inputs'!$E$22+AP114*AQ14*'Inputs'!$E$24)*(1-'Inputs'!$E$29*AQ85)* (1-AQ85)</f>
        <v>0.0</v>
      </c>
    </row>
    <row r="104" ht="28" customHeight="1">
      <c r="A104" s="2" t="str">
        <v>AT.U.PRO.Y1</v>
      </c>
      <c r="B104" s="6" t="str">
        <v>Austria: not yet identity-checked: Pro annual, plan month 2</v>
      </c>
      <c r="C104" s="2" t="str">
        <v>count</v>
      </c>
      <c r="D104" s="2" t="str">
        <v>NA</v>
      </c>
      <c r="E104" s="2"/>
      <c r="F104" s="6" t="str"/>
      <c r="G104" s="2"/>
      <c r="H104" s="38">
        <f>0*H14*(1-'Inputs'!$E$29*H85)* (1-H85)</f>
        <v>0.0</v>
      </c>
      <c r="I104" s="38">
        <f>H103*I14*(1-'Inputs'!$E$29*I85)* (1-I85)</f>
        <v>0.0</v>
      </c>
      <c r="J104" s="38">
        <f>I103*J14*(1-'Inputs'!$E$29*J85)* (1-J85)</f>
        <v>0.0</v>
      </c>
      <c r="K104" s="38">
        <f>J103*K14*(1-'Inputs'!$E$29*K85)* (1-K85)</f>
        <v>0.0</v>
      </c>
      <c r="L104" s="38">
        <f>K103*L14*(1-'Inputs'!$E$29*L85)* (1-L85)</f>
        <v>0.0</v>
      </c>
      <c r="M104" s="38">
        <f>L103*M14*(1-'Inputs'!$E$29*M85)* (1-M85)</f>
        <v>0.0</v>
      </c>
      <c r="N104" s="38">
        <f>M103*N14*(1-'Inputs'!$E$29*N85)* (1-N85)</f>
        <v>0.0</v>
      </c>
      <c r="O104" s="38">
        <f>N103*O14*(1-'Inputs'!$E$29*O85)* (1-O85)</f>
        <v>0.0</v>
      </c>
      <c r="P104" s="38">
        <f>O103*P14*(1-'Inputs'!$E$29*P85)* (1-P85)</f>
        <v>0.0</v>
      </c>
      <c r="Q104" s="38">
        <f>P103*Q14*(1-'Inputs'!$E$29*Q85)* (1-Q85)</f>
        <v>0.0</v>
      </c>
      <c r="R104" s="38">
        <f>Q103*R14*(1-'Inputs'!$E$29*R85)* (1-R85)</f>
        <v>0.0</v>
      </c>
      <c r="S104" s="38">
        <f>R103*S14*(1-'Inputs'!$E$29*S85)* (1-S85)</f>
        <v>0.0</v>
      </c>
      <c r="T104" s="38">
        <f>S103*T14*(1-'Inputs'!$E$29*T85)* (1-T85)</f>
        <v>0.0</v>
      </c>
      <c r="U104" s="38">
        <f>T103*U14*(1-'Inputs'!$E$29*U85)* (1-U85)</f>
        <v>0.0</v>
      </c>
      <c r="V104" s="38">
        <f>U103*V14*(1-'Inputs'!$E$29*V85)* (1-V85)</f>
        <v>0.0</v>
      </c>
      <c r="W104" s="38">
        <f>V103*W14*(1-'Inputs'!$E$29*W85)* (1-W85)</f>
        <v>0.0</v>
      </c>
      <c r="X104" s="38">
        <f>W103*X14*(1-'Inputs'!$E$29*X85)* (1-X85)</f>
        <v>0.0</v>
      </c>
      <c r="Y104" s="38">
        <f>X103*Y14*(1-'Inputs'!$E$29*Y85)* (1-Y85)</f>
        <v>0.0</v>
      </c>
      <c r="Z104" s="38">
        <f>Y103*Z14*(1-'Inputs'!$E$29*Z85)* (1-Z85)</f>
        <v>0.0</v>
      </c>
      <c r="AA104" s="38">
        <f>Z103*AA14*(1-'Inputs'!$E$29*AA85)* (1-AA85)</f>
        <v>0.0</v>
      </c>
      <c r="AB104" s="38">
        <f>AA103*AB14*(1-'Inputs'!$E$29*AB85)* (1-AB85)</f>
        <v>0.0</v>
      </c>
      <c r="AC104" s="38">
        <f>AB103*AC14*(1-'Inputs'!$E$29*AC85)* (1-AC85)</f>
        <v>0.0</v>
      </c>
      <c r="AD104" s="38">
        <f>AC103*AD14*(1-'Inputs'!$E$29*AD85)* (1-AD85)</f>
        <v>0.0</v>
      </c>
      <c r="AE104" s="38">
        <f>AD103*AE14*(1-'Inputs'!$E$29*AE85)* (1-AE85)</f>
        <v>0.0</v>
      </c>
      <c r="AF104" s="38">
        <f>AE103*AF14*(1-'Inputs'!$E$29*AF85)* (1-AF85)</f>
        <v>0.0</v>
      </c>
      <c r="AG104" s="38">
        <f>AF103*AG14*(1-'Inputs'!$E$29*AG85)* (1-AG85)</f>
        <v>0.0</v>
      </c>
      <c r="AH104" s="38">
        <f>AG103*AH14*(1-'Inputs'!$E$29*AH85)* (1-AH85)</f>
        <v>0.0</v>
      </c>
      <c r="AI104" s="38">
        <f>AH103*AI14*(1-'Inputs'!$E$29*AI85)* (1-AI85)</f>
        <v>0.0</v>
      </c>
      <c r="AJ104" s="38">
        <f>AI103*AJ14*(1-'Inputs'!$E$29*AJ85)* (1-AJ85)</f>
        <v>0.0</v>
      </c>
      <c r="AK104" s="38">
        <f>AJ103*AK14*(1-'Inputs'!$E$29*AK85)* (1-AK85)</f>
        <v>0.0</v>
      </c>
      <c r="AL104" s="38">
        <f>AK103*AL14*(1-'Inputs'!$E$29*AL85)* (1-AL85)</f>
        <v>0.0</v>
      </c>
      <c r="AM104" s="38">
        <f>AL103*AM14*(1-'Inputs'!$E$29*AM85)* (1-AM85)</f>
        <v>0.0</v>
      </c>
      <c r="AN104" s="38">
        <f>AM103*AN14*(1-'Inputs'!$E$29*AN85)* (1-AN85)</f>
        <v>0.0</v>
      </c>
      <c r="AO104" s="38">
        <f>AN103*AO14*(1-'Inputs'!$E$29*AO85)* (1-AO85)</f>
        <v>0.0</v>
      </c>
      <c r="AP104" s="38">
        <f>AO103*AP14*(1-'Inputs'!$E$29*AP85)* (1-AP85)</f>
        <v>0.0</v>
      </c>
      <c r="AQ104" s="38">
        <f>AP103*AQ14*(1-'Inputs'!$E$29*AQ85)* (1-AQ85)</f>
        <v>0.0</v>
      </c>
    </row>
    <row r="105" ht="28" customHeight="1">
      <c r="A105" s="2" t="str">
        <v>AT.U.PRO.Y2</v>
      </c>
      <c r="B105" s="6" t="str">
        <v>Austria: not yet identity-checked: Pro annual, plan month 3</v>
      </c>
      <c r="C105" s="2" t="str">
        <v>count</v>
      </c>
      <c r="D105" s="2" t="str">
        <v>NA</v>
      </c>
      <c r="E105" s="2"/>
      <c r="F105" s="6" t="str"/>
      <c r="G105" s="2"/>
      <c r="H105" s="38">
        <f>0*H14*(1-'Inputs'!$E$29*H85)* (1-H85)</f>
        <v>0.0</v>
      </c>
      <c r="I105" s="38">
        <f>H104*I14*(1-'Inputs'!$E$29*I85)* (1-I85)</f>
        <v>0.0</v>
      </c>
      <c r="J105" s="38">
        <f>I104*J14*(1-'Inputs'!$E$29*J85)* (1-J85)</f>
        <v>0.0</v>
      </c>
      <c r="K105" s="38">
        <f>J104*K14*(1-'Inputs'!$E$29*K85)* (1-K85)</f>
        <v>0.0</v>
      </c>
      <c r="L105" s="38">
        <f>K104*L14*(1-'Inputs'!$E$29*L85)* (1-L85)</f>
        <v>0.0</v>
      </c>
      <c r="M105" s="38">
        <f>L104*M14*(1-'Inputs'!$E$29*M85)* (1-M85)</f>
        <v>0.0</v>
      </c>
      <c r="N105" s="38">
        <f>M104*N14*(1-'Inputs'!$E$29*N85)* (1-N85)</f>
        <v>0.0</v>
      </c>
      <c r="O105" s="38">
        <f>N104*O14*(1-'Inputs'!$E$29*O85)* (1-O85)</f>
        <v>0.0</v>
      </c>
      <c r="P105" s="38">
        <f>O104*P14*(1-'Inputs'!$E$29*P85)* (1-P85)</f>
        <v>0.0</v>
      </c>
      <c r="Q105" s="38">
        <f>P104*Q14*(1-'Inputs'!$E$29*Q85)* (1-Q85)</f>
        <v>0.0</v>
      </c>
      <c r="R105" s="38">
        <f>Q104*R14*(1-'Inputs'!$E$29*R85)* (1-R85)</f>
        <v>0.0</v>
      </c>
      <c r="S105" s="38">
        <f>R104*S14*(1-'Inputs'!$E$29*S85)* (1-S85)</f>
        <v>0.0</v>
      </c>
      <c r="T105" s="38">
        <f>S104*T14*(1-'Inputs'!$E$29*T85)* (1-T85)</f>
        <v>0.0</v>
      </c>
      <c r="U105" s="38">
        <f>T104*U14*(1-'Inputs'!$E$29*U85)* (1-U85)</f>
        <v>0.0</v>
      </c>
      <c r="V105" s="38">
        <f>U104*V14*(1-'Inputs'!$E$29*V85)* (1-V85)</f>
        <v>0.0</v>
      </c>
      <c r="W105" s="38">
        <f>V104*W14*(1-'Inputs'!$E$29*W85)* (1-W85)</f>
        <v>0.0</v>
      </c>
      <c r="X105" s="38">
        <f>W104*X14*(1-'Inputs'!$E$29*X85)* (1-X85)</f>
        <v>0.0</v>
      </c>
      <c r="Y105" s="38">
        <f>X104*Y14*(1-'Inputs'!$E$29*Y85)* (1-Y85)</f>
        <v>0.0</v>
      </c>
      <c r="Z105" s="38">
        <f>Y104*Z14*(1-'Inputs'!$E$29*Z85)* (1-Z85)</f>
        <v>0.0</v>
      </c>
      <c r="AA105" s="38">
        <f>Z104*AA14*(1-'Inputs'!$E$29*AA85)* (1-AA85)</f>
        <v>0.0</v>
      </c>
      <c r="AB105" s="38">
        <f>AA104*AB14*(1-'Inputs'!$E$29*AB85)* (1-AB85)</f>
        <v>0.0</v>
      </c>
      <c r="AC105" s="38">
        <f>AB104*AC14*(1-'Inputs'!$E$29*AC85)* (1-AC85)</f>
        <v>0.0</v>
      </c>
      <c r="AD105" s="38">
        <f>AC104*AD14*(1-'Inputs'!$E$29*AD85)* (1-AD85)</f>
        <v>0.0</v>
      </c>
      <c r="AE105" s="38">
        <f>AD104*AE14*(1-'Inputs'!$E$29*AE85)* (1-AE85)</f>
        <v>0.0</v>
      </c>
      <c r="AF105" s="38">
        <f>AE104*AF14*(1-'Inputs'!$E$29*AF85)* (1-AF85)</f>
        <v>0.0</v>
      </c>
      <c r="AG105" s="38">
        <f>AF104*AG14*(1-'Inputs'!$E$29*AG85)* (1-AG85)</f>
        <v>0.0</v>
      </c>
      <c r="AH105" s="38">
        <f>AG104*AH14*(1-'Inputs'!$E$29*AH85)* (1-AH85)</f>
        <v>0.0</v>
      </c>
      <c r="AI105" s="38">
        <f>AH104*AI14*(1-'Inputs'!$E$29*AI85)* (1-AI85)</f>
        <v>0.0</v>
      </c>
      <c r="AJ105" s="38">
        <f>AI104*AJ14*(1-'Inputs'!$E$29*AJ85)* (1-AJ85)</f>
        <v>0.0</v>
      </c>
      <c r="AK105" s="38">
        <f>AJ104*AK14*(1-'Inputs'!$E$29*AK85)* (1-AK85)</f>
        <v>0.0</v>
      </c>
      <c r="AL105" s="38">
        <f>AK104*AL14*(1-'Inputs'!$E$29*AL85)* (1-AL85)</f>
        <v>0.0</v>
      </c>
      <c r="AM105" s="38">
        <f>AL104*AM14*(1-'Inputs'!$E$29*AM85)* (1-AM85)</f>
        <v>0.0</v>
      </c>
      <c r="AN105" s="38">
        <f>AM104*AN14*(1-'Inputs'!$E$29*AN85)* (1-AN85)</f>
        <v>0.0</v>
      </c>
      <c r="AO105" s="38">
        <f>AN104*AO14*(1-'Inputs'!$E$29*AO85)* (1-AO85)</f>
        <v>0.0</v>
      </c>
      <c r="AP105" s="38">
        <f>AO104*AP14*(1-'Inputs'!$E$29*AP85)* (1-AP85)</f>
        <v>0.0</v>
      </c>
      <c r="AQ105" s="38">
        <f>AP104*AQ14*(1-'Inputs'!$E$29*AQ85)* (1-AQ85)</f>
        <v>0.0</v>
      </c>
    </row>
    <row r="106" ht="28" customHeight="1">
      <c r="A106" s="2" t="str">
        <v>AT.U.PRO.Y3</v>
      </c>
      <c r="B106" s="6" t="str">
        <v>Austria: not yet identity-checked: Pro annual, plan month 4</v>
      </c>
      <c r="C106" s="2" t="str">
        <v>count</v>
      </c>
      <c r="D106" s="2" t="str">
        <v>NA</v>
      </c>
      <c r="E106" s="2"/>
      <c r="F106" s="6" t="str"/>
      <c r="G106" s="2"/>
      <c r="H106" s="38">
        <f>0*H14*(1-'Inputs'!$E$29*H85)* (1-H85)</f>
        <v>0.0</v>
      </c>
      <c r="I106" s="38">
        <f>H105*I14*(1-'Inputs'!$E$29*I85)* (1-I85)</f>
        <v>0.0</v>
      </c>
      <c r="J106" s="38">
        <f>I105*J14*(1-'Inputs'!$E$29*J85)* (1-J85)</f>
        <v>0.0</v>
      </c>
      <c r="K106" s="38">
        <f>J105*K14*(1-'Inputs'!$E$29*K85)* (1-K85)</f>
        <v>0.0</v>
      </c>
      <c r="L106" s="38">
        <f>K105*L14*(1-'Inputs'!$E$29*L85)* (1-L85)</f>
        <v>0.0</v>
      </c>
      <c r="M106" s="38">
        <f>L105*M14*(1-'Inputs'!$E$29*M85)* (1-M85)</f>
        <v>0.0</v>
      </c>
      <c r="N106" s="38">
        <f>M105*N14*(1-'Inputs'!$E$29*N85)* (1-N85)</f>
        <v>0.0</v>
      </c>
      <c r="O106" s="38">
        <f>N105*O14*(1-'Inputs'!$E$29*O85)* (1-O85)</f>
        <v>0.0</v>
      </c>
      <c r="P106" s="38">
        <f>O105*P14*(1-'Inputs'!$E$29*P85)* (1-P85)</f>
        <v>0.0</v>
      </c>
      <c r="Q106" s="38">
        <f>P105*Q14*(1-'Inputs'!$E$29*Q85)* (1-Q85)</f>
        <v>0.0</v>
      </c>
      <c r="R106" s="38">
        <f>Q105*R14*(1-'Inputs'!$E$29*R85)* (1-R85)</f>
        <v>0.0</v>
      </c>
      <c r="S106" s="38">
        <f>R105*S14*(1-'Inputs'!$E$29*S85)* (1-S85)</f>
        <v>0.0</v>
      </c>
      <c r="T106" s="38">
        <f>S105*T14*(1-'Inputs'!$E$29*T85)* (1-T85)</f>
        <v>0.0</v>
      </c>
      <c r="U106" s="38">
        <f>T105*U14*(1-'Inputs'!$E$29*U85)* (1-U85)</f>
        <v>0.0</v>
      </c>
      <c r="V106" s="38">
        <f>U105*V14*(1-'Inputs'!$E$29*V85)* (1-V85)</f>
        <v>0.0</v>
      </c>
      <c r="W106" s="38">
        <f>V105*W14*(1-'Inputs'!$E$29*W85)* (1-W85)</f>
        <v>0.0</v>
      </c>
      <c r="X106" s="38">
        <f>W105*X14*(1-'Inputs'!$E$29*X85)* (1-X85)</f>
        <v>0.0</v>
      </c>
      <c r="Y106" s="38">
        <f>X105*Y14*(1-'Inputs'!$E$29*Y85)* (1-Y85)</f>
        <v>0.0</v>
      </c>
      <c r="Z106" s="38">
        <f>Y105*Z14*(1-'Inputs'!$E$29*Z85)* (1-Z85)</f>
        <v>0.0</v>
      </c>
      <c r="AA106" s="38">
        <f>Z105*AA14*(1-'Inputs'!$E$29*AA85)* (1-AA85)</f>
        <v>0.0</v>
      </c>
      <c r="AB106" s="38">
        <f>AA105*AB14*(1-'Inputs'!$E$29*AB85)* (1-AB85)</f>
        <v>0.0</v>
      </c>
      <c r="AC106" s="38">
        <f>AB105*AC14*(1-'Inputs'!$E$29*AC85)* (1-AC85)</f>
        <v>0.0</v>
      </c>
      <c r="AD106" s="38">
        <f>AC105*AD14*(1-'Inputs'!$E$29*AD85)* (1-AD85)</f>
        <v>0.0</v>
      </c>
      <c r="AE106" s="38">
        <f>AD105*AE14*(1-'Inputs'!$E$29*AE85)* (1-AE85)</f>
        <v>0.0</v>
      </c>
      <c r="AF106" s="38">
        <f>AE105*AF14*(1-'Inputs'!$E$29*AF85)* (1-AF85)</f>
        <v>0.0</v>
      </c>
      <c r="AG106" s="38">
        <f>AF105*AG14*(1-'Inputs'!$E$29*AG85)* (1-AG85)</f>
        <v>0.0</v>
      </c>
      <c r="AH106" s="38">
        <f>AG105*AH14*(1-'Inputs'!$E$29*AH85)* (1-AH85)</f>
        <v>0.0</v>
      </c>
      <c r="AI106" s="38">
        <f>AH105*AI14*(1-'Inputs'!$E$29*AI85)* (1-AI85)</f>
        <v>0.0</v>
      </c>
      <c r="AJ106" s="38">
        <f>AI105*AJ14*(1-'Inputs'!$E$29*AJ85)* (1-AJ85)</f>
        <v>0.0</v>
      </c>
      <c r="AK106" s="38">
        <f>AJ105*AK14*(1-'Inputs'!$E$29*AK85)* (1-AK85)</f>
        <v>0.0</v>
      </c>
      <c r="AL106" s="38">
        <f>AK105*AL14*(1-'Inputs'!$E$29*AL85)* (1-AL85)</f>
        <v>0.0</v>
      </c>
      <c r="AM106" s="38">
        <f>AL105*AM14*(1-'Inputs'!$E$29*AM85)* (1-AM85)</f>
        <v>0.0</v>
      </c>
      <c r="AN106" s="38">
        <f>AM105*AN14*(1-'Inputs'!$E$29*AN85)* (1-AN85)</f>
        <v>0.0</v>
      </c>
      <c r="AO106" s="38">
        <f>AN105*AO14*(1-'Inputs'!$E$29*AO85)* (1-AO85)</f>
        <v>0.0</v>
      </c>
      <c r="AP106" s="38">
        <f>AO105*AP14*(1-'Inputs'!$E$29*AP85)* (1-AP85)</f>
        <v>0.0</v>
      </c>
      <c r="AQ106" s="38">
        <f>AP105*AQ14*(1-'Inputs'!$E$29*AQ85)* (1-AQ85)</f>
        <v>0.0</v>
      </c>
    </row>
    <row r="107" ht="28" customHeight="1">
      <c r="A107" s="2" t="str">
        <v>AT.U.PRO.Y4</v>
      </c>
      <c r="B107" s="6" t="str">
        <v>Austria: not yet identity-checked: Pro annual, plan month 5</v>
      </c>
      <c r="C107" s="2" t="str">
        <v>count</v>
      </c>
      <c r="D107" s="2" t="str">
        <v>NA</v>
      </c>
      <c r="E107" s="2"/>
      <c r="F107" s="6" t="str"/>
      <c r="G107" s="2"/>
      <c r="H107" s="38">
        <f>0*H14*(1-'Inputs'!$E$29*H85)* (1-H85)</f>
        <v>0.0</v>
      </c>
      <c r="I107" s="38">
        <f>H106*I14*(1-'Inputs'!$E$29*I85)* (1-I85)</f>
        <v>0.0</v>
      </c>
      <c r="J107" s="38">
        <f>I106*J14*(1-'Inputs'!$E$29*J85)* (1-J85)</f>
        <v>0.0</v>
      </c>
      <c r="K107" s="38">
        <f>J106*K14*(1-'Inputs'!$E$29*K85)* (1-K85)</f>
        <v>0.0</v>
      </c>
      <c r="L107" s="38">
        <f>K106*L14*(1-'Inputs'!$E$29*L85)* (1-L85)</f>
        <v>0.0</v>
      </c>
      <c r="M107" s="38">
        <f>L106*M14*(1-'Inputs'!$E$29*M85)* (1-M85)</f>
        <v>0.0</v>
      </c>
      <c r="N107" s="38">
        <f>M106*N14*(1-'Inputs'!$E$29*N85)* (1-N85)</f>
        <v>0.0</v>
      </c>
      <c r="O107" s="38">
        <f>N106*O14*(1-'Inputs'!$E$29*O85)* (1-O85)</f>
        <v>0.0</v>
      </c>
      <c r="P107" s="38">
        <f>O106*P14*(1-'Inputs'!$E$29*P85)* (1-P85)</f>
        <v>0.0</v>
      </c>
      <c r="Q107" s="38">
        <f>P106*Q14*(1-'Inputs'!$E$29*Q85)* (1-Q85)</f>
        <v>0.0</v>
      </c>
      <c r="R107" s="38">
        <f>Q106*R14*(1-'Inputs'!$E$29*R85)* (1-R85)</f>
        <v>0.0</v>
      </c>
      <c r="S107" s="38">
        <f>R106*S14*(1-'Inputs'!$E$29*S85)* (1-S85)</f>
        <v>0.0</v>
      </c>
      <c r="T107" s="38">
        <f>S106*T14*(1-'Inputs'!$E$29*T85)* (1-T85)</f>
        <v>0.0</v>
      </c>
      <c r="U107" s="38">
        <f>T106*U14*(1-'Inputs'!$E$29*U85)* (1-U85)</f>
        <v>0.0</v>
      </c>
      <c r="V107" s="38">
        <f>U106*V14*(1-'Inputs'!$E$29*V85)* (1-V85)</f>
        <v>0.0</v>
      </c>
      <c r="W107" s="38">
        <f>V106*W14*(1-'Inputs'!$E$29*W85)* (1-W85)</f>
        <v>0.0</v>
      </c>
      <c r="X107" s="38">
        <f>W106*X14*(1-'Inputs'!$E$29*X85)* (1-X85)</f>
        <v>0.0</v>
      </c>
      <c r="Y107" s="38">
        <f>X106*Y14*(1-'Inputs'!$E$29*Y85)* (1-Y85)</f>
        <v>0.0</v>
      </c>
      <c r="Z107" s="38">
        <f>Y106*Z14*(1-'Inputs'!$E$29*Z85)* (1-Z85)</f>
        <v>0.0</v>
      </c>
      <c r="AA107" s="38">
        <f>Z106*AA14*(1-'Inputs'!$E$29*AA85)* (1-AA85)</f>
        <v>0.0</v>
      </c>
      <c r="AB107" s="38">
        <f>AA106*AB14*(1-'Inputs'!$E$29*AB85)* (1-AB85)</f>
        <v>0.0</v>
      </c>
      <c r="AC107" s="38">
        <f>AB106*AC14*(1-'Inputs'!$E$29*AC85)* (1-AC85)</f>
        <v>0.0</v>
      </c>
      <c r="AD107" s="38">
        <f>AC106*AD14*(1-'Inputs'!$E$29*AD85)* (1-AD85)</f>
        <v>0.0</v>
      </c>
      <c r="AE107" s="38">
        <f>AD106*AE14*(1-'Inputs'!$E$29*AE85)* (1-AE85)</f>
        <v>0.0</v>
      </c>
      <c r="AF107" s="38">
        <f>AE106*AF14*(1-'Inputs'!$E$29*AF85)* (1-AF85)</f>
        <v>0.0</v>
      </c>
      <c r="AG107" s="38">
        <f>AF106*AG14*(1-'Inputs'!$E$29*AG85)* (1-AG85)</f>
        <v>0.0</v>
      </c>
      <c r="AH107" s="38">
        <f>AG106*AH14*(1-'Inputs'!$E$29*AH85)* (1-AH85)</f>
        <v>0.0</v>
      </c>
      <c r="AI107" s="38">
        <f>AH106*AI14*(1-'Inputs'!$E$29*AI85)* (1-AI85)</f>
        <v>0.0</v>
      </c>
      <c r="AJ107" s="38">
        <f>AI106*AJ14*(1-'Inputs'!$E$29*AJ85)* (1-AJ85)</f>
        <v>0.0</v>
      </c>
      <c r="AK107" s="38">
        <f>AJ106*AK14*(1-'Inputs'!$E$29*AK85)* (1-AK85)</f>
        <v>0.0</v>
      </c>
      <c r="AL107" s="38">
        <f>AK106*AL14*(1-'Inputs'!$E$29*AL85)* (1-AL85)</f>
        <v>0.0</v>
      </c>
      <c r="AM107" s="38">
        <f>AL106*AM14*(1-'Inputs'!$E$29*AM85)* (1-AM85)</f>
        <v>0.0</v>
      </c>
      <c r="AN107" s="38">
        <f>AM106*AN14*(1-'Inputs'!$E$29*AN85)* (1-AN85)</f>
        <v>0.0</v>
      </c>
      <c r="AO107" s="38">
        <f>AN106*AO14*(1-'Inputs'!$E$29*AO85)* (1-AO85)</f>
        <v>0.0</v>
      </c>
      <c r="AP107" s="38">
        <f>AO106*AP14*(1-'Inputs'!$E$29*AP85)* (1-AP85)</f>
        <v>0.0</v>
      </c>
      <c r="AQ107" s="38">
        <f>AP106*AQ14*(1-'Inputs'!$E$29*AQ85)* (1-AQ85)</f>
        <v>0.0</v>
      </c>
    </row>
    <row r="108" ht="28" customHeight="1">
      <c r="A108" s="2" t="str">
        <v>AT.U.PRO.Y5</v>
      </c>
      <c r="B108" s="6" t="str">
        <v>Austria: not yet identity-checked: Pro annual, plan month 6</v>
      </c>
      <c r="C108" s="2" t="str">
        <v>count</v>
      </c>
      <c r="D108" s="2" t="str">
        <v>NA</v>
      </c>
      <c r="E108" s="2"/>
      <c r="F108" s="6" t="str"/>
      <c r="G108" s="2"/>
      <c r="H108" s="38">
        <f>0*H14*(1-'Inputs'!$E$29*H85)* (1-H85)</f>
        <v>0.0</v>
      </c>
      <c r="I108" s="38">
        <f>H107*I14*(1-'Inputs'!$E$29*I85)* (1-I85)</f>
        <v>0.0</v>
      </c>
      <c r="J108" s="38">
        <f>I107*J14*(1-'Inputs'!$E$29*J85)* (1-J85)</f>
        <v>0.0</v>
      </c>
      <c r="K108" s="38">
        <f>J107*K14*(1-'Inputs'!$E$29*K85)* (1-K85)</f>
        <v>0.0</v>
      </c>
      <c r="L108" s="38">
        <f>K107*L14*(1-'Inputs'!$E$29*L85)* (1-L85)</f>
        <v>0.0</v>
      </c>
      <c r="M108" s="38">
        <f>L107*M14*(1-'Inputs'!$E$29*M85)* (1-M85)</f>
        <v>0.0</v>
      </c>
      <c r="N108" s="38">
        <f>M107*N14*(1-'Inputs'!$E$29*N85)* (1-N85)</f>
        <v>0.0</v>
      </c>
      <c r="O108" s="38">
        <f>N107*O14*(1-'Inputs'!$E$29*O85)* (1-O85)</f>
        <v>0.0</v>
      </c>
      <c r="P108" s="38">
        <f>O107*P14*(1-'Inputs'!$E$29*P85)* (1-P85)</f>
        <v>0.0</v>
      </c>
      <c r="Q108" s="38">
        <f>P107*Q14*(1-'Inputs'!$E$29*Q85)* (1-Q85)</f>
        <v>0.0</v>
      </c>
      <c r="R108" s="38">
        <f>Q107*R14*(1-'Inputs'!$E$29*R85)* (1-R85)</f>
        <v>0.0</v>
      </c>
      <c r="S108" s="38">
        <f>R107*S14*(1-'Inputs'!$E$29*S85)* (1-S85)</f>
        <v>0.0</v>
      </c>
      <c r="T108" s="38">
        <f>S107*T14*(1-'Inputs'!$E$29*T85)* (1-T85)</f>
        <v>0.0</v>
      </c>
      <c r="U108" s="38">
        <f>T107*U14*(1-'Inputs'!$E$29*U85)* (1-U85)</f>
        <v>0.0</v>
      </c>
      <c r="V108" s="38">
        <f>U107*V14*(1-'Inputs'!$E$29*V85)* (1-V85)</f>
        <v>0.0</v>
      </c>
      <c r="W108" s="38">
        <f>V107*W14*(1-'Inputs'!$E$29*W85)* (1-W85)</f>
        <v>0.0</v>
      </c>
      <c r="X108" s="38">
        <f>W107*X14*(1-'Inputs'!$E$29*X85)* (1-X85)</f>
        <v>0.0</v>
      </c>
      <c r="Y108" s="38">
        <f>X107*Y14*(1-'Inputs'!$E$29*Y85)* (1-Y85)</f>
        <v>0.0</v>
      </c>
      <c r="Z108" s="38">
        <f>Y107*Z14*(1-'Inputs'!$E$29*Z85)* (1-Z85)</f>
        <v>0.0</v>
      </c>
      <c r="AA108" s="38">
        <f>Z107*AA14*(1-'Inputs'!$E$29*AA85)* (1-AA85)</f>
        <v>0.0</v>
      </c>
      <c r="AB108" s="38">
        <f>AA107*AB14*(1-'Inputs'!$E$29*AB85)* (1-AB85)</f>
        <v>0.0</v>
      </c>
      <c r="AC108" s="38">
        <f>AB107*AC14*(1-'Inputs'!$E$29*AC85)* (1-AC85)</f>
        <v>0.0</v>
      </c>
      <c r="AD108" s="38">
        <f>AC107*AD14*(1-'Inputs'!$E$29*AD85)* (1-AD85)</f>
        <v>0.0</v>
      </c>
      <c r="AE108" s="38">
        <f>AD107*AE14*(1-'Inputs'!$E$29*AE85)* (1-AE85)</f>
        <v>0.0</v>
      </c>
      <c r="AF108" s="38">
        <f>AE107*AF14*(1-'Inputs'!$E$29*AF85)* (1-AF85)</f>
        <v>0.0</v>
      </c>
      <c r="AG108" s="38">
        <f>AF107*AG14*(1-'Inputs'!$E$29*AG85)* (1-AG85)</f>
        <v>0.0</v>
      </c>
      <c r="AH108" s="38">
        <f>AG107*AH14*(1-'Inputs'!$E$29*AH85)* (1-AH85)</f>
        <v>0.0</v>
      </c>
      <c r="AI108" s="38">
        <f>AH107*AI14*(1-'Inputs'!$E$29*AI85)* (1-AI85)</f>
        <v>0.0</v>
      </c>
      <c r="AJ108" s="38">
        <f>AI107*AJ14*(1-'Inputs'!$E$29*AJ85)* (1-AJ85)</f>
        <v>0.0</v>
      </c>
      <c r="AK108" s="38">
        <f>AJ107*AK14*(1-'Inputs'!$E$29*AK85)* (1-AK85)</f>
        <v>0.0</v>
      </c>
      <c r="AL108" s="38">
        <f>AK107*AL14*(1-'Inputs'!$E$29*AL85)* (1-AL85)</f>
        <v>0.0</v>
      </c>
      <c r="AM108" s="38">
        <f>AL107*AM14*(1-'Inputs'!$E$29*AM85)* (1-AM85)</f>
        <v>0.0</v>
      </c>
      <c r="AN108" s="38">
        <f>AM107*AN14*(1-'Inputs'!$E$29*AN85)* (1-AN85)</f>
        <v>0.0</v>
      </c>
      <c r="AO108" s="38">
        <f>AN107*AO14*(1-'Inputs'!$E$29*AO85)* (1-AO85)</f>
        <v>0.0</v>
      </c>
      <c r="AP108" s="38">
        <f>AO107*AP14*(1-'Inputs'!$E$29*AP85)* (1-AP85)</f>
        <v>0.0</v>
      </c>
      <c r="AQ108" s="38">
        <f>AP107*AQ14*(1-'Inputs'!$E$29*AQ85)* (1-AQ85)</f>
        <v>0.0</v>
      </c>
    </row>
    <row r="109" ht="28" customHeight="1">
      <c r="A109" s="2" t="str">
        <v>AT.U.PRO.Y6</v>
      </c>
      <c r="B109" s="6" t="str">
        <v>Austria: not yet identity-checked: Pro annual, plan month 7</v>
      </c>
      <c r="C109" s="2" t="str">
        <v>count</v>
      </c>
      <c r="D109" s="2" t="str">
        <v>NA</v>
      </c>
      <c r="E109" s="2"/>
      <c r="F109" s="6" t="str"/>
      <c r="G109" s="2"/>
      <c r="H109" s="38">
        <f>0*H14*(1-'Inputs'!$E$29*H85)* (1-H85)</f>
        <v>0.0</v>
      </c>
      <c r="I109" s="38">
        <f>H108*I14*(1-'Inputs'!$E$29*I85)* (1-I85)</f>
        <v>0.0</v>
      </c>
      <c r="J109" s="38">
        <f>I108*J14*(1-'Inputs'!$E$29*J85)* (1-J85)</f>
        <v>0.0</v>
      </c>
      <c r="K109" s="38">
        <f>J108*K14*(1-'Inputs'!$E$29*K85)* (1-K85)</f>
        <v>0.0</v>
      </c>
      <c r="L109" s="38">
        <f>K108*L14*(1-'Inputs'!$E$29*L85)* (1-L85)</f>
        <v>0.0</v>
      </c>
      <c r="M109" s="38">
        <f>L108*M14*(1-'Inputs'!$E$29*M85)* (1-M85)</f>
        <v>0.0</v>
      </c>
      <c r="N109" s="38">
        <f>M108*N14*(1-'Inputs'!$E$29*N85)* (1-N85)</f>
        <v>0.0</v>
      </c>
      <c r="O109" s="38">
        <f>N108*O14*(1-'Inputs'!$E$29*O85)* (1-O85)</f>
        <v>0.0</v>
      </c>
      <c r="P109" s="38">
        <f>O108*P14*(1-'Inputs'!$E$29*P85)* (1-P85)</f>
        <v>0.0</v>
      </c>
      <c r="Q109" s="38">
        <f>P108*Q14*(1-'Inputs'!$E$29*Q85)* (1-Q85)</f>
        <v>0.0</v>
      </c>
      <c r="R109" s="38">
        <f>Q108*R14*(1-'Inputs'!$E$29*R85)* (1-R85)</f>
        <v>0.0</v>
      </c>
      <c r="S109" s="38">
        <f>R108*S14*(1-'Inputs'!$E$29*S85)* (1-S85)</f>
        <v>0.0</v>
      </c>
      <c r="T109" s="38">
        <f>S108*T14*(1-'Inputs'!$E$29*T85)* (1-T85)</f>
        <v>0.0</v>
      </c>
      <c r="U109" s="38">
        <f>T108*U14*(1-'Inputs'!$E$29*U85)* (1-U85)</f>
        <v>0.0</v>
      </c>
      <c r="V109" s="38">
        <f>U108*V14*(1-'Inputs'!$E$29*V85)* (1-V85)</f>
        <v>0.0</v>
      </c>
      <c r="W109" s="38">
        <f>V108*W14*(1-'Inputs'!$E$29*W85)* (1-W85)</f>
        <v>0.0</v>
      </c>
      <c r="X109" s="38">
        <f>W108*X14*(1-'Inputs'!$E$29*X85)* (1-X85)</f>
        <v>0.0</v>
      </c>
      <c r="Y109" s="38">
        <f>X108*Y14*(1-'Inputs'!$E$29*Y85)* (1-Y85)</f>
        <v>0.0</v>
      </c>
      <c r="Z109" s="38">
        <f>Y108*Z14*(1-'Inputs'!$E$29*Z85)* (1-Z85)</f>
        <v>0.0</v>
      </c>
      <c r="AA109" s="38">
        <f>Z108*AA14*(1-'Inputs'!$E$29*AA85)* (1-AA85)</f>
        <v>0.0</v>
      </c>
      <c r="AB109" s="38">
        <f>AA108*AB14*(1-'Inputs'!$E$29*AB85)* (1-AB85)</f>
        <v>0.0</v>
      </c>
      <c r="AC109" s="38">
        <f>AB108*AC14*(1-'Inputs'!$E$29*AC85)* (1-AC85)</f>
        <v>0.0</v>
      </c>
      <c r="AD109" s="38">
        <f>AC108*AD14*(1-'Inputs'!$E$29*AD85)* (1-AD85)</f>
        <v>0.0</v>
      </c>
      <c r="AE109" s="38">
        <f>AD108*AE14*(1-'Inputs'!$E$29*AE85)* (1-AE85)</f>
        <v>0.0</v>
      </c>
      <c r="AF109" s="38">
        <f>AE108*AF14*(1-'Inputs'!$E$29*AF85)* (1-AF85)</f>
        <v>0.0</v>
      </c>
      <c r="AG109" s="38">
        <f>AF108*AG14*(1-'Inputs'!$E$29*AG85)* (1-AG85)</f>
        <v>0.0</v>
      </c>
      <c r="AH109" s="38">
        <f>AG108*AH14*(1-'Inputs'!$E$29*AH85)* (1-AH85)</f>
        <v>0.0</v>
      </c>
      <c r="AI109" s="38">
        <f>AH108*AI14*(1-'Inputs'!$E$29*AI85)* (1-AI85)</f>
        <v>0.0</v>
      </c>
      <c r="AJ109" s="38">
        <f>AI108*AJ14*(1-'Inputs'!$E$29*AJ85)* (1-AJ85)</f>
        <v>0.0</v>
      </c>
      <c r="AK109" s="38">
        <f>AJ108*AK14*(1-'Inputs'!$E$29*AK85)* (1-AK85)</f>
        <v>0.0</v>
      </c>
      <c r="AL109" s="38">
        <f>AK108*AL14*(1-'Inputs'!$E$29*AL85)* (1-AL85)</f>
        <v>0.0</v>
      </c>
      <c r="AM109" s="38">
        <f>AL108*AM14*(1-'Inputs'!$E$29*AM85)* (1-AM85)</f>
        <v>0.0</v>
      </c>
      <c r="AN109" s="38">
        <f>AM108*AN14*(1-'Inputs'!$E$29*AN85)* (1-AN85)</f>
        <v>0.0</v>
      </c>
      <c r="AO109" s="38">
        <f>AN108*AO14*(1-'Inputs'!$E$29*AO85)* (1-AO85)</f>
        <v>0.0</v>
      </c>
      <c r="AP109" s="38">
        <f>AO108*AP14*(1-'Inputs'!$E$29*AP85)* (1-AP85)</f>
        <v>0.0</v>
      </c>
      <c r="AQ109" s="38">
        <f>AP108*AQ14*(1-'Inputs'!$E$29*AQ85)* (1-AQ85)</f>
        <v>0.0</v>
      </c>
    </row>
    <row r="110" ht="28" customHeight="1">
      <c r="A110" s="2" t="str">
        <v>AT.U.PRO.Y7</v>
      </c>
      <c r="B110" s="6" t="str">
        <v>Austria: not yet identity-checked: Pro annual, plan month 8</v>
      </c>
      <c r="C110" s="2" t="str">
        <v>count</v>
      </c>
      <c r="D110" s="2" t="str">
        <v>NA</v>
      </c>
      <c r="E110" s="2"/>
      <c r="F110" s="6" t="str"/>
      <c r="G110" s="2"/>
      <c r="H110" s="38">
        <f>0*H14*(1-'Inputs'!$E$29*H85)* (1-H85)</f>
        <v>0.0</v>
      </c>
      <c r="I110" s="38">
        <f>H109*I14*(1-'Inputs'!$E$29*I85)* (1-I85)</f>
        <v>0.0</v>
      </c>
      <c r="J110" s="38">
        <f>I109*J14*(1-'Inputs'!$E$29*J85)* (1-J85)</f>
        <v>0.0</v>
      </c>
      <c r="K110" s="38">
        <f>J109*K14*(1-'Inputs'!$E$29*K85)* (1-K85)</f>
        <v>0.0</v>
      </c>
      <c r="L110" s="38">
        <f>K109*L14*(1-'Inputs'!$E$29*L85)* (1-L85)</f>
        <v>0.0</v>
      </c>
      <c r="M110" s="38">
        <f>L109*M14*(1-'Inputs'!$E$29*M85)* (1-M85)</f>
        <v>0.0</v>
      </c>
      <c r="N110" s="38">
        <f>M109*N14*(1-'Inputs'!$E$29*N85)* (1-N85)</f>
        <v>0.0</v>
      </c>
      <c r="O110" s="38">
        <f>N109*O14*(1-'Inputs'!$E$29*O85)* (1-O85)</f>
        <v>0.0</v>
      </c>
      <c r="P110" s="38">
        <f>O109*P14*(1-'Inputs'!$E$29*P85)* (1-P85)</f>
        <v>0.0</v>
      </c>
      <c r="Q110" s="38">
        <f>P109*Q14*(1-'Inputs'!$E$29*Q85)* (1-Q85)</f>
        <v>0.0</v>
      </c>
      <c r="R110" s="38">
        <f>Q109*R14*(1-'Inputs'!$E$29*R85)* (1-R85)</f>
        <v>0.0</v>
      </c>
      <c r="S110" s="38">
        <f>R109*S14*(1-'Inputs'!$E$29*S85)* (1-S85)</f>
        <v>0.0</v>
      </c>
      <c r="T110" s="38">
        <f>S109*T14*(1-'Inputs'!$E$29*T85)* (1-T85)</f>
        <v>0.0</v>
      </c>
      <c r="U110" s="38">
        <f>T109*U14*(1-'Inputs'!$E$29*U85)* (1-U85)</f>
        <v>0.0</v>
      </c>
      <c r="V110" s="38">
        <f>U109*V14*(1-'Inputs'!$E$29*V85)* (1-V85)</f>
        <v>0.0</v>
      </c>
      <c r="W110" s="38">
        <f>V109*W14*(1-'Inputs'!$E$29*W85)* (1-W85)</f>
        <v>0.0</v>
      </c>
      <c r="X110" s="38">
        <f>W109*X14*(1-'Inputs'!$E$29*X85)* (1-X85)</f>
        <v>0.0</v>
      </c>
      <c r="Y110" s="38">
        <f>X109*Y14*(1-'Inputs'!$E$29*Y85)* (1-Y85)</f>
        <v>0.0</v>
      </c>
      <c r="Z110" s="38">
        <f>Y109*Z14*(1-'Inputs'!$E$29*Z85)* (1-Z85)</f>
        <v>0.0</v>
      </c>
      <c r="AA110" s="38">
        <f>Z109*AA14*(1-'Inputs'!$E$29*AA85)* (1-AA85)</f>
        <v>0.0</v>
      </c>
      <c r="AB110" s="38">
        <f>AA109*AB14*(1-'Inputs'!$E$29*AB85)* (1-AB85)</f>
        <v>0.0</v>
      </c>
      <c r="AC110" s="38">
        <f>AB109*AC14*(1-'Inputs'!$E$29*AC85)* (1-AC85)</f>
        <v>0.0</v>
      </c>
      <c r="AD110" s="38">
        <f>AC109*AD14*(1-'Inputs'!$E$29*AD85)* (1-AD85)</f>
        <v>0.0</v>
      </c>
      <c r="AE110" s="38">
        <f>AD109*AE14*(1-'Inputs'!$E$29*AE85)* (1-AE85)</f>
        <v>0.0</v>
      </c>
      <c r="AF110" s="38">
        <f>AE109*AF14*(1-'Inputs'!$E$29*AF85)* (1-AF85)</f>
        <v>0.0</v>
      </c>
      <c r="AG110" s="38">
        <f>AF109*AG14*(1-'Inputs'!$E$29*AG85)* (1-AG85)</f>
        <v>0.0</v>
      </c>
      <c r="AH110" s="38">
        <f>AG109*AH14*(1-'Inputs'!$E$29*AH85)* (1-AH85)</f>
        <v>0.0</v>
      </c>
      <c r="AI110" s="38">
        <f>AH109*AI14*(1-'Inputs'!$E$29*AI85)* (1-AI85)</f>
        <v>0.0</v>
      </c>
      <c r="AJ110" s="38">
        <f>AI109*AJ14*(1-'Inputs'!$E$29*AJ85)* (1-AJ85)</f>
        <v>0.0</v>
      </c>
      <c r="AK110" s="38">
        <f>AJ109*AK14*(1-'Inputs'!$E$29*AK85)* (1-AK85)</f>
        <v>0.0</v>
      </c>
      <c r="AL110" s="38">
        <f>AK109*AL14*(1-'Inputs'!$E$29*AL85)* (1-AL85)</f>
        <v>0.0</v>
      </c>
      <c r="AM110" s="38">
        <f>AL109*AM14*(1-'Inputs'!$E$29*AM85)* (1-AM85)</f>
        <v>0.0</v>
      </c>
      <c r="AN110" s="38">
        <f>AM109*AN14*(1-'Inputs'!$E$29*AN85)* (1-AN85)</f>
        <v>0.0</v>
      </c>
      <c r="AO110" s="38">
        <f>AN109*AO14*(1-'Inputs'!$E$29*AO85)* (1-AO85)</f>
        <v>0.0</v>
      </c>
      <c r="AP110" s="38">
        <f>AO109*AP14*(1-'Inputs'!$E$29*AP85)* (1-AP85)</f>
        <v>0.0</v>
      </c>
      <c r="AQ110" s="38">
        <f>AP109*AQ14*(1-'Inputs'!$E$29*AQ85)* (1-AQ85)</f>
        <v>0.0</v>
      </c>
    </row>
    <row r="111" ht="28" customHeight="1">
      <c r="A111" s="2" t="str">
        <v>AT.U.PRO.Y8</v>
      </c>
      <c r="B111" s="6" t="str">
        <v>Austria: not yet identity-checked: Pro annual, plan month 9</v>
      </c>
      <c r="C111" s="2" t="str">
        <v>count</v>
      </c>
      <c r="D111" s="2" t="str">
        <v>NA</v>
      </c>
      <c r="E111" s="2"/>
      <c r="F111" s="6" t="str"/>
      <c r="G111" s="2"/>
      <c r="H111" s="38">
        <f>0*H14*(1-'Inputs'!$E$29*H85)* (1-H85)</f>
        <v>0.0</v>
      </c>
      <c r="I111" s="38">
        <f>H110*I14*(1-'Inputs'!$E$29*I85)* (1-I85)</f>
        <v>0.0</v>
      </c>
      <c r="J111" s="38">
        <f>I110*J14*(1-'Inputs'!$E$29*J85)* (1-J85)</f>
        <v>0.0</v>
      </c>
      <c r="K111" s="38">
        <f>J110*K14*(1-'Inputs'!$E$29*K85)* (1-K85)</f>
        <v>0.0</v>
      </c>
      <c r="L111" s="38">
        <f>K110*L14*(1-'Inputs'!$E$29*L85)* (1-L85)</f>
        <v>0.0</v>
      </c>
      <c r="M111" s="38">
        <f>L110*M14*(1-'Inputs'!$E$29*M85)* (1-M85)</f>
        <v>0.0</v>
      </c>
      <c r="N111" s="38">
        <f>M110*N14*(1-'Inputs'!$E$29*N85)* (1-N85)</f>
        <v>0.0</v>
      </c>
      <c r="O111" s="38">
        <f>N110*O14*(1-'Inputs'!$E$29*O85)* (1-O85)</f>
        <v>0.0</v>
      </c>
      <c r="P111" s="38">
        <f>O110*P14*(1-'Inputs'!$E$29*P85)* (1-P85)</f>
        <v>0.0</v>
      </c>
      <c r="Q111" s="38">
        <f>P110*Q14*(1-'Inputs'!$E$29*Q85)* (1-Q85)</f>
        <v>0.0</v>
      </c>
      <c r="R111" s="38">
        <f>Q110*R14*(1-'Inputs'!$E$29*R85)* (1-R85)</f>
        <v>0.0</v>
      </c>
      <c r="S111" s="38">
        <f>R110*S14*(1-'Inputs'!$E$29*S85)* (1-S85)</f>
        <v>0.0</v>
      </c>
      <c r="T111" s="38">
        <f>S110*T14*(1-'Inputs'!$E$29*T85)* (1-T85)</f>
        <v>0.0</v>
      </c>
      <c r="U111" s="38">
        <f>T110*U14*(1-'Inputs'!$E$29*U85)* (1-U85)</f>
        <v>0.0</v>
      </c>
      <c r="V111" s="38">
        <f>U110*V14*(1-'Inputs'!$E$29*V85)* (1-V85)</f>
        <v>0.0</v>
      </c>
      <c r="W111" s="38">
        <f>V110*W14*(1-'Inputs'!$E$29*W85)* (1-W85)</f>
        <v>0.0</v>
      </c>
      <c r="X111" s="38">
        <f>W110*X14*(1-'Inputs'!$E$29*X85)* (1-X85)</f>
        <v>0.0</v>
      </c>
      <c r="Y111" s="38">
        <f>X110*Y14*(1-'Inputs'!$E$29*Y85)* (1-Y85)</f>
        <v>0.0</v>
      </c>
      <c r="Z111" s="38">
        <f>Y110*Z14*(1-'Inputs'!$E$29*Z85)* (1-Z85)</f>
        <v>0.0</v>
      </c>
      <c r="AA111" s="38">
        <f>Z110*AA14*(1-'Inputs'!$E$29*AA85)* (1-AA85)</f>
        <v>0.0</v>
      </c>
      <c r="AB111" s="38">
        <f>AA110*AB14*(1-'Inputs'!$E$29*AB85)* (1-AB85)</f>
        <v>0.0</v>
      </c>
      <c r="AC111" s="38">
        <f>AB110*AC14*(1-'Inputs'!$E$29*AC85)* (1-AC85)</f>
        <v>0.0</v>
      </c>
      <c r="AD111" s="38">
        <f>AC110*AD14*(1-'Inputs'!$E$29*AD85)* (1-AD85)</f>
        <v>0.0</v>
      </c>
      <c r="AE111" s="38">
        <f>AD110*AE14*(1-'Inputs'!$E$29*AE85)* (1-AE85)</f>
        <v>0.0</v>
      </c>
      <c r="AF111" s="38">
        <f>AE110*AF14*(1-'Inputs'!$E$29*AF85)* (1-AF85)</f>
        <v>0.0</v>
      </c>
      <c r="AG111" s="38">
        <f>AF110*AG14*(1-'Inputs'!$E$29*AG85)* (1-AG85)</f>
        <v>0.0</v>
      </c>
      <c r="AH111" s="38">
        <f>AG110*AH14*(1-'Inputs'!$E$29*AH85)* (1-AH85)</f>
        <v>0.0</v>
      </c>
      <c r="AI111" s="38">
        <f>AH110*AI14*(1-'Inputs'!$E$29*AI85)* (1-AI85)</f>
        <v>0.0</v>
      </c>
      <c r="AJ111" s="38">
        <f>AI110*AJ14*(1-'Inputs'!$E$29*AJ85)* (1-AJ85)</f>
        <v>0.0</v>
      </c>
      <c r="AK111" s="38">
        <f>AJ110*AK14*(1-'Inputs'!$E$29*AK85)* (1-AK85)</f>
        <v>0.0</v>
      </c>
      <c r="AL111" s="38">
        <f>AK110*AL14*(1-'Inputs'!$E$29*AL85)* (1-AL85)</f>
        <v>0.0</v>
      </c>
      <c r="AM111" s="38">
        <f>AL110*AM14*(1-'Inputs'!$E$29*AM85)* (1-AM85)</f>
        <v>0.0</v>
      </c>
      <c r="AN111" s="38">
        <f>AM110*AN14*(1-'Inputs'!$E$29*AN85)* (1-AN85)</f>
        <v>0.0</v>
      </c>
      <c r="AO111" s="38">
        <f>AN110*AO14*(1-'Inputs'!$E$29*AO85)* (1-AO85)</f>
        <v>0.0</v>
      </c>
      <c r="AP111" s="38">
        <f>AO110*AP14*(1-'Inputs'!$E$29*AP85)* (1-AP85)</f>
        <v>0.0</v>
      </c>
      <c r="AQ111" s="38">
        <f>AP110*AQ14*(1-'Inputs'!$E$29*AQ85)* (1-AQ85)</f>
        <v>0.0</v>
      </c>
    </row>
    <row r="112" ht="28" customHeight="1">
      <c r="A112" s="2" t="str">
        <v>AT.U.PRO.Y9</v>
      </c>
      <c r="B112" s="6" t="str">
        <v>Austria: not yet identity-checked: Pro annual, plan month 10</v>
      </c>
      <c r="C112" s="2" t="str">
        <v>count</v>
      </c>
      <c r="D112" s="2" t="str">
        <v>NA</v>
      </c>
      <c r="E112" s="2"/>
      <c r="F112" s="6" t="str"/>
      <c r="G112" s="2"/>
      <c r="H112" s="38">
        <f>0*H14*(1-'Inputs'!$E$29*H85)* (1-H85)</f>
        <v>0.0</v>
      </c>
      <c r="I112" s="38">
        <f>H111*I14*(1-'Inputs'!$E$29*I85)* (1-I85)</f>
        <v>0.0</v>
      </c>
      <c r="J112" s="38">
        <f>I111*J14*(1-'Inputs'!$E$29*J85)* (1-J85)</f>
        <v>0.0</v>
      </c>
      <c r="K112" s="38">
        <f>J111*K14*(1-'Inputs'!$E$29*K85)* (1-K85)</f>
        <v>0.0</v>
      </c>
      <c r="L112" s="38">
        <f>K111*L14*(1-'Inputs'!$E$29*L85)* (1-L85)</f>
        <v>0.0</v>
      </c>
      <c r="M112" s="38">
        <f>L111*M14*(1-'Inputs'!$E$29*M85)* (1-M85)</f>
        <v>0.0</v>
      </c>
      <c r="N112" s="38">
        <f>M111*N14*(1-'Inputs'!$E$29*N85)* (1-N85)</f>
        <v>0.0</v>
      </c>
      <c r="O112" s="38">
        <f>N111*O14*(1-'Inputs'!$E$29*O85)* (1-O85)</f>
        <v>0.0</v>
      </c>
      <c r="P112" s="38">
        <f>O111*P14*(1-'Inputs'!$E$29*P85)* (1-P85)</f>
        <v>0.0</v>
      </c>
      <c r="Q112" s="38">
        <f>P111*Q14*(1-'Inputs'!$E$29*Q85)* (1-Q85)</f>
        <v>0.0</v>
      </c>
      <c r="R112" s="38">
        <f>Q111*R14*(1-'Inputs'!$E$29*R85)* (1-R85)</f>
        <v>0.0</v>
      </c>
      <c r="S112" s="38">
        <f>R111*S14*(1-'Inputs'!$E$29*S85)* (1-S85)</f>
        <v>0.0</v>
      </c>
      <c r="T112" s="38">
        <f>S111*T14*(1-'Inputs'!$E$29*T85)* (1-T85)</f>
        <v>0.0</v>
      </c>
      <c r="U112" s="38">
        <f>T111*U14*(1-'Inputs'!$E$29*U85)* (1-U85)</f>
        <v>0.0</v>
      </c>
      <c r="V112" s="38">
        <f>U111*V14*(1-'Inputs'!$E$29*V85)* (1-V85)</f>
        <v>0.0</v>
      </c>
      <c r="W112" s="38">
        <f>V111*W14*(1-'Inputs'!$E$29*W85)* (1-W85)</f>
        <v>0.0</v>
      </c>
      <c r="X112" s="38">
        <f>W111*X14*(1-'Inputs'!$E$29*X85)* (1-X85)</f>
        <v>0.0</v>
      </c>
      <c r="Y112" s="38">
        <f>X111*Y14*(1-'Inputs'!$E$29*Y85)* (1-Y85)</f>
        <v>0.0</v>
      </c>
      <c r="Z112" s="38">
        <f>Y111*Z14*(1-'Inputs'!$E$29*Z85)* (1-Z85)</f>
        <v>0.0</v>
      </c>
      <c r="AA112" s="38">
        <f>Z111*AA14*(1-'Inputs'!$E$29*AA85)* (1-AA85)</f>
        <v>0.0</v>
      </c>
      <c r="AB112" s="38">
        <f>AA111*AB14*(1-'Inputs'!$E$29*AB85)* (1-AB85)</f>
        <v>0.0</v>
      </c>
      <c r="AC112" s="38">
        <f>AB111*AC14*(1-'Inputs'!$E$29*AC85)* (1-AC85)</f>
        <v>0.0</v>
      </c>
      <c r="AD112" s="38">
        <f>AC111*AD14*(1-'Inputs'!$E$29*AD85)* (1-AD85)</f>
        <v>0.0</v>
      </c>
      <c r="AE112" s="38">
        <f>AD111*AE14*(1-'Inputs'!$E$29*AE85)* (1-AE85)</f>
        <v>0.0</v>
      </c>
      <c r="AF112" s="38">
        <f>AE111*AF14*(1-'Inputs'!$E$29*AF85)* (1-AF85)</f>
        <v>0.0</v>
      </c>
      <c r="AG112" s="38">
        <f>AF111*AG14*(1-'Inputs'!$E$29*AG85)* (1-AG85)</f>
        <v>0.0</v>
      </c>
      <c r="AH112" s="38">
        <f>AG111*AH14*(1-'Inputs'!$E$29*AH85)* (1-AH85)</f>
        <v>0.0</v>
      </c>
      <c r="AI112" s="38">
        <f>AH111*AI14*(1-'Inputs'!$E$29*AI85)* (1-AI85)</f>
        <v>0.0</v>
      </c>
      <c r="AJ112" s="38">
        <f>AI111*AJ14*(1-'Inputs'!$E$29*AJ85)* (1-AJ85)</f>
        <v>0.0</v>
      </c>
      <c r="AK112" s="38">
        <f>AJ111*AK14*(1-'Inputs'!$E$29*AK85)* (1-AK85)</f>
        <v>0.0</v>
      </c>
      <c r="AL112" s="38">
        <f>AK111*AL14*(1-'Inputs'!$E$29*AL85)* (1-AL85)</f>
        <v>0.0</v>
      </c>
      <c r="AM112" s="38">
        <f>AL111*AM14*(1-'Inputs'!$E$29*AM85)* (1-AM85)</f>
        <v>0.0</v>
      </c>
      <c r="AN112" s="38">
        <f>AM111*AN14*(1-'Inputs'!$E$29*AN85)* (1-AN85)</f>
        <v>0.0</v>
      </c>
      <c r="AO112" s="38">
        <f>AN111*AO14*(1-'Inputs'!$E$29*AO85)* (1-AO85)</f>
        <v>0.0</v>
      </c>
      <c r="AP112" s="38">
        <f>AO111*AP14*(1-'Inputs'!$E$29*AP85)* (1-AP85)</f>
        <v>0.0</v>
      </c>
      <c r="AQ112" s="38">
        <f>AP111*AQ14*(1-'Inputs'!$E$29*AQ85)* (1-AQ85)</f>
        <v>0.0</v>
      </c>
    </row>
    <row r="113" ht="28" customHeight="1">
      <c r="A113" s="2" t="str">
        <v>AT.U.PRO.Y10</v>
      </c>
      <c r="B113" s="6" t="str">
        <v>Austria: not yet identity-checked: Pro annual, plan month 11</v>
      </c>
      <c r="C113" s="2" t="str">
        <v>count</v>
      </c>
      <c r="D113" s="2" t="str">
        <v>NA</v>
      </c>
      <c r="E113" s="2"/>
      <c r="F113" s="6" t="str"/>
      <c r="G113" s="2"/>
      <c r="H113" s="38">
        <f>0*H14*(1-'Inputs'!$E$29*H85)* (1-H85)</f>
        <v>0.0</v>
      </c>
      <c r="I113" s="38">
        <f>H112*I14*(1-'Inputs'!$E$29*I85)* (1-I85)</f>
        <v>0.0</v>
      </c>
      <c r="J113" s="38">
        <f>I112*J14*(1-'Inputs'!$E$29*J85)* (1-J85)</f>
        <v>0.0</v>
      </c>
      <c r="K113" s="38">
        <f>J112*K14*(1-'Inputs'!$E$29*K85)* (1-K85)</f>
        <v>0.0</v>
      </c>
      <c r="L113" s="38">
        <f>K112*L14*(1-'Inputs'!$E$29*L85)* (1-L85)</f>
        <v>0.0</v>
      </c>
      <c r="M113" s="38">
        <f>L112*M14*(1-'Inputs'!$E$29*M85)* (1-M85)</f>
        <v>0.0</v>
      </c>
      <c r="N113" s="38">
        <f>M112*N14*(1-'Inputs'!$E$29*N85)* (1-N85)</f>
        <v>0.0</v>
      </c>
      <c r="O113" s="38">
        <f>N112*O14*(1-'Inputs'!$E$29*O85)* (1-O85)</f>
        <v>0.0</v>
      </c>
      <c r="P113" s="38">
        <f>O112*P14*(1-'Inputs'!$E$29*P85)* (1-P85)</f>
        <v>0.0</v>
      </c>
      <c r="Q113" s="38">
        <f>P112*Q14*(1-'Inputs'!$E$29*Q85)* (1-Q85)</f>
        <v>0.0</v>
      </c>
      <c r="R113" s="38">
        <f>Q112*R14*(1-'Inputs'!$E$29*R85)* (1-R85)</f>
        <v>0.0</v>
      </c>
      <c r="S113" s="38">
        <f>R112*S14*(1-'Inputs'!$E$29*S85)* (1-S85)</f>
        <v>0.0</v>
      </c>
      <c r="T113" s="38">
        <f>S112*T14*(1-'Inputs'!$E$29*T85)* (1-T85)</f>
        <v>0.0</v>
      </c>
      <c r="U113" s="38">
        <f>T112*U14*(1-'Inputs'!$E$29*U85)* (1-U85)</f>
        <v>0.0</v>
      </c>
      <c r="V113" s="38">
        <f>U112*V14*(1-'Inputs'!$E$29*V85)* (1-V85)</f>
        <v>0.0</v>
      </c>
      <c r="W113" s="38">
        <f>V112*W14*(1-'Inputs'!$E$29*W85)* (1-W85)</f>
        <v>0.0</v>
      </c>
      <c r="X113" s="38">
        <f>W112*X14*(1-'Inputs'!$E$29*X85)* (1-X85)</f>
        <v>0.0</v>
      </c>
      <c r="Y113" s="38">
        <f>X112*Y14*(1-'Inputs'!$E$29*Y85)* (1-Y85)</f>
        <v>0.0</v>
      </c>
      <c r="Z113" s="38">
        <f>Y112*Z14*(1-'Inputs'!$E$29*Z85)* (1-Z85)</f>
        <v>0.0</v>
      </c>
      <c r="AA113" s="38">
        <f>Z112*AA14*(1-'Inputs'!$E$29*AA85)* (1-AA85)</f>
        <v>0.0</v>
      </c>
      <c r="AB113" s="38">
        <f>AA112*AB14*(1-'Inputs'!$E$29*AB85)* (1-AB85)</f>
        <v>0.0</v>
      </c>
      <c r="AC113" s="38">
        <f>AB112*AC14*(1-'Inputs'!$E$29*AC85)* (1-AC85)</f>
        <v>0.0</v>
      </c>
      <c r="AD113" s="38">
        <f>AC112*AD14*(1-'Inputs'!$E$29*AD85)* (1-AD85)</f>
        <v>0.0</v>
      </c>
      <c r="AE113" s="38">
        <f>AD112*AE14*(1-'Inputs'!$E$29*AE85)* (1-AE85)</f>
        <v>0.0</v>
      </c>
      <c r="AF113" s="38">
        <f>AE112*AF14*(1-'Inputs'!$E$29*AF85)* (1-AF85)</f>
        <v>0.0</v>
      </c>
      <c r="AG113" s="38">
        <f>AF112*AG14*(1-'Inputs'!$E$29*AG85)* (1-AG85)</f>
        <v>0.0</v>
      </c>
      <c r="AH113" s="38">
        <f>AG112*AH14*(1-'Inputs'!$E$29*AH85)* (1-AH85)</f>
        <v>0.0</v>
      </c>
      <c r="AI113" s="38">
        <f>AH112*AI14*(1-'Inputs'!$E$29*AI85)* (1-AI85)</f>
        <v>0.0</v>
      </c>
      <c r="AJ113" s="38">
        <f>AI112*AJ14*(1-'Inputs'!$E$29*AJ85)* (1-AJ85)</f>
        <v>0.0</v>
      </c>
      <c r="AK113" s="38">
        <f>AJ112*AK14*(1-'Inputs'!$E$29*AK85)* (1-AK85)</f>
        <v>0.0</v>
      </c>
      <c r="AL113" s="38">
        <f>AK112*AL14*(1-'Inputs'!$E$29*AL85)* (1-AL85)</f>
        <v>0.0</v>
      </c>
      <c r="AM113" s="38">
        <f>AL112*AM14*(1-'Inputs'!$E$29*AM85)* (1-AM85)</f>
        <v>0.0</v>
      </c>
      <c r="AN113" s="38">
        <f>AM112*AN14*(1-'Inputs'!$E$29*AN85)* (1-AN85)</f>
        <v>0.0</v>
      </c>
      <c r="AO113" s="38">
        <f>AN112*AO14*(1-'Inputs'!$E$29*AO85)* (1-AO85)</f>
        <v>0.0</v>
      </c>
      <c r="AP113" s="38">
        <f>AO112*AP14*(1-'Inputs'!$E$29*AP85)* (1-AP85)</f>
        <v>0.0</v>
      </c>
      <c r="AQ113" s="38">
        <f>AP112*AQ14*(1-'Inputs'!$E$29*AQ85)* (1-AQ85)</f>
        <v>0.0</v>
      </c>
    </row>
    <row r="114" ht="28" customHeight="1">
      <c r="A114" s="2" t="str">
        <v>AT.U.PRO.Y11</v>
      </c>
      <c r="B114" s="6" t="str">
        <v>Austria: not yet identity-checked: Pro annual, plan month 12</v>
      </c>
      <c r="C114" s="2" t="str">
        <v>count</v>
      </c>
      <c r="D114" s="2" t="str">
        <v>NA</v>
      </c>
      <c r="E114" s="2"/>
      <c r="F114" s="6" t="str"/>
      <c r="G114" s="2"/>
      <c r="H114" s="38">
        <f>0*H14*(1-'Inputs'!$E$29*H85)* (1-H85)</f>
        <v>0.0</v>
      </c>
      <c r="I114" s="38">
        <f>H113*I14*(1-'Inputs'!$E$29*I85)* (1-I85)</f>
        <v>0.0</v>
      </c>
      <c r="J114" s="38">
        <f>I113*J14*(1-'Inputs'!$E$29*J85)* (1-J85)</f>
        <v>0.0</v>
      </c>
      <c r="K114" s="38">
        <f>J113*K14*(1-'Inputs'!$E$29*K85)* (1-K85)</f>
        <v>0.0</v>
      </c>
      <c r="L114" s="38">
        <f>K113*L14*(1-'Inputs'!$E$29*L85)* (1-L85)</f>
        <v>0.0</v>
      </c>
      <c r="M114" s="38">
        <f>L113*M14*(1-'Inputs'!$E$29*M85)* (1-M85)</f>
        <v>0.0</v>
      </c>
      <c r="N114" s="38">
        <f>M113*N14*(1-'Inputs'!$E$29*N85)* (1-N85)</f>
        <v>0.0</v>
      </c>
      <c r="O114" s="38">
        <f>N113*O14*(1-'Inputs'!$E$29*O85)* (1-O85)</f>
        <v>0.0</v>
      </c>
      <c r="P114" s="38">
        <f>O113*P14*(1-'Inputs'!$E$29*P85)* (1-P85)</f>
        <v>0.0</v>
      </c>
      <c r="Q114" s="38">
        <f>P113*Q14*(1-'Inputs'!$E$29*Q85)* (1-Q85)</f>
        <v>0.0</v>
      </c>
      <c r="R114" s="38">
        <f>Q113*R14*(1-'Inputs'!$E$29*R85)* (1-R85)</f>
        <v>0.0</v>
      </c>
      <c r="S114" s="38">
        <f>R113*S14*(1-'Inputs'!$E$29*S85)* (1-S85)</f>
        <v>0.0</v>
      </c>
      <c r="T114" s="38">
        <f>S113*T14*(1-'Inputs'!$E$29*T85)* (1-T85)</f>
        <v>0.0</v>
      </c>
      <c r="U114" s="38">
        <f>T113*U14*(1-'Inputs'!$E$29*U85)* (1-U85)</f>
        <v>0.0</v>
      </c>
      <c r="V114" s="38">
        <f>U113*V14*(1-'Inputs'!$E$29*V85)* (1-V85)</f>
        <v>0.0</v>
      </c>
      <c r="W114" s="38">
        <f>V113*W14*(1-'Inputs'!$E$29*W85)* (1-W85)</f>
        <v>0.0</v>
      </c>
      <c r="X114" s="38">
        <f>W113*X14*(1-'Inputs'!$E$29*X85)* (1-X85)</f>
        <v>0.0</v>
      </c>
      <c r="Y114" s="38">
        <f>X113*Y14*(1-'Inputs'!$E$29*Y85)* (1-Y85)</f>
        <v>0.0</v>
      </c>
      <c r="Z114" s="38">
        <f>Y113*Z14*(1-'Inputs'!$E$29*Z85)* (1-Z85)</f>
        <v>0.0</v>
      </c>
      <c r="AA114" s="38">
        <f>Z113*AA14*(1-'Inputs'!$E$29*AA85)* (1-AA85)</f>
        <v>0.0</v>
      </c>
      <c r="AB114" s="38">
        <f>AA113*AB14*(1-'Inputs'!$E$29*AB85)* (1-AB85)</f>
        <v>0.0</v>
      </c>
      <c r="AC114" s="38">
        <f>AB113*AC14*(1-'Inputs'!$E$29*AC85)* (1-AC85)</f>
        <v>0.0</v>
      </c>
      <c r="AD114" s="38">
        <f>AC113*AD14*(1-'Inputs'!$E$29*AD85)* (1-AD85)</f>
        <v>0.0</v>
      </c>
      <c r="AE114" s="38">
        <f>AD113*AE14*(1-'Inputs'!$E$29*AE85)* (1-AE85)</f>
        <v>0.0</v>
      </c>
      <c r="AF114" s="38">
        <f>AE113*AF14*(1-'Inputs'!$E$29*AF85)* (1-AF85)</f>
        <v>0.0</v>
      </c>
      <c r="AG114" s="38">
        <f>AF113*AG14*(1-'Inputs'!$E$29*AG85)* (1-AG85)</f>
        <v>0.0</v>
      </c>
      <c r="AH114" s="38">
        <f>AG113*AH14*(1-'Inputs'!$E$29*AH85)* (1-AH85)</f>
        <v>0.0</v>
      </c>
      <c r="AI114" s="38">
        <f>AH113*AI14*(1-'Inputs'!$E$29*AI85)* (1-AI85)</f>
        <v>0.0</v>
      </c>
      <c r="AJ114" s="38">
        <f>AI113*AJ14*(1-'Inputs'!$E$29*AJ85)* (1-AJ85)</f>
        <v>0.0</v>
      </c>
      <c r="AK114" s="38">
        <f>AJ113*AK14*(1-'Inputs'!$E$29*AK85)* (1-AK85)</f>
        <v>0.0</v>
      </c>
      <c r="AL114" s="38">
        <f>AK113*AL14*(1-'Inputs'!$E$29*AL85)* (1-AL85)</f>
        <v>0.0</v>
      </c>
      <c r="AM114" s="38">
        <f>AL113*AM14*(1-'Inputs'!$E$29*AM85)* (1-AM85)</f>
        <v>0.0</v>
      </c>
      <c r="AN114" s="38">
        <f>AM113*AN14*(1-'Inputs'!$E$29*AN85)* (1-AN85)</f>
        <v>0.0</v>
      </c>
      <c r="AO114" s="38">
        <f>AN113*AO14*(1-'Inputs'!$E$29*AO85)* (1-AO85)</f>
        <v>0.0</v>
      </c>
      <c r="AP114" s="38">
        <f>AO113*AP14*(1-'Inputs'!$E$29*AP85)* (1-AP85)</f>
        <v>0.0</v>
      </c>
      <c r="AQ114" s="38">
        <f>AP113*AQ14*(1-'Inputs'!$E$29*AQ85)* (1-AQ85)</f>
        <v>0.0</v>
      </c>
    </row>
    <row r="115" ht="22" customHeight="1">
      <c r="A115" s="2" t="str">
        <v>AT.KYC</v>
      </c>
      <c r="B115" s="6" t="str">
        <v>Austria: new identity checks (KYC)</v>
      </c>
      <c r="C115" s="2" t="str">
        <v>count</v>
      </c>
      <c r="D115" s="2" t="str">
        <v>NA</v>
      </c>
      <c r="E115" s="2"/>
      <c r="F115" s="6" t="str"/>
      <c r="G115" s="2"/>
      <c r="H115" s="37">
        <f>MAX(0,H13-SUM(H87,H89,H90,H91,H92,H93,H94,H95,H96,H97,H98,H99,H100,H101,H102,H103,H104,H105,H106,H107,H108,H109,H110,H111,H112,H113,H114))</f>
        <v>0.044499999999999984</v>
      </c>
      <c r="I115" s="37">
        <f>MAX(0,SUM(H87,H89,H90,H91,H92,H93,H94,H95,H96,H97,H98,H99,H100,H101,H102,H103,H104,H105,H106,H107,H108,H109,H110,H111,H112,H113,H114)*I14-SUM(I87,I89,I90,I91,I92,I93,I94,I95,I96,I97,I98,I99,I100,I101,I102,I103,I104,I105,I106,I107,I108,I109,I110,I111,I112,I113,I114))</f>
        <v>0.017945654999999894</v>
      </c>
      <c r="J115" s="37">
        <f>MAX(0,SUM(I87,I89,I90,I91,I92,I93,I94,I95,I96,I97,I98,I99,I100,I101,I102,I103,I104,I105,I106,I107,I108,I109,I110,I111,I112,I113,I114)*J14-SUM(J87,J89,J90,J91,J92,J93,J94,J95,J96,J97,J98,J99,J100,J101,J102,J103,J104,J105,J106,J107,J108,J109,J110,J111,J112,J113,J114))</f>
        <v>0.014967221212125015</v>
      </c>
      <c r="K115" s="37">
        <f>MAX(0,SUM(J87,J89,J90,J91,J92,J93,J94,J95,J96,J97,J98,J99,J100,J101,J102,J103,J104,J105,J106,J107,J108,J109,J110,J111,J112,J113,J114)*K14-SUM(K87,K89,K90,K91,K92,K93,K94,K95,K96,K97,K98,K99,K100,K101,K102,K103,K104,K105,K106,K107,K108,K109,K110,K111,K112,K113,K114))</f>
        <v>0.013350072927393208</v>
      </c>
      <c r="L115" s="37">
        <f>MAX(0,SUM(K87,K89,K90,K91,K92,K93,K94,K95,K96,K97,K98,K99,K100,K101,K102,K103,K104,K105,K106,K107,K108,K109,K110,K111,K112,K113,K114)*L14-SUM(L87,L89,L90,L91,L92,L93,L94,L95,L96,L97,L98,L99,L100,L101,L102,L103,L104,L105,L106,L107,L108,L109,L110,L111,L112,L113,L114))</f>
        <v>0.011809302728203686</v>
      </c>
      <c r="M115" s="37">
        <f>MAX(0,SUM(L87,L89,L90,L91,L92,L93,L94,L95,L96,L97,L98,L99,L100,L101,L102,L103,L104,L105,L106,L107,L108,L109,L110,L111,L112,L113,L114)*M14-SUM(M87,M89,M90,M91,M92,M93,M94,M95,M96,M97,M98,M99,M100,M101,M102,M103,M104,M105,M106,M107,M108,M109,M110,M111,M112,M113,M114))</f>
        <v>0.010801588146832297</v>
      </c>
      <c r="N115" s="37">
        <f>MAX(0,SUM(M87,M89,M90,M91,M92,M93,M94,M95,M96,M97,M98,M99,M100,M101,M102,M103,M104,M105,M106,M107,M108,M109,M110,M111,M112,M113,M114)*N14-SUM(N87,N89,N90,N91,N92,N93,N94,N95,N96,N97,N98,N99,N100,N101,N102,N103,N104,N105,N106,N107,N108,N109,N110,N111,N112,N113,N114))</f>
        <v>0.01006328806145701</v>
      </c>
      <c r="O115" s="37">
        <f>MAX(0,SUM(N87,N89,N90,N91,N92,N93,N94,N95,N96,N97,N98,N99,N100,N101,N102,N103,N104,N105,N106,N107,N108,N109,N110,N111,N112,N113,N114)*O14-SUM(O87,O89,O90,O91,O92,O93,O94,O95,O96,O97,O98,O99,O100,O101,O102,O103,O104,O105,O106,O107,O108,O109,O110,O111,O112,O113,O114))</f>
        <v>0.00935697664768309</v>
      </c>
      <c r="P115" s="37">
        <f>MAX(0,SUM(O87,O89,O90,O91,O92,O93,O94,O95,O96,O97,O98,O99,O100,O101,O102,O103,O104,O105,O106,O107,O108,O109,O110,O111,O112,O113,O114)*P14-SUM(P87,P89,P90,P91,P92,P93,P94,P95,P96,P97,P98,P99,P100,P101,P102,P103,P104,P105,P106,P107,P108,P109,P110,P111,P112,P113,P114))</f>
        <v>0.00868145765802869</v>
      </c>
      <c r="Q115" s="37">
        <f>MAX(0,SUM(P87,P89,P90,P91,P92,P93,P94,P95,P96,P97,P98,P99,P100,P101,P102,P103,P104,P105,P106,P107,P108,P109,P110,P111,P112,P113,P114)*Q14-SUM(Q87,Q89,Q90,Q91,Q92,Q93,Q94,Q95,Q96,Q97,Q98,Q99,Q100,Q101,Q102,Q103,Q104,Q105,Q106,Q107,Q108,Q109,Q110,Q111,Q112,Q113,Q114))</f>
        <v>0.008035576834194313</v>
      </c>
      <c r="R115" s="37">
        <f>MAX(0,SUM(Q87,Q89,Q90,Q91,Q92,Q93,Q94,Q95,Q96,Q97,Q98,Q99,Q100,Q101,Q102,Q103,Q104,Q105,Q106,Q107,Q108,Q109,Q110,Q111,Q112,Q113,Q114)*R14-SUM(R87,R89,R90,R91,R92,R93,R94,R95,R96,R97,R98,R99,R100,R101,R102,R103,R104,R105,R106,R107,R108,R109,R110,R111,R112,R113,R114))</f>
        <v>0.007618712879659928</v>
      </c>
      <c r="S115" s="37">
        <f>MAX(0,SUM(R87,R89,R90,R91,R92,R93,R94,R95,R96,R97,R98,R99,R100,R101,R102,R103,R104,R105,R106,R107,R108,R109,R110,R111,R112,R113,R114)*S14-SUM(S87,S89,S90,S91,S92,S93,S94,S95,S96,S97,S98,S99,S100,S101,S102,S103,S104,S105,S106,S107,S108,S109,S110,S111,S112,S113,S114))</f>
        <v>0.007218503186541159</v>
      </c>
      <c r="T115" s="37">
        <f>MAX(0,SUM(S87,S89,S90,S91,S92,S93,S94,S95,S96,S97,S98,S99,S100,S101,S102,S103,S104,S105,S106,S107,S108,S109,S110,S111,S112,S113,S114)*T14-SUM(T87,T89,T90,T91,T92,T93,T94,T95,T96,T97,T98,T99,T100,T101,T102,T103,T104,T105,T106,T107,T108,T109,T110,T111,T112,T113,T114))</f>
        <v>0.006834349212736596</v>
      </c>
      <c r="U115" s="37">
        <f>MAX(0,SUM(T87,T89,T90,T91,T92,T93,T94,T95,T96,T97,T98,T99,T100,T101,T102,T103,T104,T105,T106,T107,T108,T109,T110,T111,T112,T113,T114)*U14-SUM(U87,U89,U90,U91,U92,U93,U94,U95,U96,U97,U98,U99,U100,U101,U102,U103,U104,U105,U106,U107,U108,U109,U110,U111,U112,U113,U114))</f>
        <v>0.006610091916968597</v>
      </c>
      <c r="V115" s="37">
        <f>MAX(0,SUM(U87,U89,U90,U91,U92,U93,U94,U95,U96,U97,U98,U99,U100,U101,U102,U103,U104,U105,U106,U107,U108,U109,U110,U111,U112,U113,U114)*V14-SUM(V87,V89,V90,V91,V92,V93,V94,V95,V96,V97,V98,V99,V100,V101,V102,V103,V104,V105,V106,V107,V108,V109,V110,V111,V112,V113,V114))</f>
        <v>0.0063875730202982706</v>
      </c>
      <c r="W115" s="37">
        <f>MAX(0,SUM(V87,V89,V90,V91,V92,V93,V94,V95,V96,V97,V98,V99,V100,V101,V102,V103,V104,V105,V106,V107,V108,V109,V110,V111,V112,V113,V114)*W14-SUM(W87,W89,W90,W91,W92,W93,W94,W95,W96,W97,W98,W99,W100,W101,W102,W103,W104,W105,W106,W107,W108,W109,W110,W111,W112,W113,W114))</f>
        <v>0.0061722490145298126</v>
      </c>
      <c r="X115" s="37">
        <f>MAX(0,SUM(W87,W89,W90,W91,W92,W93,W94,W95,W96,W97,W98,W99,W100,W101,W102,W103,W104,W105,W106,W107,W108,W109,W110,W111,W112,W113,W114)*X14-SUM(X87,X89,X90,X91,X92,X93,X94,X95,X96,X97,X98,X99,X100,X101,X102,X103,X104,X105,X106,X107,X108,X109,X110,X111,X112,X113,X114))</f>
        <v>0.0059638931125299555</v>
      </c>
      <c r="Y115" s="37">
        <f>MAX(0,SUM(X87,X89,X90,X91,X92,X93,X94,X95,X96,X97,X98,X99,X100,X101,X102,X103,X104,X105,X106,X107,X108,X109,X110,X111,X112,X113,X114)*Y14-SUM(Y87,Y89,Y90,Y91,Y92,Y93,Y94,Y95,Y96,Y97,Y98,Y99,Y100,Y101,Y102,Y103,Y104,Y105,Y106,Y107,Y108,Y109,Y110,Y111,Y112,Y113,Y114))</f>
        <v>0.005762285597086914</v>
      </c>
      <c r="Z115" s="37">
        <f>MAX(0,SUM(Y87,Y89,Y90,Y91,Y92,Y93,Y94,Y95,Y96,Y97,Y98,Y99,Y100,Y101,Y102,Y103,Y104,Y105,Y106,Y107,Y108,Y109,Y110,Y111,Y112,Y113,Y114)*Z14-SUM(Z87,Z89,Z90,Z91,Z92,Z93,Z94,Z95,Z96,Z97,Z98,Z99,Z100,Z101,Z102,Z103,Z104,Z105,Z106,Z107,Z108,Z109,Z110,Z111,Z112,Z113,Z114))</f>
        <v>0.005567213596068016</v>
      </c>
      <c r="AA115" s="37">
        <f>MAX(0,SUM(Z87,Z89,Z90,Z91,Z92,Z93,Z94,Z95,Z96,Z97,Z98,Z99,Z100,Z101,Z102,Z103,Z104,Z105,Z106,Z107,Z108,Z109,Z110,Z111,Z112,Z113,Z114)*AA14-SUM(AA87,AA89,AA90,AA91,AA92,AA93,AA94,AA95,AA96,AA97,AA98,AA99,AA100,AA101,AA102,AA103,AA104,AA105,AA106,AA107,AA108,AA109,AA110,AA111,AA112,AA113,AA114))</f>
        <v>0.005378470865582491</v>
      </c>
      <c r="AB115" s="37">
        <f>MAX(0,SUM(AA87,AA89,AA90,AA91,AA92,AA93,AA94,AA95,AA96,AA97,AA98,AA99,AA100,AA101,AA102,AA103,AA104,AA105,AA106,AA107,AA108,AA109,AA110,AA111,AA112,AA113,AA114)*AB14-SUM(AB87,AB89,AB90,AB91,AB92,AB93,AB94,AB95,AB96,AB97,AB98,AB99,AB100,AB101,AB102,AB103,AB104,AB105,AB106,AB107,AB108,AB109,AB110,AB111,AB112,AB113,AB114))</f>
        <v>0.005195857580758689</v>
      </c>
      <c r="AC115" s="37">
        <f>MAX(0,SUM(AB87,AB89,AB90,AB91,AB92,AB93,AB94,AB95,AB96,AB97,AB98,AB99,AB100,AB101,AB102,AB103,AB104,AB105,AB106,AB107,AB108,AB109,AB110,AB111,AB112,AB113,AB114)*AC14-SUM(AC87,AC89,AC90,AC91,AC92,AC93,AC94,AC95,AC96,AC97,AC98,AC99,AC100,AC101,AC102,AC103,AC104,AC105,AC106,AC107,AC108,AC109,AC110,AC111,AC112,AC113,AC114))</f>
        <v>0.005019180133772977</v>
      </c>
      <c r="AD115" s="37">
        <f>MAX(0,SUM(AC87,AC89,AC90,AC91,AC92,AC93,AC94,AC95,AC96,AC97,AC98,AC99,AC100,AC101,AC102,AC103,AC104,AC105,AC106,AC107,AC108,AC109,AC110,AC111,AC112,AC113,AC114)*AD14-SUM(AD87,AD89,AD90,AD91,AD92,AD93,AD94,AD95,AD96,AD97,AD98,AD99,AD100,AD101,AD102,AD103,AD104,AD105,AD106,AD107,AD108,AD109,AD110,AD111,AD112,AD113,AD114))</f>
        <v>0.004848250938796983</v>
      </c>
      <c r="AE115" s="37">
        <f>MAX(0,SUM(AD87,AD89,AD90,AD91,AD92,AD93,AD94,AD95,AD96,AD97,AD98,AD99,AD100,AD101,AD102,AD103,AD104,AD105,AD106,AD107,AD108,AD109,AD110,AD111,AD112,AD113,AD114)*AE14-SUM(AE87,AE89,AE90,AE91,AE92,AE93,AE94,AE95,AE96,AE97,AE98,AE99,AE100,AE101,AE102,AE103,AE104,AE105,AE106,AE107,AE108,AE109,AE110,AE111,AE112,AE113,AE114))</f>
        <v>0.004682888243552424</v>
      </c>
      <c r="AF115" s="37">
        <f>MAX(0,SUM(AE87,AE89,AE90,AE91,AE92,AE93,AE94,AE95,AE96,AE97,AE98,AE99,AE100,AE101,AE102,AE103,AE104,AE105,AE106,AE107,AE108,AE109,AE110,AE111,AE112,AE113,AE114)*AF14-SUM(AF87,AF89,AF90,AF91,AF92,AF93,AF94,AF95,AF96,AF97,AF98,AF99,AF100,AF101,AF102,AF103,AF104,AF105,AF106,AF107,AF108,AF109,AF110,AF111,AF112,AF113,AF114))</f>
        <v>0.004522915947184569</v>
      </c>
      <c r="AG115" s="37">
        <f>MAX(0,SUM(AF87,AF89,AF90,AF91,AF92,AF93,AF94,AF95,AF96,AF97,AF98,AF99,AF100,AF101,AF102,AF103,AF104,AF105,AF106,AF107,AF108,AF109,AF110,AF111,AF112,AF113,AF114)*AG14-SUM(AG87,AG89,AG90,AG91,AG92,AG93,AG94,AG95,AG96,AG97,AG98,AG99,AG100,AG101,AG102,AG103,AG104,AG105,AG106,AG107,AG108,AG109,AG110,AG111,AG112,AG113,AG114))</f>
        <v>0.004329525713993393</v>
      </c>
      <c r="AH115" s="37">
        <f>MAX(0,SUM(AG87,AG89,AG90,AG91,AG92,AG93,AG94,AG95,AG96,AG97,AG98,AG99,AG100,AG101,AG102,AG103,AG104,AG105,AG106,AG107,AG108,AG109,AG110,AG111,AG112,AG113,AG114)*AH14-SUM(AH87,AH89,AH90,AH91,AH92,AH93,AH94,AH95,AH96,AH97,AH98,AH99,AH100,AH101,AH102,AH103,AH104,AH105,AH106,AH107,AH108,AH109,AH110,AH111,AH112,AH113,AH114))</f>
        <v>0.0041419862314751865</v>
      </c>
      <c r="AI115" s="37">
        <f>MAX(0,SUM(AH87,AH89,AH90,AH91,AH92,AH93,AH94,AH95,AH96,AH97,AH98,AH99,AH100,AH101,AH102,AH103,AH104,AH105,AH106,AH107,AH108,AH109,AH110,AH111,AH112,AH113,AH114)*AI14-SUM(AI87,AI89,AI90,AI91,AI92,AI93,AI94,AI95,AI96,AI97,AI98,AI99,AI100,AI101,AI102,AI103,AI104,AI105,AI106,AI107,AI108,AI109,AI110,AI111,AI112,AI113,AI114))</f>
        <v>0.003961394312660793</v>
      </c>
      <c r="AJ115" s="37">
        <f>MAX(0,SUM(AI87,AI89,AI90,AI91,AI92,AI93,AI94,AI95,AI96,AI97,AI98,AI99,AI100,AI101,AI102,AI103,AI104,AI105,AI106,AI107,AI108,AI109,AI110,AI111,AI112,AI113,AI114)*AJ14-SUM(AJ87,AJ89,AJ90,AJ91,AJ92,AJ93,AJ94,AJ95,AJ96,AJ97,AJ98,AJ99,AJ100,AJ101,AJ102,AJ103,AJ104,AJ105,AJ106,AJ107,AJ108,AJ109,AJ110,AJ111,AJ112,AJ113,AJ114))</f>
        <v>0.003787511973216945</v>
      </c>
      <c r="AK115" s="37">
        <f>MAX(0,SUM(AJ87,AJ89,AJ90,AJ91,AJ92,AJ93,AJ94,AJ95,AJ96,AJ97,AJ98,AJ99,AJ100,AJ101,AJ102,AJ103,AJ104,AJ105,AJ106,AJ107,AJ108,AJ109,AJ110,AJ111,AJ112,AJ113,AJ114)*AK14-SUM(AK87,AK89,AK90,AK91,AK92,AK93,AK94,AK95,AK96,AK97,AK98,AK99,AK100,AK101,AK102,AK103,AK104,AK105,AK106,AK107,AK108,AK109,AK110,AK111,AK112,AK113,AK114))</f>
        <v>0.0036500272729438343</v>
      </c>
      <c r="AL115" s="37">
        <f>MAX(0,SUM(AK87,AK89,AK90,AK91,AK92,AK93,AK94,AK95,AK96,AK97,AK98,AK99,AK100,AK101,AK102,AK103,AK104,AK105,AK106,AK107,AK108,AK109,AK110,AK111,AK112,AK113,AK114)*AL14-SUM(AL87,AL89,AL90,AL91,AL92,AL93,AL94,AL95,AL96,AL97,AL98,AL99,AL100,AL101,AL102,AL103,AL104,AL105,AL106,AL107,AL108,AL109,AL110,AL111,AL112,AL113,AL114))</f>
        <v>0.0035171944820636125</v>
      </c>
      <c r="AM115" s="37">
        <f>MAX(0,SUM(AL87,AL89,AL90,AL91,AL92,AL93,AL94,AL95,AL96,AL97,AL98,AL99,AL100,AL101,AL102,AL103,AL104,AL105,AL106,AL107,AL108,AL109,AL110,AL111,AL112,AL113,AL114)*AM14-SUM(AM87,AM89,AM90,AM91,AM92,AM93,AM94,AM95,AM96,AM97,AM98,AM99,AM100,AM101,AM102,AM103,AM104,AM105,AM106,AM107,AM108,AM109,AM110,AM111,AM112,AM113,AM114))</f>
        <v>0.0033888628409763366</v>
      </c>
      <c r="AN115" s="37">
        <f>MAX(0,SUM(AM87,AM89,AM90,AM91,AM92,AM93,AM94,AM95,AM96,AM97,AM98,AM99,AM100,AM101,AM102,AM103,AM104,AM105,AM106,AM107,AM108,AM109,AM110,AM111,AM112,AM113,AM114)*AN14-SUM(AN87,AN89,AN90,AN91,AN92,AN93,AN94,AN95,AN96,AN97,AN98,AN99,AN100,AN101,AN102,AN103,AN104,AN105,AN106,AN107,AN108,AN109,AN110,AN111,AN112,AN113,AN114))</f>
        <v>0.0032648863415517676</v>
      </c>
      <c r="AO115" s="37">
        <f>MAX(0,SUM(AN87,AN89,AN90,AN91,AN92,AN93,AN94,AN95,AN96,AN97,AN98,AN99,AN100,AN101,AN102,AN103,AN104,AN105,AN106,AN107,AN108,AN109,AN110,AN111,AN112,AN113,AN114)*AO14-SUM(AO87,AO89,AO90,AO91,AO92,AO93,AO94,AO95,AO96,AO97,AO98,AO99,AO100,AO101,AO102,AO103,AO104,AO105,AO106,AO107,AO108,AO109,AO110,AO111,AO112,AO113,AO114))</f>
        <v>0.0031451235795200982</v>
      </c>
      <c r="AP115" s="37">
        <f>MAX(0,SUM(AO87,AO89,AO90,AO91,AO92,AO93,AO94,AO95,AO96,AO97,AO98,AO99,AO100,AO101,AO102,AO103,AO104,AO105,AO106,AO107,AO108,AO109,AO110,AO111,AO112,AO113,AO114)*AP14-SUM(AP87,AP89,AP90,AP91,AP92,AP93,AP94,AP95,AP96,AP97,AP98,AP99,AP100,AP101,AP102,AP103,AP104,AP105,AP106,AP107,AP108,AP109,AP110,AP111,AP112,AP113,AP114))</f>
        <v>0.0030294376115031357</v>
      </c>
      <c r="AQ115" s="37">
        <f>MAX(0,SUM(AP87,AP89,AP90,AP91,AP92,AP93,AP94,AP95,AP96,AP97,AP98,AP99,AP100,AP101,AP102,AP103,AP104,AP105,AP106,AP107,AP108,AP109,AP110,AP111,AP112,AP113,AP114)*AQ14-SUM(AQ87,AQ89,AQ90,AQ91,AQ92,AQ93,AQ94,AQ95,AQ96,AQ97,AQ98,AQ99,AQ100,AQ101,AQ102,AQ103,AQ104,AQ105,AQ106,AQ107,AQ108,AQ109,AQ110,AQ111,AQ112,AQ113,AQ114))</f>
        <v>0.0029176958165268024</v>
      </c>
    </row>
    <row r="116" ht="28" customHeight="1">
      <c r="A116" s="2" t="str">
        <v>AT.R1.REVENUE</v>
      </c>
      <c r="B116" s="6" t="str">
        <v>Austria: subscription revenue (net of VAT)</v>
      </c>
      <c r="C116" s="2" t="str">
        <v>EUR_per_user</v>
      </c>
      <c r="D116" s="2" t="str">
        <v>SUM</v>
      </c>
      <c r="E116" s="35">
        <f>SUM(H116:AQ116)</f>
        <v>22.03338959080914</v>
      </c>
      <c r="F116" s="6" t="str"/>
      <c r="G116" s="2"/>
      <c r="H116" s="36">
        <f>H35/(1+'Inputs'!$E$44)</f>
        <v>0.9245166666666668</v>
      </c>
      <c r="I116" s="36">
        <f>I35/(1+'Inputs'!$E$44)</f>
        <v>0.9210975400000001</v>
      </c>
      <c r="J116" s="36">
        <f>J35/(1+'Inputs'!$E$44)</f>
        <v>0.91065589208</v>
      </c>
      <c r="K116" s="36">
        <f>K35/(1+'Inputs'!$E$44)</f>
        <v>0.8979103267802534</v>
      </c>
      <c r="L116" s="36">
        <f>L35/(1+'Inputs'!$E$44)</f>
        <v>0.8829951379690532</v>
      </c>
      <c r="M116" s="36">
        <f>M35/(1+'Inputs'!$E$44)</f>
        <v>0.867716824446733</v>
      </c>
      <c r="N116" s="36">
        <f>N35/(1+'Inputs'!$E$44)</f>
        <v>0.8529038816372655</v>
      </c>
      <c r="O116" s="36">
        <f>O35/(1+'Inputs'!$E$44)</f>
        <v>0.838484541706482</v>
      </c>
      <c r="P116" s="36">
        <f>P35/(1+'Inputs'!$E$44)</f>
        <v>0.8243935204564276</v>
      </c>
      <c r="Q116" s="36">
        <f>Q35/(1+'Inputs'!$E$44)</f>
        <v>0.8105714467307797</v>
      </c>
      <c r="R116" s="36">
        <f>R35/(1+'Inputs'!$E$44)</f>
        <v>0.7977963905872226</v>
      </c>
      <c r="S116" s="36">
        <f>S35/(1+'Inputs'!$E$44)</f>
        <v>0.785958692305951</v>
      </c>
      <c r="T116" s="36">
        <f>T35/(1+'Inputs'!$E$44)</f>
        <v>0.6287194162554393</v>
      </c>
      <c r="U116" s="36">
        <f>U35/(1+'Inputs'!$E$44)</f>
        <v>0.6101835699473898</v>
      </c>
      <c r="V116" s="36">
        <f>V35/(1+'Inputs'!$E$44)</f>
        <v>0.5942565771357807</v>
      </c>
      <c r="W116" s="36">
        <f>W35/(1+'Inputs'!$E$44)</f>
        <v>0.5801456116066</v>
      </c>
      <c r="X116" s="36">
        <f>X35/(1+'Inputs'!$E$44)</f>
        <v>0.5677410992623674</v>
      </c>
      <c r="Y116" s="36">
        <f>Y35/(1+'Inputs'!$E$44)</f>
        <v>0.5566766558430014</v>
      </c>
      <c r="Z116" s="36">
        <f>Z35/(1+'Inputs'!$E$44)</f>
        <v>0.5467294660034719</v>
      </c>
      <c r="AA116" s="36">
        <f>AA35/(1+'Inputs'!$E$44)</f>
        <v>0.5378181758913098</v>
      </c>
      <c r="AB116" s="36">
        <f>AB35/(1+'Inputs'!$E$44)</f>
        <v>0.5298686465510033</v>
      </c>
      <c r="AC116" s="36">
        <f>AC35/(1+'Inputs'!$E$44)</f>
        <v>0.5228133057674752</v>
      </c>
      <c r="AD116" s="36">
        <f>AD35/(1+'Inputs'!$E$44)</f>
        <v>0.5164589454598181</v>
      </c>
      <c r="AE116" s="36">
        <f>AE35/(1+'Inputs'!$E$44)</f>
        <v>0.5107500329389084</v>
      </c>
      <c r="AF116" s="36">
        <f>AF35/(1+'Inputs'!$E$44)</f>
        <v>0.4544522722363017</v>
      </c>
      <c r="AG116" s="36">
        <f>AG35/(1+'Inputs'!$E$44)</f>
        <v>0.4463253368783878</v>
      </c>
      <c r="AH116" s="36">
        <f>AH35/(1+'Inputs'!$E$44)</f>
        <v>0.43884748152804215</v>
      </c>
      <c r="AI116" s="36">
        <f>AI35/(1+'Inputs'!$E$44)</f>
        <v>0.43175989156659156</v>
      </c>
      <c r="AJ116" s="36">
        <f>AJ35/(1+'Inputs'!$E$44)</f>
        <v>0.42504121093372577</v>
      </c>
      <c r="AK116" s="36">
        <f>AK35/(1+'Inputs'!$E$44)</f>
        <v>0.4187877398644426</v>
      </c>
      <c r="AL116" s="36">
        <f>AL35/(1+'Inputs'!$E$44)</f>
        <v>0.41292121041554025</v>
      </c>
      <c r="AM116" s="36">
        <f>AM35/(1+'Inputs'!$E$44)</f>
        <v>0.40741288971418105</v>
      </c>
      <c r="AN116" s="36">
        <f>AN35/(1+'Inputs'!$E$44)</f>
        <v>0.40223659138181167</v>
      </c>
      <c r="AO116" s="36">
        <f>AO35/(1+'Inputs'!$E$44)</f>
        <v>0.39736844663073395</v>
      </c>
      <c r="AP116" s="36">
        <f>AP35/(1+'Inputs'!$E$44)</f>
        <v>0.3927406315010856</v>
      </c>
      <c r="AQ116" s="36">
        <f>AQ35/(1+'Inputs'!$E$44)</f>
        <v>0.3883335241288954</v>
      </c>
    </row>
    <row r="117" ht="28" customHeight="1">
      <c r="A117" s="2" t="str">
        <v>AT.R2.REVENUE</v>
      </c>
      <c r="B117" s="6" t="str">
        <v>Austria: copy-trading revenue (net of VAT)</v>
      </c>
      <c r="C117" s="2" t="str">
        <v>EUR_per_user</v>
      </c>
      <c r="D117" s="2" t="str">
        <v>SUM</v>
      </c>
      <c r="E117" s="35">
        <f>SUM(H117:AQ117)</f>
        <v>57.03225324067178</v>
      </c>
      <c r="F117" s="6" t="str"/>
      <c r="G117" s="2"/>
      <c r="H117" s="36">
        <f>H86*'Inputs'!$E$31*'Inputs'!$E$27*'Inputs'!$E$61/'Inputs'!$E$62/(1+'Inputs'!$E$44)</f>
        <v>0.5413958333333334</v>
      </c>
      <c r="I117" s="36">
        <f>I86*'Inputs'!$E$31*'Inputs'!$E$27*'Inputs'!$E$61/'Inputs'!$E$62/(1+'Inputs'!$E$44)</f>
        <v>0.7257411145833333</v>
      </c>
      <c r="J117" s="36">
        <f>J86*'Inputs'!$E$31*'Inputs'!$E$27*'Inputs'!$E$61/'Inputs'!$E$62/(1+'Inputs'!$E$44)</f>
        <v>0.8940258884374999</v>
      </c>
      <c r="K117" s="36">
        <f>K86*'Inputs'!$E$31*'Inputs'!$E$27*'Inputs'!$E$61/'Inputs'!$E$62/(1+'Inputs'!$E$44)</f>
        <v>1.0476319222602866</v>
      </c>
      <c r="L117" s="36">
        <f>L86*'Inputs'!$E$31*'Inputs'!$E$27*'Inputs'!$E$61/'Inputs'!$E$62/(1+'Inputs'!$E$44)</f>
        <v>1.1421371974559051</v>
      </c>
      <c r="M117" s="36">
        <f>M86*'Inputs'!$E$31*'Inputs'!$E$27*'Inputs'!$E$61/'Inputs'!$E$62/(1+'Inputs'!$E$44)</f>
        <v>1.2368082451984905</v>
      </c>
      <c r="N117" s="36">
        <f>N86*'Inputs'!$E$31*'Inputs'!$E$27*'Inputs'!$E$61/'Inputs'!$E$62/(1+'Inputs'!$E$44)</f>
        <v>1.3271510930010184</v>
      </c>
      <c r="O117" s="36">
        <f>O86*'Inputs'!$E$31*'Inputs'!$E$27*'Inputs'!$E$61/'Inputs'!$E$62/(1+'Inputs'!$E$44)</f>
        <v>1.39317264731389</v>
      </c>
      <c r="P117" s="36">
        <f>P86*'Inputs'!$E$31*'Inputs'!$E$27*'Inputs'!$E$61/'Inputs'!$E$62/(1+'Inputs'!$E$44)</f>
        <v>1.437434428038308</v>
      </c>
      <c r="Q117" s="36">
        <f>Q86*'Inputs'!$E$31*'Inputs'!$E$27*'Inputs'!$E$61/'Inputs'!$E$62/(1+'Inputs'!$E$44)</f>
        <v>1.4622382180377322</v>
      </c>
      <c r="R117" s="36">
        <f>R86*'Inputs'!$E$31*'Inputs'!$E$27*'Inputs'!$E$61/'Inputs'!$E$62/(1+'Inputs'!$E$44)</f>
        <v>1.509372027978768</v>
      </c>
      <c r="S117" s="36">
        <f>S86*'Inputs'!$E$31*'Inputs'!$E$27*'Inputs'!$E$61/'Inputs'!$E$62/(1+'Inputs'!$E$44)</f>
        <v>1.5450477743128384</v>
      </c>
      <c r="T117" s="36">
        <f>T86*'Inputs'!$E$31*'Inputs'!$E$27*'Inputs'!$E$61/'Inputs'!$E$62/(1+'Inputs'!$E$44)</f>
        <v>1.5704125996179696</v>
      </c>
      <c r="U117" s="36">
        <f>U86*'Inputs'!$E$31*'Inputs'!$E$27*'Inputs'!$E$61/'Inputs'!$E$62/(1+'Inputs'!$E$44)</f>
        <v>1.6204978756737032</v>
      </c>
      <c r="V117" s="36">
        <f>V86*'Inputs'!$E$31*'Inputs'!$E$27*'Inputs'!$E$61/'Inputs'!$E$62/(1+'Inputs'!$E$44)</f>
        <v>1.664582157101055</v>
      </c>
      <c r="W117" s="36">
        <f>W86*'Inputs'!$E$31*'Inputs'!$E$27*'Inputs'!$E$61/'Inputs'!$E$62/(1+'Inputs'!$E$44)</f>
        <v>1.703208700252765</v>
      </c>
      <c r="X117" s="36">
        <f>X86*'Inputs'!$E$31*'Inputs'!$E$27*'Inputs'!$E$61/'Inputs'!$E$62/(1+'Inputs'!$E$44)</f>
        <v>1.7368717650877956</v>
      </c>
      <c r="Y117" s="36">
        <f>Y86*'Inputs'!$E$31*'Inputs'!$E$27*'Inputs'!$E$61/'Inputs'!$E$62/(1+'Inputs'!$E$44)</f>
        <v>1.7660210195311286</v>
      </c>
      <c r="Z117" s="36">
        <f>Z86*'Inputs'!$E$31*'Inputs'!$E$27*'Inputs'!$E$61/'Inputs'!$E$62/(1+'Inputs'!$E$44)</f>
        <v>1.791065549091335</v>
      </c>
      <c r="AA117" s="36">
        <f>AA86*'Inputs'!$E$31*'Inputs'!$E$27*'Inputs'!$E$61/'Inputs'!$E$62/(1+'Inputs'!$E$44)</f>
        <v>1.812377507020611</v>
      </c>
      <c r="AB117" s="36">
        <f>AB86*'Inputs'!$E$31*'Inputs'!$E$27*'Inputs'!$E$61/'Inputs'!$E$62/(1+'Inputs'!$E$44)</f>
        <v>1.830295437155558</v>
      </c>
      <c r="AC117" s="36">
        <f>AC86*'Inputs'!$E$31*'Inputs'!$E$27*'Inputs'!$E$61/'Inputs'!$E$62/(1+'Inputs'!$E$44)</f>
        <v>1.8451272987105904</v>
      </c>
      <c r="AD117" s="36">
        <f>AD86*'Inputs'!$E$31*'Inputs'!$E$27*'Inputs'!$E$61/'Inputs'!$E$62/(1+'Inputs'!$E$44)</f>
        <v>1.857153219684485</v>
      </c>
      <c r="AE117" s="36">
        <f>AE86*'Inputs'!$E$31*'Inputs'!$E$27*'Inputs'!$E$61/'Inputs'!$E$62/(1+'Inputs'!$E$44)</f>
        <v>1.8666280031617166</v>
      </c>
      <c r="AF117" s="36">
        <f>AF86*'Inputs'!$E$31*'Inputs'!$E$27*'Inputs'!$E$61/'Inputs'!$E$62/(1+'Inputs'!$E$44)</f>
        <v>1.8737834086230987</v>
      </c>
      <c r="AG117" s="36">
        <f>AG86*'Inputs'!$E$31*'Inputs'!$E$27*'Inputs'!$E$61/'Inputs'!$E$62/(1+'Inputs'!$E$44)</f>
        <v>1.861619569825299</v>
      </c>
      <c r="AH117" s="36">
        <f>AH86*'Inputs'!$E$31*'Inputs'!$E$27*'Inputs'!$E$61/'Inputs'!$E$62/(1+'Inputs'!$E$44)</f>
        <v>1.8472162974541573</v>
      </c>
      <c r="AI117" s="36">
        <f>AI86*'Inputs'!$E$31*'Inputs'!$E$27*'Inputs'!$E$61/'Inputs'!$E$62/(1+'Inputs'!$E$44)</f>
        <v>1.8307890764003718</v>
      </c>
      <c r="AJ117" s="36">
        <f>AJ86*'Inputs'!$E$31*'Inputs'!$E$27*'Inputs'!$E$61/'Inputs'!$E$62/(1+'Inputs'!$E$44)</f>
        <v>1.8125329390307903</v>
      </c>
      <c r="AK117" s="36">
        <f>AK86*'Inputs'!$E$31*'Inputs'!$E$27*'Inputs'!$E$61/'Inputs'!$E$62/(1+'Inputs'!$E$44)</f>
        <v>1.807439462803088</v>
      </c>
      <c r="AL117" s="36">
        <f>AL86*'Inputs'!$E$31*'Inputs'!$E$27*'Inputs'!$E$61/'Inputs'!$E$62/(1+'Inputs'!$E$44)</f>
        <v>1.8010416949662644</v>
      </c>
      <c r="AM117" s="36">
        <f>AM86*'Inputs'!$E$31*'Inputs'!$E$27*'Inputs'!$E$61/'Inputs'!$E$62/(1+'Inputs'!$E$44)</f>
        <v>1.7934601095221152</v>
      </c>
      <c r="AN117" s="36">
        <f>AN86*'Inputs'!$E$31*'Inputs'!$E$27*'Inputs'!$E$61/'Inputs'!$E$62/(1+'Inputs'!$E$44)</f>
        <v>1.7848041233990068</v>
      </c>
      <c r="AO117" s="36">
        <f>AO86*'Inputs'!$E$31*'Inputs'!$E$27*'Inputs'!$E$61/'Inputs'!$E$62/(1+'Inputs'!$E$44)</f>
        <v>1.7751731057296958</v>
      </c>
      <c r="AP117" s="36">
        <f>AP86*'Inputs'!$E$31*'Inputs'!$E$27*'Inputs'!$E$61/'Inputs'!$E$62/(1+'Inputs'!$E$44)</f>
        <v>1.7646572954392767</v>
      </c>
      <c r="AQ117" s="36">
        <f>AQ86*'Inputs'!$E$31*'Inputs'!$E$27*'Inputs'!$E$61/'Inputs'!$E$62/(1+'Inputs'!$E$44)</f>
        <v>1.7533386354384983</v>
      </c>
    </row>
    <row r="118" ht="22" customHeight="1">
      <c r="A118" s="2" t="str">
        <v>AT.WEB_GROSS</v>
      </c>
      <c r="B118" s="6" t="str">
        <v>Austria: web card volume (incl. VAT)</v>
      </c>
      <c r="C118" s="2" t="str">
        <v>EUR_per_user</v>
      </c>
      <c r="D118" s="2" t="str">
        <v>NA</v>
      </c>
      <c r="E118" s="2"/>
      <c r="F118" s="6" t="str"/>
      <c r="G118" s="2"/>
      <c r="H118" s="36">
        <f>H34*(1-'Inputs'!$E$25)+H117*(1+'Inputs'!$E$44)</f>
        <v>3.097195</v>
      </c>
      <c r="I118" s="36">
        <f>I34*(1-'Inputs'!$E$25)+I117*(1+'Inputs'!$E$44)</f>
        <v>1.4868438655</v>
      </c>
      <c r="J118" s="36">
        <f>J34*(1-'Inputs'!$E$25)+J117*(1+'Inputs'!$E$44)</f>
        <v>1.6541943587969996</v>
      </c>
      <c r="K118" s="36">
        <f>K34*(1-'Inputs'!$E$25)+K117*(1+'Inputs'!$E$44)</f>
        <v>1.8120251208085998</v>
      </c>
      <c r="L118" s="36">
        <f>L34*(1-'Inputs'!$E$25)+L117*(1+'Inputs'!$E$44)</f>
        <v>1.8981796990156916</v>
      </c>
      <c r="M118" s="36">
        <f>M34*(1-'Inputs'!$E$25)+M117*(1+'Inputs'!$E$44)</f>
        <v>1.9883199597844081</v>
      </c>
      <c r="N118" s="36">
        <f>N34*(1-'Inputs'!$E$25)+N117*(1+'Inputs'!$E$44)</f>
        <v>2.075707082610924</v>
      </c>
      <c r="O118" s="36">
        <f>O34*(1-'Inputs'!$E$25)+O117*(1+'Inputs'!$E$44)</f>
        <v>2.134520716766147</v>
      </c>
      <c r="P118" s="36">
        <f>P34*(1-'Inputs'!$E$25)+P117*(1+'Inputs'!$E$44)</f>
        <v>2.1677857665338336</v>
      </c>
      <c r="Q118" s="36">
        <f>Q34*(1-'Inputs'!$E$25)+Q117*(1+'Inputs'!$E$44)</f>
        <v>2.17821977171128</v>
      </c>
      <c r="R118" s="36">
        <f>R34*(1-'Inputs'!$E$25)+R117*(1+'Inputs'!$E$44)</f>
        <v>2.2181304093706826</v>
      </c>
      <c r="S118" s="36">
        <f>S34*(1-'Inputs'!$E$25)+S117*(1+'Inputs'!$E$44)</f>
        <v>2.245134253858973</v>
      </c>
      <c r="T118" s="36">
        <f>T34*(1-'Inputs'!$E$25)+T117*(1+'Inputs'!$E$44)</f>
        <v>2.9408847078730704</v>
      </c>
      <c r="U118" s="36">
        <f>U34*(1-'Inputs'!$E$25)+U117*(1+'Inputs'!$E$44)</f>
        <v>2.353124252084502</v>
      </c>
      <c r="V118" s="36">
        <f>V34*(1-'Inputs'!$E$25)+V117*(1+'Inputs'!$E$44)</f>
        <v>2.3882817573413924</v>
      </c>
      <c r="W118" s="36">
        <f>W34*(1-'Inputs'!$E$25)+W117*(1+'Inputs'!$E$44)</f>
        <v>2.4208899248762723</v>
      </c>
      <c r="X118" s="36">
        <f>X34*(1-'Inputs'!$E$25)+X117*(1+'Inputs'!$E$44)</f>
        <v>2.4483354036161424</v>
      </c>
      <c r="Y118" s="36">
        <f>Y34*(1-'Inputs'!$E$25)+Y117*(1+'Inputs'!$E$44)</f>
        <v>2.4723272881681244</v>
      </c>
      <c r="Z118" s="36">
        <f>Z34*(1-'Inputs'!$E$25)+Z117*(1+'Inputs'!$E$44)</f>
        <v>2.492665560244109</v>
      </c>
      <c r="AA118" s="36">
        <f>AA34*(1-'Inputs'!$E$25)+AA117*(1+'Inputs'!$E$44)</f>
        <v>2.5091177555879693</v>
      </c>
      <c r="AB118" s="36">
        <f>AB34*(1-'Inputs'!$E$25)+AB117*(1+'Inputs'!$E$44)</f>
        <v>2.522037517533232</v>
      </c>
      <c r="AC118" s="36">
        <f>AC34*(1-'Inputs'!$E$25)+AC117*(1+'Inputs'!$E$44)</f>
        <v>2.53174651647912</v>
      </c>
      <c r="AD118" s="36">
        <f>AD34*(1-'Inputs'!$E$25)+AD117*(1+'Inputs'!$E$44)</f>
        <v>2.5391496317374016</v>
      </c>
      <c r="AE118" s="36">
        <f>AE34*(1-'Inputs'!$E$25)+AE117*(1+'Inputs'!$E$44)</f>
        <v>2.5438977667269356</v>
      </c>
      <c r="AF118" s="36">
        <f>AF34*(1-'Inputs'!$E$25)+AF117*(1+'Inputs'!$E$44)</f>
        <v>2.784355326331103</v>
      </c>
      <c r="AG118" s="36">
        <f>AG34*(1-'Inputs'!$E$25)+AG117*(1+'Inputs'!$E$44)</f>
        <v>2.5416657794697146</v>
      </c>
      <c r="AH118" s="36">
        <f>AH34*(1-'Inputs'!$E$25)+AH117*(1+'Inputs'!$E$44)</f>
        <v>2.5163626174134617</v>
      </c>
      <c r="AI118" s="36">
        <f>AI34*(1-'Inputs'!$E$25)+AI117*(1+'Inputs'!$E$44)</f>
        <v>2.4898954171945618</v>
      </c>
      <c r="AJ118" s="36">
        <f>AJ34*(1-'Inputs'!$E$25)+AJ117*(1+'Inputs'!$E$44)</f>
        <v>2.4613882217726184</v>
      </c>
      <c r="AK118" s="36">
        <f>AK34*(1-'Inputs'!$E$25)+AK117*(1+'Inputs'!$E$44)</f>
        <v>2.4498048885550974</v>
      </c>
      <c r="AL118" s="36">
        <f>AL34*(1-'Inputs'!$E$25)+AL117*(1+'Inputs'!$E$44)</f>
        <v>2.4371032636845813</v>
      </c>
      <c r="AM118" s="36">
        <f>AM34*(1-'Inputs'!$E$25)+AM117*(1+'Inputs'!$E$44)</f>
        <v>2.4231901100562716</v>
      </c>
      <c r="AN118" s="36">
        <f>AN34*(1-'Inputs'!$E$25)+AN117*(1+'Inputs'!$E$44)</f>
        <v>2.408178189872681</v>
      </c>
      <c r="AO118" s="36">
        <f>AO34*(1-'Inputs'!$E$25)+AO117*(1+'Inputs'!$E$44)</f>
        <v>2.392169875814616</v>
      </c>
      <c r="AP118" s="36">
        <f>AP34*(1-'Inputs'!$E$25)+AP117*(1+'Inputs'!$E$44)</f>
        <v>2.375472408128059</v>
      </c>
      <c r="AQ118" s="36">
        <f>AQ34*(1-'Inputs'!$E$25)+AQ117*(1+'Inputs'!$E$44)</f>
        <v>2.357954827212195</v>
      </c>
    </row>
    <row r="119" ht="22" customHeight="1">
      <c r="A119" s="2" t="str">
        <v>AT.TRANSACTIONS</v>
      </c>
      <c r="B119" s="6" t="str">
        <v>Austria: web card payments (count)</v>
      </c>
      <c r="C119" s="2" t="str">
        <v>EUR_per_user</v>
      </c>
      <c r="D119" s="2" t="str">
        <v>NA</v>
      </c>
      <c r="E119" s="2"/>
      <c r="F119" s="6" t="str"/>
      <c r="G119" s="2"/>
      <c r="H119" s="36">
        <f>H36*(1-'Inputs'!$E$25)+H86*'Inputs'!$E$31</f>
        <v>0.08049999999999999</v>
      </c>
      <c r="I119" s="36">
        <f>I36*(1-'Inputs'!$E$25)+I86*'Inputs'!$E$31</f>
        <v>0.07723345</v>
      </c>
      <c r="J119" s="36">
        <f>J36*(1-'Inputs'!$E$25)+J86*'Inputs'!$E$31</f>
        <v>0.0861045603</v>
      </c>
      <c r="K119" s="36">
        <f>K36*(1-'Inputs'!$E$25)+K86*'Inputs'!$E$31</f>
        <v>0.094101386550025</v>
      </c>
      <c r="L119" s="36">
        <f>L36*(1-'Inputs'!$E$25)+L86*'Inputs'!$E$31</f>
        <v>0.09849721502414946</v>
      </c>
      <c r="M119" s="36">
        <f>M36*(1-'Inputs'!$E$25)+M86*'Inputs'!$E$31</f>
        <v>0.10294286935702614</v>
      </c>
      <c r="N119" s="36">
        <f>N36*(1-'Inputs'!$E$25)+N86*'Inputs'!$E$31</f>
        <v>0.10718511254325488</v>
      </c>
      <c r="O119" s="36">
        <f>O36*(1-'Inputs'!$E$25)+O86*'Inputs'!$E$31</f>
        <v>0.11000705426375237</v>
      </c>
      <c r="P119" s="36">
        <f>P36*(1-'Inputs'!$E$25)+P86*'Inputs'!$E$31</f>
        <v>0.11155922070187797</v>
      </c>
      <c r="Q119" s="36">
        <f>Q36*(1-'Inputs'!$E$25)+Q86*'Inputs'!$E$31</f>
        <v>0.11197683212673781</v>
      </c>
      <c r="R119" s="36">
        <f>R36*(1-'Inputs'!$E$25)+R86*'Inputs'!$E$31</f>
        <v>0.11380892770888416</v>
      </c>
      <c r="S119" s="36">
        <f>S36*(1-'Inputs'!$E$25)+S86*'Inputs'!$E$31</f>
        <v>0.11500886557350282</v>
      </c>
      <c r="T119" s="36">
        <f>T36*(1-'Inputs'!$E$25)+T86*'Inputs'!$E$31</f>
        <v>0.12068066383618938</v>
      </c>
      <c r="U119" s="36">
        <f>U36*(1-'Inputs'!$E$25)+U86*'Inputs'!$E$31</f>
        <v>0.11818636142513707</v>
      </c>
      <c r="V119" s="36">
        <f>V36*(1-'Inputs'!$E$25)+V86*'Inputs'!$E$31</f>
        <v>0.12005524157633969</v>
      </c>
      <c r="W119" s="36">
        <f>W36*(1-'Inputs'!$E$25)+W86*'Inputs'!$E$31</f>
        <v>0.12167667228539115</v>
      </c>
      <c r="X119" s="36">
        <f>X36*(1-'Inputs'!$E$25)+X86*'Inputs'!$E$31</f>
        <v>0.12305203798405596</v>
      </c>
      <c r="Y119" s="36">
        <f>Y36*(1-'Inputs'!$E$25)+Y86*'Inputs'!$E$31</f>
        <v>0.12421287035822114</v>
      </c>
      <c r="Z119" s="36">
        <f>Z36*(1-'Inputs'!$E$25)+Z86*'Inputs'!$E$31</f>
        <v>0.12517485371491271</v>
      </c>
      <c r="AA119" s="36">
        <f>AA36*(1-'Inputs'!$E$25)+AA86*'Inputs'!$E$31</f>
        <v>0.12595188062941554</v>
      </c>
      <c r="AB119" s="36">
        <f>AB36*(1-'Inputs'!$E$25)+AB86*'Inputs'!$E$31</f>
        <v>0.12656077379366923</v>
      </c>
      <c r="AC119" s="36">
        <f>AC36*(1-'Inputs'!$E$25)+AC86*'Inputs'!$E$31</f>
        <v>0.12701683441220518</v>
      </c>
      <c r="AD119" s="36">
        <f>AD36*(1-'Inputs'!$E$25)+AD86*'Inputs'!$E$31</f>
        <v>0.1273385151494018</v>
      </c>
      <c r="AE119" s="36">
        <f>AE36*(1-'Inputs'!$E$25)+AE86*'Inputs'!$E$31</f>
        <v>0.1275339156693292</v>
      </c>
      <c r="AF119" s="36">
        <f>AF36*(1-'Inputs'!$E$25)+AF86*'Inputs'!$E$31</f>
        <v>0.1293785470542954</v>
      </c>
      <c r="AG119" s="36">
        <f>AG36*(1-'Inputs'!$E$25)+AG86*'Inputs'!$E$31</f>
        <v>0.12667305432549747</v>
      </c>
      <c r="AH119" s="36">
        <f>AH36*(1-'Inputs'!$E$25)+AH86*'Inputs'!$E$31</f>
        <v>0.1254740018710531</v>
      </c>
      <c r="AI119" s="36">
        <f>AI36*(1-'Inputs'!$E$25)+AI86*'Inputs'!$E$31</f>
        <v>0.12417245478818544</v>
      </c>
      <c r="AJ119" s="36">
        <f>AJ36*(1-'Inputs'!$E$25)+AJ86*'Inputs'!$E$31</f>
        <v>0.12277103979579483</v>
      </c>
      <c r="AK119" s="36">
        <f>AK36*(1-'Inputs'!$E$25)+AK86*'Inputs'!$E$31</f>
        <v>0.1221828898971026</v>
      </c>
      <c r="AL119" s="36">
        <f>AL36*(1-'Inputs'!$E$25)+AL86*'Inputs'!$E$31</f>
        <v>0.12153318005403284</v>
      </c>
      <c r="AM119" s="36">
        <f>AM36*(1-'Inputs'!$E$25)+AM86*'Inputs'!$E$31</f>
        <v>0.12082617677791993</v>
      </c>
      <c r="AN119" s="36">
        <f>AN36*(1-'Inputs'!$E$25)+AN86*'Inputs'!$E$31</f>
        <v>0.12006721539790828</v>
      </c>
      <c r="AO119" s="36">
        <f>AO36*(1-'Inputs'!$E$25)+AO86*'Inputs'!$E$31</f>
        <v>0.11926113894946754</v>
      </c>
      <c r="AP119" s="36">
        <f>AP36*(1-'Inputs'!$E$25)+AP86*'Inputs'!$E$31</f>
        <v>0.11841393086181258</v>
      </c>
      <c r="AQ119" s="36">
        <f>AQ36*(1-'Inputs'!$E$25)+AQ86*'Inputs'!$E$31</f>
        <v>0.11752798574568712</v>
      </c>
    </row>
    <row r="120" ht="28" customHeight="1">
      <c r="A120" s="2" t="str">
        <v>AT.TRADER</v>
      </c>
      <c r="B120" s="6" t="str">
        <v>Austria: lead-trader share of copy fees</v>
      </c>
      <c r="C120" s="2" t="str">
        <v>EUR_per_user</v>
      </c>
      <c r="D120" s="2" t="str">
        <v>NA</v>
      </c>
      <c r="E120" s="2"/>
      <c r="F120" s="6" t="str"/>
      <c r="G120" s="2"/>
      <c r="H120" s="36">
        <f>H117*'Inputs'!$E$28</f>
        <v>0.2706979166666667</v>
      </c>
      <c r="I120" s="36">
        <f>I117*'Inputs'!$E$28</f>
        <v>0.3628705572916667</v>
      </c>
      <c r="J120" s="36">
        <f>J117*'Inputs'!$E$28</f>
        <v>0.44701294421874993</v>
      </c>
      <c r="K120" s="36">
        <f>K117*'Inputs'!$E$28</f>
        <v>0.5238159611301433</v>
      </c>
      <c r="L120" s="36">
        <f>L117*'Inputs'!$E$28</f>
        <v>0.5710685987279526</v>
      </c>
      <c r="M120" s="36">
        <f>M117*'Inputs'!$E$28</f>
        <v>0.6184041225992453</v>
      </c>
      <c r="N120" s="36">
        <f>N117*'Inputs'!$E$28</f>
        <v>0.6635755465005092</v>
      </c>
      <c r="O120" s="36">
        <f>O117*'Inputs'!$E$28</f>
        <v>0.696586323656945</v>
      </c>
      <c r="P120" s="36">
        <f>P117*'Inputs'!$E$28</f>
        <v>0.718717214019154</v>
      </c>
      <c r="Q120" s="36">
        <f>Q117*'Inputs'!$E$28</f>
        <v>0.7311191090188661</v>
      </c>
      <c r="R120" s="36">
        <f>R117*'Inputs'!$E$28</f>
        <v>0.754686013989384</v>
      </c>
      <c r="S120" s="36">
        <f>S117*'Inputs'!$E$28</f>
        <v>0.7725238871564192</v>
      </c>
      <c r="T120" s="36">
        <f>T117*'Inputs'!$E$28</f>
        <v>0.7852062998089848</v>
      </c>
      <c r="U120" s="36">
        <f>U117*'Inputs'!$E$28</f>
        <v>0.8102489378368516</v>
      </c>
      <c r="V120" s="36">
        <f>V117*'Inputs'!$E$28</f>
        <v>0.8322910785505275</v>
      </c>
      <c r="W120" s="36">
        <f>W117*'Inputs'!$E$28</f>
        <v>0.8516043501263825</v>
      </c>
      <c r="X120" s="36">
        <f>X117*'Inputs'!$E$28</f>
        <v>0.8684358825438978</v>
      </c>
      <c r="Y120" s="36">
        <f>Y117*'Inputs'!$E$28</f>
        <v>0.8830105097655643</v>
      </c>
      <c r="Z120" s="36">
        <f>Z117*'Inputs'!$E$28</f>
        <v>0.8955327745456675</v>
      </c>
      <c r="AA120" s="36">
        <f>AA117*'Inputs'!$E$28</f>
        <v>0.9061887535103055</v>
      </c>
      <c r="AB120" s="36">
        <f>AB117*'Inputs'!$E$28</f>
        <v>0.915147718577779</v>
      </c>
      <c r="AC120" s="36">
        <f>AC117*'Inputs'!$E$28</f>
        <v>0.9225636493552952</v>
      </c>
      <c r="AD120" s="36">
        <f>AD117*'Inputs'!$E$28</f>
        <v>0.9285766098422426</v>
      </c>
      <c r="AE120" s="36">
        <f>AE117*'Inputs'!$E$28</f>
        <v>0.9333140015808583</v>
      </c>
      <c r="AF120" s="36">
        <f>AF117*'Inputs'!$E$28</f>
        <v>0.9368917043115493</v>
      </c>
      <c r="AG120" s="36">
        <f>AG117*'Inputs'!$E$28</f>
        <v>0.9308097849126495</v>
      </c>
      <c r="AH120" s="36">
        <f>AH117*'Inputs'!$E$28</f>
        <v>0.9236081487270786</v>
      </c>
      <c r="AI120" s="36">
        <f>AI117*'Inputs'!$E$28</f>
        <v>0.9153945382001859</v>
      </c>
      <c r="AJ120" s="36">
        <f>AJ117*'Inputs'!$E$28</f>
        <v>0.9062664695153951</v>
      </c>
      <c r="AK120" s="36">
        <f>AK117*'Inputs'!$E$28</f>
        <v>0.903719731401544</v>
      </c>
      <c r="AL120" s="36">
        <f>AL117*'Inputs'!$E$28</f>
        <v>0.9005208474831322</v>
      </c>
      <c r="AM120" s="36">
        <f>AM117*'Inputs'!$E$28</f>
        <v>0.8967300547610576</v>
      </c>
      <c r="AN120" s="36">
        <f>AN117*'Inputs'!$E$28</f>
        <v>0.8924020616995034</v>
      </c>
      <c r="AO120" s="36">
        <f>AO117*'Inputs'!$E$28</f>
        <v>0.8875865528648479</v>
      </c>
      <c r="AP120" s="36">
        <f>AP117*'Inputs'!$E$28</f>
        <v>0.8823286477196384</v>
      </c>
      <c r="AQ120" s="36">
        <f>AQ117*'Inputs'!$E$28</f>
        <v>0.8766693177192492</v>
      </c>
    </row>
    <row r="121" ht="22" customHeight="1">
      <c r="A121" s="2" t="str">
        <v>AT.PROCESSOR</v>
      </c>
      <c r="B121" s="6" t="str">
        <v>Austria: card processing fees</v>
      </c>
      <c r="C121" s="2" t="str">
        <v>EUR_per_user</v>
      </c>
      <c r="D121" s="2" t="str">
        <v>NA</v>
      </c>
      <c r="E121" s="2"/>
      <c r="F121" s="6" t="str"/>
      <c r="G121" s="2"/>
      <c r="H121" s="36">
        <f>H118*'Inputs'!$E$32+H119*'Inputs'!$E$33</f>
        <v>0.06658292499999999</v>
      </c>
      <c r="I121" s="36">
        <f>I118*'Inputs'!$E$32+I119*'Inputs'!$E$33</f>
        <v>0.0416110204825</v>
      </c>
      <c r="J121" s="36">
        <f>J118*'Inputs'!$E$32+J119*'Inputs'!$E$33</f>
        <v>0.04633905545695499</v>
      </c>
      <c r="K121" s="36">
        <f>K118*'Inputs'!$E$32+K119*'Inputs'!$E$33</f>
        <v>0.05070572344963525</v>
      </c>
      <c r="L121" s="36">
        <f>L118*'Inputs'!$E$32+L119*'Inputs'!$E$33</f>
        <v>0.05309699924127274</v>
      </c>
      <c r="M121" s="36">
        <f>M118*'Inputs'!$E$32+M119*'Inputs'!$E$33</f>
        <v>0.05556051673602265</v>
      </c>
      <c r="N121" s="36">
        <f>N118*'Inputs'!$E$32+N119*'Inputs'!$E$33</f>
        <v>0.05793188437497758</v>
      </c>
      <c r="O121" s="36">
        <f>O118*'Inputs'!$E$32+O119*'Inputs'!$E$33</f>
        <v>0.059519574317430296</v>
      </c>
      <c r="P121" s="36">
        <f>P118*'Inputs'!$E$32+P119*'Inputs'!$E$33</f>
        <v>0.06040659167347699</v>
      </c>
      <c r="Q121" s="36">
        <f>Q118*'Inputs'!$E$32+Q119*'Inputs'!$E$33</f>
        <v>0.06066750460735365</v>
      </c>
      <c r="R121" s="36">
        <f>R118*'Inputs'!$E$32+R119*'Inputs'!$E$33</f>
        <v>0.06172418806778128</v>
      </c>
      <c r="S121" s="36">
        <f>S118*'Inputs'!$E$32+S119*'Inputs'!$E$33</f>
        <v>0.0624292302012603</v>
      </c>
      <c r="T121" s="36">
        <f>T118*'Inputs'!$E$32+T119*'Inputs'!$E$33</f>
        <v>0.0742834365771434</v>
      </c>
      <c r="U121" s="36">
        <f>U118*'Inputs'!$E$32+U119*'Inputs'!$E$33</f>
        <v>0.0648434541375518</v>
      </c>
      <c r="V121" s="36">
        <f>V118*'Inputs'!$E$32+V119*'Inputs'!$E$33</f>
        <v>0.06583803675420581</v>
      </c>
      <c r="W121" s="36">
        <f>W118*'Inputs'!$E$32+W119*'Inputs'!$E$33</f>
        <v>0.06673251694449187</v>
      </c>
      <c r="X121" s="36">
        <f>X118*'Inputs'!$E$32+X119*'Inputs'!$E$33</f>
        <v>0.06748804055025613</v>
      </c>
      <c r="Y121" s="36">
        <f>Y118*'Inputs'!$E$32+Y119*'Inputs'!$E$33</f>
        <v>0.06813812691207714</v>
      </c>
      <c r="Z121" s="36">
        <f>Z118*'Inputs'!$E$32+Z119*'Inputs'!$E$33</f>
        <v>0.06868369683238981</v>
      </c>
      <c r="AA121" s="36">
        <f>AA118*'Inputs'!$E$32+AA119*'Inputs'!$E$33</f>
        <v>0.06912473649117343</v>
      </c>
      <c r="AB121" s="36">
        <f>AB118*'Inputs'!$E$32+AB119*'Inputs'!$E$33</f>
        <v>0.06947075621141578</v>
      </c>
      <c r="AC121" s="36">
        <f>AC118*'Inputs'!$E$32+AC119*'Inputs'!$E$33</f>
        <v>0.06973040635023808</v>
      </c>
      <c r="AD121" s="36">
        <f>AD118*'Inputs'!$E$32+AD119*'Inputs'!$E$33</f>
        <v>0.06992187326341148</v>
      </c>
      <c r="AE121" s="36">
        <f>AE118*'Inputs'!$E$32+AE119*'Inputs'!$E$33</f>
        <v>0.07004194541823633</v>
      </c>
      <c r="AF121" s="36">
        <f>AF118*'Inputs'!$E$32+AF119*'Inputs'!$E$33</f>
        <v>0.0741099666585404</v>
      </c>
      <c r="AG121" s="36">
        <f>AG118*'Inputs'!$E$32+AG119*'Inputs'!$E$33</f>
        <v>0.0697932502734201</v>
      </c>
      <c r="AH121" s="36">
        <f>AH118*'Inputs'!$E$32+AH119*'Inputs'!$E$33</f>
        <v>0.0691139397289652</v>
      </c>
      <c r="AI121" s="36">
        <f>AI118*'Inputs'!$E$32+AI119*'Inputs'!$E$33</f>
        <v>0.06839154495496479</v>
      </c>
      <c r="AJ121" s="36">
        <f>AJ118*'Inputs'!$E$32+AJ119*'Inputs'!$E$33</f>
        <v>0.06761358327553799</v>
      </c>
      <c r="AK121" s="36">
        <f>AK118*'Inputs'!$E$32+AK119*'Inputs'!$E$33</f>
        <v>0.06729279580260211</v>
      </c>
      <c r="AL121" s="36">
        <f>AL118*'Inputs'!$E$32+AL119*'Inputs'!$E$33</f>
        <v>0.06693984396877693</v>
      </c>
      <c r="AM121" s="36">
        <f>AM118*'Inputs'!$E$32+AM119*'Inputs'!$E$33</f>
        <v>0.06655439584532405</v>
      </c>
      <c r="AN121" s="36">
        <f>AN118*'Inputs'!$E$32+AN119*'Inputs'!$E$33</f>
        <v>0.06613947669756728</v>
      </c>
      <c r="AO121" s="36">
        <f>AO118*'Inputs'!$E$32+AO119*'Inputs'!$E$33</f>
        <v>0.06569783287458612</v>
      </c>
      <c r="AP121" s="36">
        <f>AP118*'Inputs'!$E$32+AP119*'Inputs'!$E$33</f>
        <v>0.06523556883737403</v>
      </c>
      <c r="AQ121" s="36">
        <f>AQ118*'Inputs'!$E$32+AQ119*'Inputs'!$E$33</f>
        <v>0.06475131884460471</v>
      </c>
    </row>
    <row r="122" ht="22" customHeight="1">
      <c r="A122" s="2" t="str">
        <v>AT.BILLING</v>
      </c>
      <c r="B122" s="6" t="str">
        <v>Austria: subscription billing fees</v>
      </c>
      <c r="C122" s="2" t="str">
        <v>EUR_per_user</v>
      </c>
      <c r="D122" s="2" t="str">
        <v>NA</v>
      </c>
      <c r="E122" s="2"/>
      <c r="F122" s="6" t="str"/>
      <c r="G122" s="2"/>
      <c r="H122" s="36">
        <f>H118*'Inputs'!$E$34</f>
        <v>0.021680365</v>
      </c>
      <c r="I122" s="36">
        <f>I118*'Inputs'!$E$34</f>
        <v>0.010407907058500001</v>
      </c>
      <c r="J122" s="36">
        <f>J118*'Inputs'!$E$34</f>
        <v>0.011579360511578998</v>
      </c>
      <c r="K122" s="36">
        <f>K118*'Inputs'!$E$34</f>
        <v>0.012684175845660199</v>
      </c>
      <c r="L122" s="36">
        <f>L118*'Inputs'!$E$34</f>
        <v>0.013287257893109842</v>
      </c>
      <c r="M122" s="36">
        <f>M118*'Inputs'!$E$34</f>
        <v>0.013918239718490858</v>
      </c>
      <c r="N122" s="36">
        <f>N118*'Inputs'!$E$34</f>
        <v>0.014529949578276467</v>
      </c>
      <c r="O122" s="36">
        <f>O118*'Inputs'!$E$34</f>
        <v>0.01494164501736303</v>
      </c>
      <c r="P122" s="36">
        <f>P118*'Inputs'!$E$34</f>
        <v>0.015174500365736835</v>
      </c>
      <c r="Q122" s="36">
        <f>Q118*'Inputs'!$E$34</f>
        <v>0.015247538401978962</v>
      </c>
      <c r="R122" s="36">
        <f>R118*'Inputs'!$E$34</f>
        <v>0.015526912865594778</v>
      </c>
      <c r="S122" s="36">
        <f>S118*'Inputs'!$E$34</f>
        <v>0.015715939777012813</v>
      </c>
      <c r="T122" s="36">
        <f>T118*'Inputs'!$E$34</f>
        <v>0.020586192955111493</v>
      </c>
      <c r="U122" s="36">
        <f>U118*'Inputs'!$E$34</f>
        <v>0.016471869764591515</v>
      </c>
      <c r="V122" s="36">
        <f>V118*'Inputs'!$E$34</f>
        <v>0.016717972301389748</v>
      </c>
      <c r="W122" s="36">
        <f>W118*'Inputs'!$E$34</f>
        <v>0.016946229474133906</v>
      </c>
      <c r="X122" s="36">
        <f>X118*'Inputs'!$E$34</f>
        <v>0.017138347825312997</v>
      </c>
      <c r="Y122" s="36">
        <f>Y118*'Inputs'!$E$34</f>
        <v>0.017306291017176872</v>
      </c>
      <c r="Z122" s="36">
        <f>Z118*'Inputs'!$E$34</f>
        <v>0.017448658921708764</v>
      </c>
      <c r="AA122" s="36">
        <f>AA118*'Inputs'!$E$34</f>
        <v>0.017563824289115786</v>
      </c>
      <c r="AB122" s="36">
        <f>AB118*'Inputs'!$E$34</f>
        <v>0.017654262622732623</v>
      </c>
      <c r="AC122" s="36">
        <f>AC118*'Inputs'!$E$34</f>
        <v>0.01772222561535384</v>
      </c>
      <c r="AD122" s="36">
        <f>AD118*'Inputs'!$E$34</f>
        <v>0.01777404742216181</v>
      </c>
      <c r="AE122" s="36">
        <f>AE118*'Inputs'!$E$34</f>
        <v>0.01780728436708855</v>
      </c>
      <c r="AF122" s="36">
        <f>AF118*'Inputs'!$E$34</f>
        <v>0.019490487284317723</v>
      </c>
      <c r="AG122" s="36">
        <f>AG118*'Inputs'!$E$34</f>
        <v>0.017791660456288</v>
      </c>
      <c r="AH122" s="36">
        <f>AH118*'Inputs'!$E$34</f>
        <v>0.017614538321894233</v>
      </c>
      <c r="AI122" s="36">
        <f>AI118*'Inputs'!$E$34</f>
        <v>0.017429267920361934</v>
      </c>
      <c r="AJ122" s="36">
        <f>AJ118*'Inputs'!$E$34</f>
        <v>0.01722971755240833</v>
      </c>
      <c r="AK122" s="36">
        <f>AK118*'Inputs'!$E$34</f>
        <v>0.017148634219885682</v>
      </c>
      <c r="AL122" s="36">
        <f>AL118*'Inputs'!$E$34</f>
        <v>0.01705972284579207</v>
      </c>
      <c r="AM122" s="36">
        <f>AM118*'Inputs'!$E$34</f>
        <v>0.016962330770393903</v>
      </c>
      <c r="AN122" s="36">
        <f>AN118*'Inputs'!$E$34</f>
        <v>0.016857247329108767</v>
      </c>
      <c r="AO122" s="36">
        <f>AO118*'Inputs'!$E$34</f>
        <v>0.01674518913070231</v>
      </c>
      <c r="AP122" s="36">
        <f>AP118*'Inputs'!$E$34</f>
        <v>0.016628306856896414</v>
      </c>
      <c r="AQ122" s="36">
        <f>AQ118*'Inputs'!$E$34</f>
        <v>0.016505683790485365</v>
      </c>
    </row>
    <row r="123" ht="22" customHeight="1">
      <c r="A123" s="2" t="str">
        <v>AT.STORE</v>
      </c>
      <c r="B123" s="6" t="str">
        <v>Austria: app-store commission</v>
      </c>
      <c r="C123" s="2" t="str">
        <v>EUR_per_user</v>
      </c>
      <c r="D123" s="2" t="str">
        <v>NA</v>
      </c>
      <c r="E123" s="2"/>
      <c r="F123" s="6" t="str"/>
      <c r="G123" s="2"/>
      <c r="H123" s="36">
        <f>H34*'Inputs'!$E$25/(1+'Inputs'!$E$44)*'Inputs'!$E$26</f>
        <v>0.20396000000000006</v>
      </c>
      <c r="I123" s="36">
        <f>I34*'Inputs'!$E$25/(1+'Inputs'!$E$44)*'Inputs'!$E$26</f>
        <v>0.051329544000000005</v>
      </c>
      <c r="J123" s="36">
        <f>J34*'Inputs'!$E$25/(1+'Inputs'!$E$44)*'Inputs'!$E$26</f>
        <v>0.048446941056</v>
      </c>
      <c r="K123" s="36">
        <f>K34*'Inputs'!$E$25/(1+'Inputs'!$E$44)*'Inputs'!$E$26</f>
        <v>0.046238901174688006</v>
      </c>
      <c r="L123" s="36">
        <f>L34*'Inputs'!$E$25/(1+'Inputs'!$E$44)*'Inputs'!$E$26</f>
        <v>0.04396792183905047</v>
      </c>
      <c r="M123" s="36">
        <f>M34*'Inputs'!$E$25/(1+'Inputs'!$E$44)*'Inputs'!$E$26</f>
        <v>0.04201250546218497</v>
      </c>
      <c r="N123" s="36">
        <f>N34*'Inputs'!$E$25/(1+'Inputs'!$E$44)*'Inputs'!$E$26</f>
        <v>0.04026048091747516</v>
      </c>
      <c r="O123" s="36">
        <f>O34*'Inputs'!$E$25/(1+'Inputs'!$E$44)*'Inputs'!$E$26</f>
        <v>0.03855946166578994</v>
      </c>
      <c r="P123" s="36">
        <f>P34*'Inputs'!$E$25/(1+'Inputs'!$E$44)*'Inputs'!$E$26</f>
        <v>0.03690537107398868</v>
      </c>
      <c r="Q123" s="36">
        <f>Q34*'Inputs'!$E$25/(1+'Inputs'!$E$44)*'Inputs'!$E$26</f>
        <v>0.03529449250550011</v>
      </c>
      <c r="R123" s="36">
        <f>R34*'Inputs'!$E$25/(1+'Inputs'!$E$44)*'Inputs'!$E$26</f>
        <v>0.033906997983013464</v>
      </c>
      <c r="S123" s="36">
        <f>S34*'Inputs'!$E$25/(1+'Inputs'!$E$44)*'Inputs'!$E$26</f>
        <v>0.032589743723630604</v>
      </c>
      <c r="T123" s="36">
        <f>T34*'Inputs'!$E$25/(1+'Inputs'!$E$44)*'Inputs'!$E$26</f>
        <v>0.08803246569429224</v>
      </c>
      <c r="U123" s="36">
        <f>U34*'Inputs'!$E$25/(1+'Inputs'!$E$44)*'Inputs'!$E$26</f>
        <v>0.03404390010633817</v>
      </c>
      <c r="V123" s="36">
        <f>V34*'Inputs'!$E$25/(1+'Inputs'!$E$44)*'Inputs'!$E$26</f>
        <v>0.032565264068343876</v>
      </c>
      <c r="W123" s="36">
        <f>W34*'Inputs'!$E$25/(1+'Inputs'!$E$44)*'Inputs'!$E$26</f>
        <v>0.031419957047746194</v>
      </c>
      <c r="X123" s="36">
        <f>X34*'Inputs'!$E$25/(1+'Inputs'!$E$44)*'Inputs'!$E$26</f>
        <v>0.030340773792565636</v>
      </c>
      <c r="Y123" s="36">
        <f>Y34*'Inputs'!$E$25/(1+'Inputs'!$E$44)*'Inputs'!$E$26</f>
        <v>0.02942517206089753</v>
      </c>
      <c r="Z123" s="36">
        <f>Z34*'Inputs'!$E$25/(1+'Inputs'!$E$44)*'Inputs'!$E$26</f>
        <v>0.028615575111208935</v>
      </c>
      <c r="AA123" s="36">
        <f>AA34*'Inputs'!$E$25/(1+'Inputs'!$E$44)*'Inputs'!$E$26</f>
        <v>0.027855395596936377</v>
      </c>
      <c r="AB123" s="36">
        <f>AB34*'Inputs'!$E$25/(1+'Inputs'!$E$44)*'Inputs'!$E$26</f>
        <v>0.027140249412213536</v>
      </c>
      <c r="AC123" s="36">
        <f>AC34*'Inputs'!$E$25/(1+'Inputs'!$E$44)*'Inputs'!$E$26</f>
        <v>0.02646614650220096</v>
      </c>
      <c r="AD123" s="36">
        <f>AD34*'Inputs'!$E$25/(1+'Inputs'!$E$44)*'Inputs'!$E$26</f>
        <v>0.025880480676334975</v>
      </c>
      <c r="AE123" s="36">
        <f>AE34*'Inputs'!$E$25/(1+'Inputs'!$E$44)*'Inputs'!$E$26</f>
        <v>0.025328680244406324</v>
      </c>
      <c r="AF123" s="36">
        <f>AF34*'Inputs'!$E$25/(1+'Inputs'!$E$44)*'Inputs'!$E$26</f>
        <v>0.04465126966528207</v>
      </c>
      <c r="AG123" s="36">
        <f>AG34*'Inputs'!$E$25/(1+'Inputs'!$E$44)*'Inputs'!$E$26</f>
        <v>0.02564352463994631</v>
      </c>
      <c r="AH123" s="36">
        <f>AH34*'Inputs'!$E$25/(1+'Inputs'!$E$44)*'Inputs'!$E$26</f>
        <v>0.024975255039039402</v>
      </c>
      <c r="AI123" s="36">
        <f>AI34*'Inputs'!$E$25/(1+'Inputs'!$E$44)*'Inputs'!$E$26</f>
        <v>0.02441237712617632</v>
      </c>
      <c r="AJ123" s="36">
        <f>AJ34*'Inputs'!$E$25/(1+'Inputs'!$E$44)*'Inputs'!$E$26</f>
        <v>0.02386239124463917</v>
      </c>
      <c r="AK123" s="36">
        <f>AK34*'Inputs'!$E$25/(1+'Inputs'!$E$44)*'Inputs'!$E$26</f>
        <v>0.02340646109928266</v>
      </c>
      <c r="AL123" s="36">
        <f>AL34*'Inputs'!$E$25/(1+'Inputs'!$E$44)*'Inputs'!$E$26</f>
        <v>0.022987769143755343</v>
      </c>
      <c r="AM123" s="36">
        <f>AM34*'Inputs'!$E$25/(1+'Inputs'!$E$44)*'Inputs'!$E$26</f>
        <v>0.022586498219144466</v>
      </c>
      <c r="AN123" s="36">
        <f>AN34*'Inputs'!$E$25/(1+'Inputs'!$E$44)*'Inputs'!$E$26</f>
        <v>0.022201103482822754</v>
      </c>
      <c r="AO123" s="36">
        <f>AO34*'Inputs'!$E$25/(1+'Inputs'!$E$44)*'Inputs'!$E$26</f>
        <v>0.021830179078248427</v>
      </c>
      <c r="AP123" s="36">
        <f>AP34*'Inputs'!$E$25/(1+'Inputs'!$E$44)*'Inputs'!$E$26</f>
        <v>0.02149030446674394</v>
      </c>
      <c r="AQ123" s="36">
        <f>AQ34*'Inputs'!$E$25/(1+'Inputs'!$E$44)*'Inputs'!$E$26</f>
        <v>0.021162372057166444</v>
      </c>
    </row>
    <row r="124" ht="22" customHeight="1">
      <c r="A124" s="2" t="str">
        <v>AT.DISPUTE</v>
      </c>
      <c r="B124" s="6" t="str">
        <v>Austria: card disputes</v>
      </c>
      <c r="C124" s="2" t="str">
        <v>EUR_per_user</v>
      </c>
      <c r="D124" s="2" t="str">
        <v>NA</v>
      </c>
      <c r="E124" s="2"/>
      <c r="F124" s="6" t="str"/>
      <c r="G124" s="2"/>
      <c r="H124" s="36">
        <f>H118*'Inputs'!$E$40+H119*'Inputs'!$E$40*'Inputs'!$E$41</f>
        <v>0.014121584999999999</v>
      </c>
      <c r="I124" s="36">
        <f>I118*'Inputs'!$E$40+I119*'Inputs'!$E$40*'Inputs'!$E$41</f>
        <v>0.0090945385965</v>
      </c>
      <c r="J124" s="36">
        <f>J118*'Inputs'!$E$40+J119*'Inputs'!$E$40*'Inputs'!$E$41</f>
        <v>0.010128856694390998</v>
      </c>
      <c r="K124" s="36">
        <f>K118*'Inputs'!$E$40+K119*'Inputs'!$E$40*'Inputs'!$E$41</f>
        <v>0.0110821585554273</v>
      </c>
      <c r="L124" s="36">
        <f>L118*'Inputs'!$E$40+L119*'Inputs'!$E$40*'Inputs'!$E$41</f>
        <v>0.011604371998496042</v>
      </c>
      <c r="M124" s="36">
        <f>M118*'Inputs'!$E$40+M119*'Inputs'!$E$40*'Inputs'!$E$41</f>
        <v>0.012141532040774793</v>
      </c>
      <c r="N124" s="36">
        <f>N118*'Inputs'!$E$40+N119*'Inputs'!$E$40*'Inputs'!$E$41</f>
        <v>0.012658228000428064</v>
      </c>
      <c r="O124" s="36">
        <f>O118*'Inputs'!$E$40+O119*'Inputs'!$E$40*'Inputs'!$E$41</f>
        <v>0.013003985406123585</v>
      </c>
      <c r="P124" s="36">
        <f>P118*'Inputs'!$E$40+P119*'Inputs'!$E$40*'Inputs'!$E$41</f>
        <v>0.01319691054171418</v>
      </c>
      <c r="Q124" s="36">
        <f>Q118*'Inputs'!$E$40+Q119*'Inputs'!$E$40*'Inputs'!$E$41</f>
        <v>0.013253269242738109</v>
      </c>
      <c r="R124" s="36">
        <f>R118*'Inputs'!$E$40+R119*'Inputs'!$E$40*'Inputs'!$E$41</f>
        <v>0.013482926890645099</v>
      </c>
      <c r="S124" s="36">
        <f>S118*'Inputs'!$E$40+S119*'Inputs'!$E$40*'Inputs'!$E$41</f>
        <v>0.01363593469598709</v>
      </c>
      <c r="T124" s="36">
        <f>T118*'Inputs'!$E$40+T119*'Inputs'!$E$40*'Inputs'!$E$41</f>
        <v>0.016063493953790572</v>
      </c>
      <c r="U124" s="36">
        <f>U118*'Inputs'!$E$40+U119*'Inputs'!$E$40*'Inputs'!$E$41</f>
        <v>0.01415055444176173</v>
      </c>
      <c r="V124" s="36">
        <f>V118*'Inputs'!$E$40+V119*'Inputs'!$E$40*'Inputs'!$E$41</f>
        <v>0.014368159766604558</v>
      </c>
      <c r="W124" s="36">
        <f>W118*'Inputs'!$E$40+W119*'Inputs'!$E$40*'Inputs'!$E$41</f>
        <v>0.014563270111752288</v>
      </c>
      <c r="X124" s="36">
        <f>X118*'Inputs'!$E$40+X119*'Inputs'!$E$40*'Inputs'!$E$41</f>
        <v>0.014728128489891785</v>
      </c>
      <c r="Y124" s="36">
        <f>Y118*'Inputs'!$E$40+Y119*'Inputs'!$E$40*'Inputs'!$E$41</f>
        <v>0.014869754085997642</v>
      </c>
      <c r="Z124" s="36">
        <f>Z118*'Inputs'!$E$40+Z119*'Inputs'!$E$40*'Inputs'!$E$41</f>
        <v>0.014988487903627092</v>
      </c>
      <c r="AA124" s="36">
        <f>AA118*'Inputs'!$E$40+AA119*'Inputs'!$E$40*'Inputs'!$E$41</f>
        <v>0.015084466104528842</v>
      </c>
      <c r="AB124" s="36">
        <f>AB118*'Inputs'!$E$40+AB119*'Inputs'!$E$40*'Inputs'!$E$41</f>
        <v>0.015159758980219849</v>
      </c>
      <c r="AC124" s="36">
        <f>AC118*'Inputs'!$E$40+AC119*'Inputs'!$E$40*'Inputs'!$E$41</f>
        <v>0.015216249614169671</v>
      </c>
      <c r="AD124" s="36">
        <f>AD118*'Inputs'!$E$40+AD119*'Inputs'!$E$40*'Inputs'!$E$41</f>
        <v>0.015257759804176315</v>
      </c>
      <c r="AE124" s="36">
        <f>AE118*'Inputs'!$E$40+AE119*'Inputs'!$E$40*'Inputs'!$E$41</f>
        <v>0.01528372824034056</v>
      </c>
      <c r="AF124" s="36">
        <f>AF118*'Inputs'!$E$40+AF119*'Inputs'!$E$40*'Inputs'!$E$41</f>
        <v>0.016115778802251034</v>
      </c>
      <c r="AG124" s="36">
        <f>AG118*'Inputs'!$E$40+AG119*'Inputs'!$E$40*'Inputs'!$E$41</f>
        <v>0.015225380597938994</v>
      </c>
      <c r="AH124" s="36">
        <f>AH118*'Inputs'!$E$40+AH119*'Inputs'!$E$40*'Inputs'!$E$41</f>
        <v>0.015077527964503571</v>
      </c>
      <c r="AI124" s="36">
        <f>AI118*'Inputs'!$E$40+AI119*'Inputs'!$E$40*'Inputs'!$E$41</f>
        <v>0.014920033538874812</v>
      </c>
      <c r="AJ124" s="36">
        <f>AJ118*'Inputs'!$E$40+AJ119*'Inputs'!$E$40*'Inputs'!$E$41</f>
        <v>0.014750427053065545</v>
      </c>
      <c r="AK124" s="36">
        <f>AK118*'Inputs'!$E$40+AK119*'Inputs'!$E$40*'Inputs'!$E$41</f>
        <v>0.014680388059491449</v>
      </c>
      <c r="AL124" s="36">
        <f>AL118*'Inputs'!$E$40+AL119*'Inputs'!$E$40*'Inputs'!$E$41</f>
        <v>0.014603300594295716</v>
      </c>
      <c r="AM124" s="36">
        <f>AM118*'Inputs'!$E$40+AM119*'Inputs'!$E$40*'Inputs'!$E$41</f>
        <v>0.014519140936844012</v>
      </c>
      <c r="AN124" s="36">
        <f>AN118*'Inputs'!$E$40+AN119*'Inputs'!$E$40*'Inputs'!$E$41</f>
        <v>0.014428567493492542</v>
      </c>
      <c r="AO124" s="36">
        <f>AO118*'Inputs'!$E$40+AO119*'Inputs'!$E$40*'Inputs'!$E$41</f>
        <v>0.014332177964411899</v>
      </c>
      <c r="AP124" s="36">
        <f>AP118*'Inputs'!$E$40+AP119*'Inputs'!$E$40*'Inputs'!$E$41</f>
        <v>0.014231253076092933</v>
      </c>
      <c r="AQ124" s="36">
        <f>AQ118*'Inputs'!$E$40+AQ119*'Inputs'!$E$40*'Inputs'!$E$41</f>
        <v>0.014125543626377813</v>
      </c>
    </row>
    <row r="125" ht="22" customHeight="1">
      <c r="A125" s="2" t="str">
        <v>AT.FRAUD</v>
      </c>
      <c r="B125" s="6" t="str">
        <v>Austria: card fraud losses</v>
      </c>
      <c r="C125" s="2" t="str">
        <v>EUR_per_user</v>
      </c>
      <c r="D125" s="2" t="str">
        <v>NA</v>
      </c>
      <c r="E125" s="2"/>
      <c r="F125" s="6" t="str"/>
      <c r="G125" s="2"/>
      <c r="H125" s="36">
        <f>(H116*(1-'Inputs'!$E$25)+H117)*'Inputs'!$E$42</f>
        <v>0.002192211666666667</v>
      </c>
      <c r="I125" s="36">
        <f>(I116*(1-'Inputs'!$E$25)+I117)*'Inputs'!$E$42</f>
        <v>0.002556799277166667</v>
      </c>
      <c r="J125" s="36">
        <f>(J116*(1-'Inputs'!$E$25)+J117)*'Inputs'!$E$42</f>
        <v>0.002880838847371</v>
      </c>
      <c r="K125" s="36">
        <f>(K116*(1-'Inputs'!$E$25)+K117)*'Inputs'!$E$42</f>
        <v>0.003172756236656877</v>
      </c>
      <c r="L125" s="36">
        <f>(L116*(1-'Inputs'!$E$25)+L117)*'Inputs'!$E$42</f>
        <v>0.0033438685604746743</v>
      </c>
      <c r="M125" s="36">
        <f>(M116*(1-'Inputs'!$E$25)+M117)*'Inputs'!$E$42</f>
        <v>0.0035148766797330607</v>
      </c>
      <c r="N125" s="36">
        <f>(N116*(1-'Inputs'!$E$25)+N117)*'Inputs'!$E$42</f>
        <v>0.0036777868439667556</v>
      </c>
      <c r="O125" s="36">
        <f>(O116*(1-'Inputs'!$E$25)+O117)*'Inputs'!$E$42</f>
        <v>0.0037925267446755583</v>
      </c>
      <c r="P125" s="36">
        <f>(P116*(1-'Inputs'!$E$25)+P117)*'Inputs'!$E$42</f>
        <v>0.003864141080624329</v>
      </c>
      <c r="Q125" s="36">
        <f>(Q116*(1-'Inputs'!$E$25)+Q117)*'Inputs'!$E$42</f>
        <v>0.0038971621721524</v>
      </c>
      <c r="R125" s="36">
        <f>(R116*(1-'Inputs'!$E$25)+R117)*'Inputs'!$E$42</f>
        <v>0.003976099724662203</v>
      </c>
      <c r="S125" s="36">
        <f>(S116*(1-'Inputs'!$E$25)+S117)*'Inputs'!$E$42</f>
        <v>0.004033245979392817</v>
      </c>
      <c r="T125" s="36">
        <f>(T116*(1-'Inputs'!$E$25)+T117)*'Inputs'!$E$42</f>
        <v>0.0038952884987424664</v>
      </c>
      <c r="U125" s="36">
        <f>(U116*(1-'Inputs'!$E$25)+U117)*'Inputs'!$E$42</f>
        <v>0.0039732160352842745</v>
      </c>
      <c r="V125" s="36">
        <f>(V116*(1-'Inputs'!$E$25)+V117)*'Inputs'!$E$42</f>
        <v>0.0040422722067650465</v>
      </c>
      <c r="W125" s="36">
        <f>(W116*(1-'Inputs'!$E$25)+W117)*'Inputs'!$E$42</f>
        <v>0.00410259213443345</v>
      </c>
      <c r="X125" s="36">
        <f>(X116*(1-'Inputs'!$E$25)+X117)*'Inputs'!$E$42</f>
        <v>0.004155032849290432</v>
      </c>
      <c r="Y125" s="36">
        <f>(Y116*(1-'Inputs'!$E$25)+Y117)*'Inputs'!$E$42</f>
        <v>0.004200054026073859</v>
      </c>
      <c r="Z125" s="36">
        <f>(Z116*(1-'Inputs'!$E$25)+Z117)*'Inputs'!$E$42</f>
        <v>0.004238206457386836</v>
      </c>
      <c r="AA125" s="36">
        <f>(AA116*(1-'Inputs'!$E$25)+AA117)*'Inputs'!$E$42</f>
        <v>0.004270136825110794</v>
      </c>
      <c r="AB125" s="36">
        <f>(AB116*(1-'Inputs'!$E$25)+AB117)*'Inputs'!$E$42</f>
        <v>0.00429643325017232</v>
      </c>
      <c r="AC125" s="36">
        <f>(AC116*(1-'Inputs'!$E$25)+AC117)*'Inputs'!$E$42</f>
        <v>0.004317630564342151</v>
      </c>
      <c r="AD125" s="36">
        <f>(AD116*(1-'Inputs'!$E$25)+AD117)*'Inputs'!$E$42</f>
        <v>0.0043340571739207525</v>
      </c>
      <c r="AE125" s="36">
        <f>(AE116*(1-'Inputs'!$E$25)+AE117)*'Inputs'!$E$42</f>
        <v>0.0043461560458501235</v>
      </c>
      <c r="AF125" s="36">
        <f>(AF116*(1-'Inputs'!$E$25)+AF117)*'Inputs'!$E$42</f>
        <v>0.00429290954392976</v>
      </c>
      <c r="AG125" s="36">
        <f>(AG116*(1-'Inputs'!$E$25)+AG117)*'Inputs'!$E$42</f>
        <v>0.004258829543904664</v>
      </c>
      <c r="AH125" s="36">
        <f>(AH116*(1-'Inputs'!$E$25)+AH117)*'Inputs'!$E$42</f>
        <v>0.004221049572741965</v>
      </c>
      <c r="AI125" s="36">
        <f>(AI116*(1-'Inputs'!$E$25)+AI117)*'Inputs'!$E$42</f>
        <v>0.004179690022680654</v>
      </c>
      <c r="AJ125" s="36">
        <f>(AJ116*(1-'Inputs'!$E$25)+AJ117)*'Inputs'!$E$42</f>
        <v>0.004135115331182051</v>
      </c>
      <c r="AK125" s="36">
        <f>(AK116*(1-'Inputs'!$E$25)+AK117)*'Inputs'!$E$42</f>
        <v>0.004117424213443507</v>
      </c>
      <c r="AL125" s="36">
        <f>(AL116*(1-'Inputs'!$E$25)+AL117)*'Inputs'!$E$42</f>
        <v>0.004097588842431177</v>
      </c>
      <c r="AM125" s="36">
        <f>(AM116*(1-'Inputs'!$E$25)+AM117)*'Inputs'!$E$42</f>
        <v>0.004075815686701247</v>
      </c>
      <c r="AN125" s="36">
        <f>(AN116*(1-'Inputs'!$E$25)+AN117)*'Inputs'!$E$42</f>
        <v>0.004052292156456188</v>
      </c>
      <c r="AO125" s="36">
        <f>(AO116*(1-'Inputs'!$E$25)+AO117)*'Inputs'!$E$42</f>
        <v>0.004027188347416272</v>
      </c>
      <c r="AP125" s="36">
        <f>(AP116*(1-'Inputs'!$E$25)+AP117)*'Inputs'!$E$42</f>
        <v>0.004000603348679857</v>
      </c>
      <c r="AQ125" s="36">
        <f>(AQ116*(1-'Inputs'!$E$25)+AQ117)*'Inputs'!$E$42</f>
        <v>0.003972677499831672</v>
      </c>
    </row>
    <row r="126" ht="22" customHeight="1">
      <c r="A126" s="2" t="str">
        <v>AT.RETAIL_KYC</v>
      </c>
      <c r="B126" s="6" t="str">
        <v>Austria: identity checks, users</v>
      </c>
      <c r="C126" s="2" t="str">
        <v>EUR_per_user</v>
      </c>
      <c r="D126" s="2" t="str">
        <v>NA</v>
      </c>
      <c r="E126" s="2"/>
      <c r="F126" s="6" t="str"/>
      <c r="G126" s="2"/>
      <c r="H126" s="36">
        <f>H115*'Inputs'!$E$35/'Inputs'!$E$36</f>
        <v>0.0715869565217391</v>
      </c>
      <c r="I126" s="36">
        <f>I115*'Inputs'!$E$35/'Inputs'!$E$36</f>
        <v>0.028869097173912877</v>
      </c>
      <c r="J126" s="36">
        <f>J115*'Inputs'!$E$35/'Inputs'!$E$36</f>
        <v>0.02407770368907068</v>
      </c>
      <c r="K126" s="36">
        <f>K115*'Inputs'!$E$35/'Inputs'!$E$36</f>
        <v>0.02147620427450212</v>
      </c>
      <c r="L126" s="36">
        <f>L115*'Inputs'!$E$35/'Inputs'!$E$36</f>
        <v>0.0189975739540668</v>
      </c>
      <c r="M126" s="36">
        <f>M115*'Inputs'!$E$35/'Inputs'!$E$36</f>
        <v>0.017376467888382395</v>
      </c>
      <c r="N126" s="36">
        <f>N115*'Inputs'!$E$35/'Inputs'!$E$36</f>
        <v>0.01618876775103954</v>
      </c>
      <c r="O126" s="36">
        <f>O115*'Inputs'!$E$35/'Inputs'!$E$36</f>
        <v>0.015052527650620625</v>
      </c>
      <c r="P126" s="36">
        <f>P115*'Inputs'!$E$35/'Inputs'!$E$36</f>
        <v>0.013965823189002679</v>
      </c>
      <c r="Q126" s="36">
        <f>Q115*'Inputs'!$E$35/'Inputs'!$E$36</f>
        <v>0.01292679751587781</v>
      </c>
      <c r="R126" s="36">
        <f>R115*'Inputs'!$E$35/'Inputs'!$E$36</f>
        <v>0.01225619028467032</v>
      </c>
      <c r="S126" s="36">
        <f>S115*'Inputs'!$E$35/'Inputs'!$E$36</f>
        <v>0.011612374691392301</v>
      </c>
      <c r="T126" s="36">
        <f>T115*'Inputs'!$E$35/'Inputs'!$E$36</f>
        <v>0.010994387863967569</v>
      </c>
      <c r="U126" s="36">
        <f>U115*'Inputs'!$E$35/'Inputs'!$E$36</f>
        <v>0.01063362612729731</v>
      </c>
      <c r="V126" s="36">
        <f>V115*'Inputs'!$E$35/'Inputs'!$E$36</f>
        <v>0.01027566094569722</v>
      </c>
      <c r="W126" s="36">
        <f>W115*'Inputs'!$E$35/'Inputs'!$E$36</f>
        <v>0.009929270153808829</v>
      </c>
      <c r="X126" s="36">
        <f>X115*'Inputs'!$E$35/'Inputs'!$E$36</f>
        <v>0.009594088920156887</v>
      </c>
      <c r="Y126" s="36">
        <f>Y115*'Inputs'!$E$35/'Inputs'!$E$36</f>
        <v>0.00926976378661808</v>
      </c>
      <c r="Z126" s="36">
        <f>Z115*'Inputs'!$E$35/'Inputs'!$E$36</f>
        <v>0.008955952306718114</v>
      </c>
      <c r="AA126" s="36">
        <f>AA115*'Inputs'!$E$35/'Inputs'!$E$36</f>
        <v>0.008652322696806616</v>
      </c>
      <c r="AB126" s="36">
        <f>AB115*'Inputs'!$E$35/'Inputs'!$E$36</f>
        <v>0.00835855349948137</v>
      </c>
      <c r="AC126" s="36">
        <f>AC115*'Inputs'!$E$35/'Inputs'!$E$36</f>
        <v>0.008074333258678268</v>
      </c>
      <c r="AD126" s="36">
        <f>AD115*'Inputs'!$E$35/'Inputs'!$E$36</f>
        <v>0.0077993602058908</v>
      </c>
      <c r="AE126" s="36">
        <f>AE115*'Inputs'!$E$35/'Inputs'!$E$36</f>
        <v>0.007533341957019118</v>
      </c>
      <c r="AF126" s="36">
        <f>AF115*'Inputs'!$E$35/'Inputs'!$E$36</f>
        <v>0.007275995219383873</v>
      </c>
      <c r="AG126" s="36">
        <f>AG115*'Inputs'!$E$35/'Inputs'!$E$36</f>
        <v>0.006964889192076329</v>
      </c>
      <c r="AH126" s="36">
        <f>AH115*'Inputs'!$E$35/'Inputs'!$E$36</f>
        <v>0.006663195241938345</v>
      </c>
      <c r="AI126" s="36">
        <f>AI115*'Inputs'!$E$35/'Inputs'!$E$36</f>
        <v>0.006372677807323885</v>
      </c>
      <c r="AJ126" s="36">
        <f>AJ115*'Inputs'!$E$35/'Inputs'!$E$36</f>
        <v>0.006092954043870738</v>
      </c>
      <c r="AK126" s="36">
        <f>AK115*'Inputs'!$E$35/'Inputs'!$E$36</f>
        <v>0.005871783004300952</v>
      </c>
      <c r="AL126" s="36">
        <f>AL115*'Inputs'!$E$35/'Inputs'!$E$36</f>
        <v>0.005658095471145812</v>
      </c>
      <c r="AM126" s="36">
        <f>AM115*'Inputs'!$E$35/'Inputs'!$E$36</f>
        <v>0.0054516489180923685</v>
      </c>
      <c r="AN126" s="36">
        <f>AN115*'Inputs'!$E$35/'Inputs'!$E$36</f>
        <v>0.005252208462496322</v>
      </c>
      <c r="AO126" s="36">
        <f>AO115*'Inputs'!$E$35/'Inputs'!$E$36</f>
        <v>0.005059546627923637</v>
      </c>
      <c r="AP126" s="36">
        <f>AP115*'Inputs'!$E$35/'Inputs'!$E$36</f>
        <v>0.004873443114157219</v>
      </c>
      <c r="AQ126" s="36">
        <f>AQ115*'Inputs'!$E$35/'Inputs'!$E$36</f>
        <v>0.004693684574412683</v>
      </c>
    </row>
    <row r="127" ht="22" customHeight="1">
      <c r="A127" s="2" t="str">
        <v>AT.CLOUD_SUPPORT</v>
      </c>
      <c r="B127" s="6" t="str">
        <v>Austria: hosting and support, variable</v>
      </c>
      <c r="C127" s="2" t="str">
        <v>EUR_per_user</v>
      </c>
      <c r="D127" s="2" t="str">
        <v>NA</v>
      </c>
      <c r="E127" s="2"/>
      <c r="F127" s="6" t="str"/>
      <c r="G127" s="2"/>
      <c r="H127" s="36">
        <f>H13*('Inputs'!$E$37+'Inputs'!$E$38/'Inputs'!$E$53*'Inputs'!$E$39)</f>
        <v>0.2</v>
      </c>
      <c r="I127" s="36">
        <f>I13*('Inputs'!$E$37+'Inputs'!$E$38/'Inputs'!$E$53*'Inputs'!$E$39)</f>
        <v>0.13999999999999999</v>
      </c>
      <c r="J127" s="36">
        <f>J13*('Inputs'!$E$37+'Inputs'!$E$38/'Inputs'!$E$53*'Inputs'!$E$39)</f>
        <v>0.12</v>
      </c>
      <c r="K127" s="36">
        <f>K13*('Inputs'!$E$37+'Inputs'!$E$38/'Inputs'!$E$53*'Inputs'!$E$39)</f>
        <v>0.11000000000000001</v>
      </c>
      <c r="L127" s="36">
        <f>L13*('Inputs'!$E$37+'Inputs'!$E$38/'Inputs'!$E$53*'Inputs'!$E$39)</f>
        <v>0.1</v>
      </c>
      <c r="M127" s="36">
        <f>M13*('Inputs'!$E$37+'Inputs'!$E$38/'Inputs'!$E$53*'Inputs'!$E$39)</f>
        <v>0.094</v>
      </c>
      <c r="N127" s="36">
        <f>N13*('Inputs'!$E$37+'Inputs'!$E$38/'Inputs'!$E$53*'Inputs'!$E$39)</f>
        <v>0.09000000000000001</v>
      </c>
      <c r="O127" s="36">
        <f>O13*('Inputs'!$E$37+'Inputs'!$E$38/'Inputs'!$E$53*'Inputs'!$E$39)</f>
        <v>0.08600000000000001</v>
      </c>
      <c r="P127" s="36">
        <f>P13*('Inputs'!$E$37+'Inputs'!$E$38/'Inputs'!$E$53*'Inputs'!$E$39)</f>
        <v>0.082</v>
      </c>
      <c r="Q127" s="36">
        <f>Q13*('Inputs'!$E$37+'Inputs'!$E$38/'Inputs'!$E$53*'Inputs'!$E$39)</f>
        <v>0.07800000000000001</v>
      </c>
      <c r="R127" s="36">
        <f>R13*('Inputs'!$E$37+'Inputs'!$E$38/'Inputs'!$E$53*'Inputs'!$E$39)</f>
        <v>0.07600000000000001</v>
      </c>
      <c r="S127" s="36">
        <f>S13*('Inputs'!$E$37+'Inputs'!$E$38/'Inputs'!$E$53*'Inputs'!$E$39)</f>
        <v>0.074</v>
      </c>
      <c r="T127" s="36">
        <f>T13*('Inputs'!$E$37+'Inputs'!$E$38/'Inputs'!$E$53*'Inputs'!$E$39)</f>
        <v>0.072</v>
      </c>
      <c r="U127" s="36">
        <f>U13*('Inputs'!$E$37+'Inputs'!$E$38/'Inputs'!$E$53*'Inputs'!$E$39)</f>
        <v>0.0715</v>
      </c>
      <c r="V127" s="36">
        <f>V13*('Inputs'!$E$37+'Inputs'!$E$38/'Inputs'!$E$53*'Inputs'!$E$39)</f>
        <v>0.071</v>
      </c>
      <c r="W127" s="36">
        <f>W13*('Inputs'!$E$37+'Inputs'!$E$38/'Inputs'!$E$53*'Inputs'!$E$39)</f>
        <v>0.0705</v>
      </c>
      <c r="X127" s="36">
        <f>X13*('Inputs'!$E$37+'Inputs'!$E$38/'Inputs'!$E$53*'Inputs'!$E$39)</f>
        <v>0.06999999999999999</v>
      </c>
      <c r="Y127" s="36">
        <f>Y13*('Inputs'!$E$37+'Inputs'!$E$38/'Inputs'!$E$53*'Inputs'!$E$39)</f>
        <v>0.06949999999999999</v>
      </c>
      <c r="Z127" s="36">
        <f>Z13*('Inputs'!$E$37+'Inputs'!$E$38/'Inputs'!$E$53*'Inputs'!$E$39)</f>
        <v>0.06899999999999999</v>
      </c>
      <c r="AA127" s="36">
        <f>AA13*('Inputs'!$E$37+'Inputs'!$E$38/'Inputs'!$E$53*'Inputs'!$E$39)</f>
        <v>0.0685</v>
      </c>
      <c r="AB127" s="36">
        <f>AB13*('Inputs'!$E$37+'Inputs'!$E$38/'Inputs'!$E$53*'Inputs'!$E$39)</f>
        <v>0.068</v>
      </c>
      <c r="AC127" s="36">
        <f>AC13*('Inputs'!$E$37+'Inputs'!$E$38/'Inputs'!$E$53*'Inputs'!$E$39)</f>
        <v>0.0675</v>
      </c>
      <c r="AD127" s="36">
        <f>AD13*('Inputs'!$E$37+'Inputs'!$E$38/'Inputs'!$E$53*'Inputs'!$E$39)</f>
        <v>0.067</v>
      </c>
      <c r="AE127" s="36">
        <f>AE13*('Inputs'!$E$37+'Inputs'!$E$38/'Inputs'!$E$53*'Inputs'!$E$39)</f>
        <v>0.0665</v>
      </c>
      <c r="AF127" s="36">
        <f>AF13*('Inputs'!$E$37+'Inputs'!$E$38/'Inputs'!$E$53*'Inputs'!$E$39)</f>
        <v>0.066</v>
      </c>
      <c r="AG127" s="36">
        <f>AG13*('Inputs'!$E$37+'Inputs'!$E$38/'Inputs'!$E$53*'Inputs'!$E$39)</f>
        <v>0.0649</v>
      </c>
      <c r="AH127" s="36">
        <f>AH13*('Inputs'!$E$37+'Inputs'!$E$38/'Inputs'!$E$53*'Inputs'!$E$39)</f>
        <v>0.06380000000000001</v>
      </c>
      <c r="AI127" s="36">
        <f>AI13*('Inputs'!$E$37+'Inputs'!$E$38/'Inputs'!$E$53*'Inputs'!$E$39)</f>
        <v>0.0627</v>
      </c>
      <c r="AJ127" s="36">
        <f>AJ13*('Inputs'!$E$37+'Inputs'!$E$38/'Inputs'!$E$53*'Inputs'!$E$39)</f>
        <v>0.0616</v>
      </c>
      <c r="AK127" s="36">
        <f>AK13*('Inputs'!$E$37+'Inputs'!$E$38/'Inputs'!$E$53*'Inputs'!$E$39)</f>
        <v>0.061</v>
      </c>
      <c r="AL127" s="36">
        <f>AL13*('Inputs'!$E$37+'Inputs'!$E$38/'Inputs'!$E$53*'Inputs'!$E$39)</f>
        <v>0.0604</v>
      </c>
      <c r="AM127" s="36">
        <f>AM13*('Inputs'!$E$37+'Inputs'!$E$38/'Inputs'!$E$53*'Inputs'!$E$39)</f>
        <v>0.0598</v>
      </c>
      <c r="AN127" s="36">
        <f>AN13*('Inputs'!$E$37+'Inputs'!$E$38/'Inputs'!$E$53*'Inputs'!$E$39)</f>
        <v>0.0592</v>
      </c>
      <c r="AO127" s="36">
        <f>AO13*('Inputs'!$E$37+'Inputs'!$E$38/'Inputs'!$E$53*'Inputs'!$E$39)</f>
        <v>0.0586</v>
      </c>
      <c r="AP127" s="36">
        <f>AP13*('Inputs'!$E$37+'Inputs'!$E$38/'Inputs'!$E$53*'Inputs'!$E$39)</f>
        <v>0.057999999999999996</v>
      </c>
      <c r="AQ127" s="36">
        <f>AQ13*('Inputs'!$E$37+'Inputs'!$E$38/'Inputs'!$E$53*'Inputs'!$E$39)</f>
        <v>0.0574</v>
      </c>
    </row>
    <row r="128" ht="28" customHeight="1">
      <c r="A128" s="2" t="str">
        <v>AT.CONNECT</v>
      </c>
      <c r="B128" s="6" t="str">
        <v>Austria: payout charges (allocated by copy revenue)</v>
      </c>
      <c r="C128" s="2" t="str">
        <v>EUR_per_user</v>
      </c>
      <c r="D128" s="2" t="str">
        <v>NA</v>
      </c>
      <c r="E128" s="2"/>
      <c r="F128" s="6" t="str"/>
      <c r="G128" s="2"/>
      <c r="H128" s="36">
        <f>H117*INDEX('Calendar_Seeds'!$H$19:$CX$19,1,$E$11+H$6)</f>
        <v>0.0056896899983786995</v>
      </c>
      <c r="I128" s="36">
        <f>I117*INDEX('Calendar_Seeds'!$H$19:$CX$19,1,$E$11+I$6)</f>
        <v>0.007574141202392088</v>
      </c>
      <c r="J128" s="36">
        <f>J117*INDEX('Calendar_Seeds'!$H$19:$CX$19,1,$E$11+J$6)</f>
        <v>0.009268535949750278</v>
      </c>
      <c r="K128" s="36">
        <f>K117*INDEX('Calendar_Seeds'!$H$19:$CX$19,1,$E$11+K$6)</f>
        <v>0.010792127120410548</v>
      </c>
      <c r="L128" s="36">
        <f>L117*INDEX('Calendar_Seeds'!$H$19:$CX$19,1,$E$11+L$6)</f>
        <v>0.011693452340678711</v>
      </c>
      <c r="M128" s="36">
        <f>M117*INDEX('Calendar_Seeds'!$H$19:$CX$19,1,$E$11+M$6)</f>
        <v>0.0125877789666477</v>
      </c>
      <c r="N128" s="36">
        <f>N117*INDEX('Calendar_Seeds'!$H$19:$CX$19,1,$E$11+N$6)</f>
        <v>0.013430714030417507</v>
      </c>
      <c r="O128" s="36">
        <f>O117*INDEX('Calendar_Seeds'!$H$19:$CX$19,1,$E$11+O$6)</f>
        <v>0.014022350325097464</v>
      </c>
      <c r="P128" s="36">
        <f>P117*INDEX('Calendar_Seeds'!$H$19:$CX$19,1,$E$11+P$6)</f>
        <v>0.014392704937024495</v>
      </c>
      <c r="Q128" s="36">
        <f>Q117*INDEX('Calendar_Seeds'!$H$19:$CX$19,1,$E$11+Q$6)</f>
        <v>0.014568277885629245</v>
      </c>
      <c r="R128" s="36">
        <f>R117*INDEX('Calendar_Seeds'!$H$19:$CX$19,1,$E$11+R$6)</f>
        <v>0.014966322285905687</v>
      </c>
      <c r="S128" s="36">
        <f>S117*INDEX('Calendar_Seeds'!$H$19:$CX$19,1,$E$11+S$6)</f>
        <v>0.015250295237674936</v>
      </c>
      <c r="T128" s="36">
        <f>T117*INDEX('Calendar_Seeds'!$H$19:$CX$19,1,$E$11+T$6)</f>
        <v>0.015433659896787737</v>
      </c>
      <c r="U128" s="36">
        <f>U117*INDEX('Calendar_Seeds'!$H$19:$CX$19,1,$E$11+U$6)</f>
        <v>0.015860412325750313</v>
      </c>
      <c r="V128" s="36">
        <f>V117*INDEX('Calendar_Seeds'!$H$19:$CX$19,1,$E$11+V$6)</f>
        <v>0.01622785934874422</v>
      </c>
      <c r="W128" s="36">
        <f>W117*INDEX('Calendar_Seeds'!$H$19:$CX$19,1,$E$11+W$6)</f>
        <v>0.016542049319959454</v>
      </c>
      <c r="X128" s="36">
        <f>X117*INDEX('Calendar_Seeds'!$H$19:$CX$19,1,$E$11+X$6)</f>
        <v>0.016807900147006276</v>
      </c>
      <c r="Y128" s="36">
        <f>Y117*INDEX('Calendar_Seeds'!$H$19:$CX$19,1,$E$11+Y$6)</f>
        <v>0.01703040585136308</v>
      </c>
      <c r="Z128" s="36">
        <f>Z117*INDEX('Calendar_Seeds'!$H$19:$CX$19,1,$E$11+Z$6)</f>
        <v>0.017214186907634894</v>
      </c>
      <c r="AA128" s="36">
        <f>AA117*INDEX('Calendar_Seeds'!$H$19:$CX$19,1,$E$11+AA$6)</f>
        <v>0.01736316139716408</v>
      </c>
      <c r="AB128" s="36">
        <f>AB117*INDEX('Calendar_Seeds'!$H$19:$CX$19,1,$E$11+AB$6)</f>
        <v>0.017479929215692094</v>
      </c>
      <c r="AC128" s="36">
        <f>AC117*INDEX('Calendar_Seeds'!$H$19:$CX$19,1,$E$11+AC$6)</f>
        <v>0.01756810835727337</v>
      </c>
      <c r="AD128" s="36">
        <f>AD117*INDEX('Calendar_Seeds'!$H$19:$CX$19,1,$E$11+AD$6)</f>
        <v>0.01763101119519789</v>
      </c>
      <c r="AE128" s="36">
        <f>AE117*INDEX('Calendar_Seeds'!$H$19:$CX$19,1,$E$11+AE$6)</f>
        <v>0.01767070131556743</v>
      </c>
      <c r="AF128" s="36">
        <f>AF117*INDEX('Calendar_Seeds'!$H$19:$CX$19,1,$E$11+AF$6)</f>
        <v>0.017689602259512004</v>
      </c>
      <c r="AG128" s="36">
        <f>AG117*INDEX('Calendar_Seeds'!$H$19:$CX$19,1,$E$11+AG$6)</f>
        <v>0.017527995205615373</v>
      </c>
      <c r="AH128" s="36">
        <f>AH117*INDEX('Calendar_Seeds'!$H$19:$CX$19,1,$E$11+AH$6)</f>
        <v>0.017347640094513284</v>
      </c>
      <c r="AI128" s="36">
        <f>AI117*INDEX('Calendar_Seeds'!$H$19:$CX$19,1,$E$11+AI$6)</f>
        <v>0.017150611534898646</v>
      </c>
      <c r="AJ128" s="36">
        <f>AJ117*INDEX('Calendar_Seeds'!$H$19:$CX$19,1,$E$11+AJ$6)</f>
        <v>0.016938764004673534</v>
      </c>
      <c r="AK128" s="36">
        <f>AK117*INDEX('Calendar_Seeds'!$H$19:$CX$19,1,$E$11+AK$6)</f>
        <v>0.016851887177229224</v>
      </c>
      <c r="AL128" s="36">
        <f>AL117*INDEX('Calendar_Seeds'!$H$19:$CX$19,1,$E$11+AL$6)</f>
        <v>0.016754467366412923</v>
      </c>
      <c r="AM128" s="36">
        <f>AM117*INDEX('Calendar_Seeds'!$H$19:$CX$19,1,$E$11+AM$6)</f>
        <v>0.016647631180940984</v>
      </c>
      <c r="AN128" s="36">
        <f>AN117*INDEX('Calendar_Seeds'!$H$19:$CX$19,1,$E$11+AN$6)</f>
        <v>0.016532391022530554</v>
      </c>
      <c r="AO128" s="36">
        <f>AO117*INDEX('Calendar_Seeds'!$H$19:$CX$19,1,$E$11+AO$6)</f>
        <v>0.01640965685549834</v>
      </c>
      <c r="AP128" s="36">
        <f>AP117*INDEX('Calendar_Seeds'!$H$19:$CX$19,1,$E$11+AP$6)</f>
        <v>0.016280246597417277</v>
      </c>
      <c r="AQ128" s="36">
        <f>AQ117*INDEX('Calendar_Seeds'!$H$19:$CX$19,1,$E$11+AQ$6)</f>
        <v>0.01614418197266737</v>
      </c>
    </row>
    <row r="129" ht="28" customHeight="1">
      <c r="A129" s="2" t="str">
        <v>AT.TRADER_KYC</v>
      </c>
      <c r="B129" s="6" t="str">
        <v>Austria: identity checks, new lead traders (allocated)</v>
      </c>
      <c r="C129" s="2" t="str">
        <v>EUR_per_user</v>
      </c>
      <c r="D129" s="2" t="str">
        <v>NA</v>
      </c>
      <c r="E129" s="2"/>
      <c r="F129" s="6" t="str"/>
      <c r="G129" s="2"/>
      <c r="H129" s="36">
        <f>H117*INDEX('Calendar_Seeds'!$H$20:$CX$20,1,$E$11+H$6)</f>
        <v>0.0002859845139320021</v>
      </c>
      <c r="I129" s="36">
        <f>I117*INDEX('Calendar_Seeds'!$H$20:$CX$20,1,$E$11+I$6)</f>
        <v>0.0003750399272588758</v>
      </c>
      <c r="J129" s="36">
        <f>J117*INDEX('Calendar_Seeds'!$H$20:$CX$20,1,$E$11+J$6)</f>
        <v>0.0004524194333919132</v>
      </c>
      <c r="K129" s="36">
        <f>K117*INDEX('Calendar_Seeds'!$H$20:$CX$20,1,$E$11+K$6)</f>
        <v>0.0005196425309163118</v>
      </c>
      <c r="L129" s="36">
        <f>L117*INDEX('Calendar_Seeds'!$H$20:$CX$20,1,$E$11+L$6)</f>
        <v>0.000555734658009761</v>
      </c>
      <c r="M129" s="36">
        <f>M117*INDEX('Calendar_Seeds'!$H$20:$CX$20,1,$E$11+M$6)</f>
        <v>0.0005911823976279685</v>
      </c>
      <c r="N129" s="36">
        <f>N117*INDEX('Calendar_Seeds'!$H$20:$CX$20,1,$E$11+N$6)</f>
        <v>0.0006236288309619449</v>
      </c>
      <c r="O129" s="36">
        <f>O117*INDEX('Calendar_Seeds'!$H$20:$CX$20,1,$E$11+O$6)</f>
        <v>0.0006440393625802045</v>
      </c>
      <c r="P129" s="36">
        <f>P117*INDEX('Calendar_Seeds'!$H$20:$CX$20,1,$E$11+P$6)</f>
        <v>0.0006541700737531396</v>
      </c>
      <c r="Q129" s="36">
        <f>Q117*INDEX('Calendar_Seeds'!$H$20:$CX$20,1,$E$11+Q$6)</f>
        <v>0.0006555305216250744</v>
      </c>
      <c r="R129" s="36">
        <f>R117*INDEX('Calendar_Seeds'!$H$20:$CX$20,1,$E$11+R$6)</f>
        <v>0.0006669681833906697</v>
      </c>
      <c r="S129" s="36">
        <f>S117*INDEX('Calendar_Seeds'!$H$20:$CX$20,1,$E$11+S$6)</f>
        <v>0.0006733367634294378</v>
      </c>
      <c r="T129" s="36">
        <f>T117*INDEX('Calendar_Seeds'!$H$20:$CX$20,1,$E$11+T$6)</f>
        <v>0.0006753620613288623</v>
      </c>
      <c r="U129" s="36">
        <f>U117*INDEX('Calendar_Seeds'!$H$20:$CX$20,1,$E$11+U$6)</f>
        <v>0.0006878338114289664</v>
      </c>
      <c r="V129" s="36">
        <f>V117*INDEX('Calendar_Seeds'!$H$20:$CX$20,1,$E$11+V$6)</f>
        <v>0.0006977085689358641</v>
      </c>
      <c r="W129" s="36">
        <f>W117*INDEX('Calendar_Seeds'!$H$20:$CX$20,1,$E$11+W$6)</f>
        <v>0.0007052967901572876</v>
      </c>
      <c r="X129" s="36">
        <f>X117*INDEX('Calendar_Seeds'!$H$20:$CX$20,1,$E$11+X$6)</f>
        <v>0.0007108659679941017</v>
      </c>
      <c r="Y129" s="36">
        <f>Y117*INDEX('Calendar_Seeds'!$H$20:$CX$20,1,$E$11+Y$6)</f>
        <v>0.000714868771559745</v>
      </c>
      <c r="Z129" s="36">
        <f>Z117*INDEX('Calendar_Seeds'!$H$20:$CX$20,1,$E$11+Z$6)</f>
        <v>0.0007173294741125173</v>
      </c>
      <c r="AA129" s="36">
        <f>AA117*INDEX('Calendar_Seeds'!$H$20:$CX$20,1,$E$11+AA$6)</f>
        <v>0.0007184512693141209</v>
      </c>
      <c r="AB129" s="36">
        <f>AB117*INDEX('Calendar_Seeds'!$H$20:$CX$20,1,$E$11+AB$6)</f>
        <v>0.0007183611269855518</v>
      </c>
      <c r="AC129" s="36">
        <f>AC117*INDEX('Calendar_Seeds'!$H$20:$CX$20,1,$E$11+AC$6)</f>
        <v>0.0007175796757616049</v>
      </c>
      <c r="AD129" s="36">
        <f>AD117*INDEX('Calendar_Seeds'!$H$20:$CX$20,1,$E$11+AD$6)</f>
        <v>0.0007158243752104254</v>
      </c>
      <c r="AE129" s="36">
        <f>AE117*INDEX('Calendar_Seeds'!$H$20:$CX$20,1,$E$11+AE$6)</f>
        <v>0.0007132609007551453</v>
      </c>
      <c r="AF129" s="36">
        <f>AF117*INDEX('Calendar_Seeds'!$H$20:$CX$20,1,$E$11+AF$6)</f>
        <v>0.0007101574089992533</v>
      </c>
      <c r="AG129" s="36">
        <f>AG117*INDEX('Calendar_Seeds'!$H$20:$CX$20,1,$E$11+AG$6)</f>
        <v>0.0006999851392205503</v>
      </c>
      <c r="AH129" s="36">
        <f>AH117*INDEX('Calendar_Seeds'!$H$20:$CX$20,1,$E$11+AH$6)</f>
        <v>0.0006892672173438549</v>
      </c>
      <c r="AI129" s="36">
        <f>AI117*INDEX('Calendar_Seeds'!$H$20:$CX$20,1,$E$11+AI$6)</f>
        <v>0.0006780837619202625</v>
      </c>
      <c r="AJ129" s="36">
        <f>AJ117*INDEX('Calendar_Seeds'!$H$20:$CX$20,1,$E$11+AJ$6)</f>
        <v>0.0006665063092402136</v>
      </c>
      <c r="AK129" s="36">
        <f>AK117*INDEX('Calendar_Seeds'!$H$20:$CX$20,1,$E$11+AK$6)</f>
        <v>0.0006600079872987752</v>
      </c>
      <c r="AL129" s="36">
        <f>AL117*INDEX('Calendar_Seeds'!$H$20:$CX$20,1,$E$11+AL$6)</f>
        <v>0.0006532295033115458</v>
      </c>
      <c r="AM129" s="36">
        <f>AM117*INDEX('Calendar_Seeds'!$H$20:$CX$20,1,$E$11+AM$6)</f>
        <v>0.0006462133532470862</v>
      </c>
      <c r="AN129" s="36">
        <f>AN117*INDEX('Calendar_Seeds'!$H$20:$CX$20,1,$E$11+AN$6)</f>
        <v>0.0006389970556083281</v>
      </c>
      <c r="AO129" s="36">
        <f>AO117*INDEX('Calendar_Seeds'!$H$20:$CX$20,1,$E$11+AO$6)</f>
        <v>0.0006316137760845577</v>
      </c>
      <c r="AP129" s="36">
        <f>AP117*INDEX('Calendar_Seeds'!$H$20:$CX$20,1,$E$11+AP$6)</f>
        <v>0.0006240926569215487</v>
      </c>
      <c r="AQ129" s="36">
        <f>AQ117*INDEX('Calendar_Seeds'!$H$20:$CX$20,1,$E$11+AQ$6)</f>
        <v>0.0006164321044918894</v>
      </c>
    </row>
    <row r="130" ht="22" customHeight="1">
      <c r="A130" s="2" t="str">
        <v>AT.UNRECOVERED_VAT</v>
      </c>
      <c r="B130" s="6" t="str">
        <v>Austria: non-recoverable input VAT</v>
      </c>
      <c r="C130" s="2" t="str">
        <v>EUR_per_user</v>
      </c>
      <c r="D130" s="2" t="str">
        <v>NA</v>
      </c>
      <c r="E130" s="2"/>
      <c r="F130" s="6" t="str"/>
      <c r="G130" s="2"/>
      <c r="H130" s="36">
        <f>SUM(H126,H129,H127)*'Inputs'!$E$43*(1-'Inputs'!$E$45)</f>
        <v>0.0</v>
      </c>
      <c r="I130" s="36">
        <f>SUM(I126,I129,I127)*'Inputs'!$E$43*(1-'Inputs'!$E$45)</f>
        <v>0.0</v>
      </c>
      <c r="J130" s="36">
        <f>SUM(J126,J129,J127)*'Inputs'!$E$43*(1-'Inputs'!$E$45)</f>
        <v>0.0</v>
      </c>
      <c r="K130" s="36">
        <f>SUM(K126,K129,K127)*'Inputs'!$E$43*(1-'Inputs'!$E$45)</f>
        <v>0.0</v>
      </c>
      <c r="L130" s="36">
        <f>SUM(L126,L129,L127)*'Inputs'!$E$43*(1-'Inputs'!$E$45)</f>
        <v>0.0</v>
      </c>
      <c r="M130" s="36">
        <f>SUM(M126,M129,M127)*'Inputs'!$E$43*(1-'Inputs'!$E$45)</f>
        <v>0.0</v>
      </c>
      <c r="N130" s="36">
        <f>SUM(N126,N129,N127)*'Inputs'!$E$43*(1-'Inputs'!$E$45)</f>
        <v>0.0</v>
      </c>
      <c r="O130" s="36">
        <f>SUM(O126,O129,O127)*'Inputs'!$E$43*(1-'Inputs'!$E$45)</f>
        <v>0.0</v>
      </c>
      <c r="P130" s="36">
        <f>SUM(P126,P129,P127)*'Inputs'!$E$43*(1-'Inputs'!$E$45)</f>
        <v>0.0</v>
      </c>
      <c r="Q130" s="36">
        <f>SUM(Q126,Q129,Q127)*'Inputs'!$E$43*(1-'Inputs'!$E$45)</f>
        <v>0.0</v>
      </c>
      <c r="R130" s="36">
        <f>SUM(R126,R129,R127)*'Inputs'!$E$43*(1-'Inputs'!$E$45)</f>
        <v>0.0</v>
      </c>
      <c r="S130" s="36">
        <f>SUM(S126,S129,S127)*'Inputs'!$E$43*(1-'Inputs'!$E$45)</f>
        <v>0.0</v>
      </c>
      <c r="T130" s="36">
        <f>SUM(T126,T129,T127)*'Inputs'!$E$43*(1-'Inputs'!$E$45)</f>
        <v>0.0</v>
      </c>
      <c r="U130" s="36">
        <f>SUM(U126,U129,U127)*'Inputs'!$E$43*(1-'Inputs'!$E$45)</f>
        <v>0.0</v>
      </c>
      <c r="V130" s="36">
        <f>SUM(V126,V129,V127)*'Inputs'!$E$43*(1-'Inputs'!$E$45)</f>
        <v>0.0</v>
      </c>
      <c r="W130" s="36">
        <f>SUM(W126,W129,W127)*'Inputs'!$E$43*(1-'Inputs'!$E$45)</f>
        <v>0.0</v>
      </c>
      <c r="X130" s="36">
        <f>SUM(X126,X129,X127)*'Inputs'!$E$43*(1-'Inputs'!$E$45)</f>
        <v>0.0</v>
      </c>
      <c r="Y130" s="36">
        <f>SUM(Y126,Y129,Y127)*'Inputs'!$E$43*(1-'Inputs'!$E$45)</f>
        <v>0.0</v>
      </c>
      <c r="Z130" s="36">
        <f>SUM(Z126,Z129,Z127)*'Inputs'!$E$43*(1-'Inputs'!$E$45)</f>
        <v>0.0</v>
      </c>
      <c r="AA130" s="36">
        <f>SUM(AA126,AA129,AA127)*'Inputs'!$E$43*(1-'Inputs'!$E$45)</f>
        <v>0.0</v>
      </c>
      <c r="AB130" s="36">
        <f>SUM(AB126,AB129,AB127)*'Inputs'!$E$43*(1-'Inputs'!$E$45)</f>
        <v>0.0</v>
      </c>
      <c r="AC130" s="36">
        <f>SUM(AC126,AC129,AC127)*'Inputs'!$E$43*(1-'Inputs'!$E$45)</f>
        <v>0.0</v>
      </c>
      <c r="AD130" s="36">
        <f>SUM(AD126,AD129,AD127)*'Inputs'!$E$43*(1-'Inputs'!$E$45)</f>
        <v>0.0</v>
      </c>
      <c r="AE130" s="36">
        <f>SUM(AE126,AE129,AE127)*'Inputs'!$E$43*(1-'Inputs'!$E$45)</f>
        <v>0.0</v>
      </c>
      <c r="AF130" s="36">
        <f>SUM(AF126,AF129,AF127)*'Inputs'!$E$43*(1-'Inputs'!$E$45)</f>
        <v>0.0</v>
      </c>
      <c r="AG130" s="36">
        <f>SUM(AG126,AG129,AG127)*'Inputs'!$E$43*(1-'Inputs'!$E$45)</f>
        <v>0.0</v>
      </c>
      <c r="AH130" s="36">
        <f>SUM(AH126,AH129,AH127)*'Inputs'!$E$43*(1-'Inputs'!$E$45)</f>
        <v>0.0</v>
      </c>
      <c r="AI130" s="36">
        <f>SUM(AI126,AI129,AI127)*'Inputs'!$E$43*(1-'Inputs'!$E$45)</f>
        <v>0.0</v>
      </c>
      <c r="AJ130" s="36">
        <f>SUM(AJ126,AJ129,AJ127)*'Inputs'!$E$43*(1-'Inputs'!$E$45)</f>
        <v>0.0</v>
      </c>
      <c r="AK130" s="36">
        <f>SUM(AK126,AK129,AK127)*'Inputs'!$E$43*(1-'Inputs'!$E$45)</f>
        <v>0.0</v>
      </c>
      <c r="AL130" s="36">
        <f>SUM(AL126,AL129,AL127)*'Inputs'!$E$43*(1-'Inputs'!$E$45)</f>
        <v>0.0</v>
      </c>
      <c r="AM130" s="36">
        <f>SUM(AM126,AM129,AM127)*'Inputs'!$E$43*(1-'Inputs'!$E$45)</f>
        <v>0.0</v>
      </c>
      <c r="AN130" s="36">
        <f>SUM(AN126,AN129,AN127)*'Inputs'!$E$43*(1-'Inputs'!$E$45)</f>
        <v>0.0</v>
      </c>
      <c r="AO130" s="36">
        <f>SUM(AO126,AO129,AO127)*'Inputs'!$E$43*(1-'Inputs'!$E$45)</f>
        <v>0.0</v>
      </c>
      <c r="AP130" s="36">
        <f>SUM(AP126,AP129,AP127)*'Inputs'!$E$43*(1-'Inputs'!$E$45)</f>
        <v>0.0</v>
      </c>
      <c r="AQ130" s="36">
        <f>SUM(AQ126,AQ129,AQ127)*'Inputs'!$E$43*(1-'Inputs'!$E$45)</f>
        <v>0.0</v>
      </c>
    </row>
    <row r="131" ht="22" customHeight="1">
      <c r="A131" s="2" t="str">
        <v>AT.VARIABLE</v>
      </c>
      <c r="B131" s="6" t="str">
        <v>Austria: variable costs</v>
      </c>
      <c r="C131" s="2" t="str">
        <v>EUR_per_user</v>
      </c>
      <c r="D131" s="2" t="str">
        <v>SUM</v>
      </c>
      <c r="E131" s="35">
        <f>SUM(H131:AQ131)</f>
        <v>37.25790741814993</v>
      </c>
      <c r="F131" s="6" t="str"/>
      <c r="G131" s="2"/>
      <c r="H131" s="35">
        <f>SUM(H120,H121,H122,H123,H124,H125,H126,H127,H128,H129,H130)</f>
        <v>0.8567976343673832</v>
      </c>
      <c r="I131" s="35">
        <f>SUM(I120,I121,I122,I123,I124,I125,I126,I127,I128,I129,I130)</f>
        <v>0.6546886450098972</v>
      </c>
      <c r="J131" s="35">
        <f>SUM(J120,J121,J122,J123,J124,J125,J126,J127,J128,J129,J130)</f>
        <v>0.7201866558572588</v>
      </c>
      <c r="K131" s="35">
        <f>SUM(K120,K121,K122,K123,K124,K125,K126,K127,K128,K129,K130)</f>
        <v>0.7904876503180399</v>
      </c>
      <c r="L131" s="35">
        <f>SUM(L120,L121,L122,L123,L124,L125,L126,L127,L128,L129,L130)</f>
        <v>0.8276157792131116</v>
      </c>
      <c r="M131" s="35">
        <f>SUM(M120,M121,M122,M123,M124,M125,M126,M127,M128,M129,M130)</f>
        <v>0.8701072224891097</v>
      </c>
      <c r="N131" s="35">
        <f>SUM(N120,N121,N122,N123,N124,N125,N126,N127,N128,N129,N130)</f>
        <v>0.9128769868280522</v>
      </c>
      <c r="O131" s="35">
        <f>SUM(O120,O121,O122,O123,O124,O125,O126,O127,O128,O129,O130)</f>
        <v>0.9421224341466257</v>
      </c>
      <c r="P131" s="35">
        <f>SUM(P120,P121,P122,P123,P124,P125,P126,P127,P128,P129,P130)</f>
        <v>0.9592774269544754</v>
      </c>
      <c r="Q131" s="35">
        <f>SUM(Q120,Q121,Q122,Q123,Q124,Q125,Q126,Q127,Q128,Q129,Q130)</f>
        <v>0.9656296818717215</v>
      </c>
      <c r="R131" s="35">
        <f>SUM(R120,R121,R122,R123,R124,R125,R126,R127,R128,R129,R130)</f>
        <v>0.9871926202750475</v>
      </c>
      <c r="S131" s="35">
        <f>SUM(S120,S121,S122,S123,S124,S125,S126,S127,S128,S129,S130)</f>
        <v>1.0024639882261994</v>
      </c>
      <c r="T131" s="35">
        <f>SUM(T120,T121,T122,T123,T124,T125,T126,T127,T128,T129,T130)</f>
        <v>1.0871705873101492</v>
      </c>
      <c r="U131" s="35">
        <f>SUM(U120,U121,U122,U123,U124,U125,U126,U127,U128,U129,U130)</f>
        <v>1.0424138045868556</v>
      </c>
      <c r="V131" s="35">
        <f>SUM(V120,V121,V122,V123,V124,V125,V126,V127,V128,V129,V130)</f>
        <v>1.064024012511214</v>
      </c>
      <c r="W131" s="35">
        <f>SUM(W120,W121,W122,W123,W124,W125,W126,W127,W128,W129,W130)</f>
        <v>1.0830455321028658</v>
      </c>
      <c r="X131" s="35">
        <f>SUM(X120,X121,X122,X123,X124,X125,X126,X127,X128,X129,X130)</f>
        <v>1.099399061086372</v>
      </c>
      <c r="Y131" s="35">
        <f>SUM(Y120,Y121,Y122,Y123,Y124,Y125,Y126,Y127,Y128,Y129,Y130)</f>
        <v>1.1134649462773283</v>
      </c>
      <c r="Z131" s="35">
        <f>SUM(Z120,Z121,Z122,Z123,Z124,Z125,Z126,Z127,Z128,Z129,Z130)</f>
        <v>1.1253948684604544</v>
      </c>
      <c r="AA131" s="35">
        <f>SUM(AA120,AA121,AA122,AA123,AA124,AA125,AA126,AA127,AA128,AA129,AA130)</f>
        <v>1.1353212481804555</v>
      </c>
      <c r="AB131" s="35">
        <f>SUM(AB120,AB121,AB122,AB123,AB124,AB125,AB126,AB127,AB128,AB129,AB130)</f>
        <v>1.1434260228966922</v>
      </c>
      <c r="AC131" s="35">
        <f>SUM(AC120,AC121,AC122,AC123,AC124,AC125,AC126,AC127,AC128,AC129,AC130)</f>
        <v>1.1498763292933132</v>
      </c>
      <c r="AD131" s="35">
        <f>SUM(AD120,AD121,AD122,AD123,AD124,AD125,AD126,AD127,AD128,AD129,AD130)</f>
        <v>1.154891023958547</v>
      </c>
      <c r="AE131" s="35">
        <f>SUM(AE120,AE121,AE122,AE123,AE124,AE125,AE126,AE127,AE128,AE129,AE130)</f>
        <v>1.158539100070122</v>
      </c>
      <c r="AF131" s="35">
        <f>SUM(AF120,AF121,AF122,AF123,AF124,AF125,AF126,AF127,AF128,AF129,AF130)</f>
        <v>1.1872278711537654</v>
      </c>
      <c r="AG131" s="35">
        <f>SUM(AG120,AG121,AG122,AG123,AG124,AG125,AG126,AG127,AG128,AG129,AG130)</f>
        <v>1.1536152999610598</v>
      </c>
      <c r="AH131" s="35">
        <f>SUM(AH120,AH121,AH122,AH123,AH124,AH125,AH126,AH127,AH128,AH129,AH130)</f>
        <v>1.1431105619080184</v>
      </c>
      <c r="AI131" s="35">
        <f>SUM(AI120,AI121,AI122,AI123,AI124,AI125,AI126,AI127,AI128,AI129,AI130)</f>
        <v>1.1316288248673871</v>
      </c>
      <c r="AJ131" s="35">
        <f>SUM(AJ120,AJ121,AJ122,AJ123,AJ124,AJ125,AJ126,AJ127,AJ128,AJ129,AJ130)</f>
        <v>1.1191559283300128</v>
      </c>
      <c r="AK131" s="35">
        <f>SUM(AK120,AK121,AK122,AK123,AK124,AK125,AK126,AK127,AK128,AK129,AK130)</f>
        <v>1.1147491129650784</v>
      </c>
      <c r="AL131" s="35">
        <f>SUM(AL120,AL121,AL122,AL123,AL124,AL125,AL126,AL127,AL128,AL129,AL130)</f>
        <v>1.1096748652190538</v>
      </c>
      <c r="AM131" s="35">
        <f>SUM(AM120,AM121,AM122,AM123,AM124,AM125,AM126,AM127,AM128,AM129,AM130)</f>
        <v>1.1039737296717458</v>
      </c>
      <c r="AN131" s="35">
        <f>SUM(AN120,AN121,AN122,AN123,AN124,AN125,AN126,AN127,AN128,AN129,AN130)</f>
        <v>1.097704345399586</v>
      </c>
      <c r="AO131" s="35">
        <f>SUM(AO120,AO121,AO122,AO123,AO124,AO125,AO126,AO127,AO128,AO129,AO130)</f>
        <v>1.0909199375197194</v>
      </c>
      <c r="AP131" s="35">
        <f>SUM(AP120,AP121,AP122,AP123,AP124,AP125,AP126,AP127,AP128,AP129,AP130)</f>
        <v>1.0836924666739216</v>
      </c>
      <c r="AQ131" s="35">
        <f>SUM(AQ120,AQ121,AQ122,AQ123,AQ124,AQ125,AQ126,AQ127,AQ128,AQ129,AQ130)</f>
        <v>1.076041212189287</v>
      </c>
    </row>
    <row r="132" ht="28" customHeight="1">
      <c r="A132" s="2" t="str">
        <v>AT.CONTRIBUTION</v>
      </c>
      <c r="B132" s="6" t="str">
        <v>Austria: contribution after variable costs</v>
      </c>
      <c r="C132" s="2" t="str">
        <v>EUR_per_user</v>
      </c>
      <c r="D132" s="2" t="str">
        <v>SUM</v>
      </c>
      <c r="E132" s="35">
        <f>SUM(H132:AQ132)</f>
        <v>41.80773541333099</v>
      </c>
      <c r="F132" s="6" t="str"/>
      <c r="G132" s="2"/>
      <c r="H132" s="35">
        <f>SUM(H116,H117)-H131</f>
        <v>0.609114865632617</v>
      </c>
      <c r="I132" s="35">
        <f>SUM(I116,I117)-I131</f>
        <v>0.9921500095734364</v>
      </c>
      <c r="J132" s="35">
        <f>SUM(J116,J117)-J131</f>
        <v>1.0844951246602412</v>
      </c>
      <c r="K132" s="35">
        <f>SUM(K116,K117)-K131</f>
        <v>1.1550545987224998</v>
      </c>
      <c r="L132" s="35">
        <f>SUM(L116,L117)-L131</f>
        <v>1.1975165562118466</v>
      </c>
      <c r="M132" s="35">
        <f>SUM(M116,M117)-M131</f>
        <v>1.2344178471561138</v>
      </c>
      <c r="N132" s="35">
        <f>SUM(N116,N117)-N131</f>
        <v>1.2671779878102318</v>
      </c>
      <c r="O132" s="35">
        <f>SUM(O116,O117)-O131</f>
        <v>1.2895347548737464</v>
      </c>
      <c r="P132" s="35">
        <f>SUM(P116,P117)-P131</f>
        <v>1.30255052154026</v>
      </c>
      <c r="Q132" s="35">
        <f>SUM(Q116,Q117)-Q131</f>
        <v>1.3071799828967903</v>
      </c>
      <c r="R132" s="35">
        <f>SUM(R116,R117)-R131</f>
        <v>1.319975798290943</v>
      </c>
      <c r="S132" s="35">
        <f>SUM(S116,S117)-S131</f>
        <v>1.3285424783925899</v>
      </c>
      <c r="T132" s="35">
        <f>SUM(T116,T117)-T131</f>
        <v>1.1119614285632597</v>
      </c>
      <c r="U132" s="35">
        <f>SUM(U116,U117)-U131</f>
        <v>1.1882676410342374</v>
      </c>
      <c r="V132" s="35">
        <f>SUM(V116,V117)-V131</f>
        <v>1.1948147217256218</v>
      </c>
      <c r="W132" s="35">
        <f>SUM(W116,W117)-W131</f>
        <v>1.2003087797564993</v>
      </c>
      <c r="X132" s="35">
        <f>SUM(X116,X117)-X131</f>
        <v>1.2052138032637911</v>
      </c>
      <c r="Y132" s="35">
        <f>SUM(Y116,Y117)-Y131</f>
        <v>1.2092327290968015</v>
      </c>
      <c r="Z132" s="35">
        <f>SUM(Z116,Z117)-Z131</f>
        <v>1.2124001466343526</v>
      </c>
      <c r="AA132" s="35">
        <f>SUM(AA116,AA117)-AA131</f>
        <v>1.214874434731465</v>
      </c>
      <c r="AB132" s="35">
        <f>SUM(AB116,AB117)-AB131</f>
        <v>1.2167380608098692</v>
      </c>
      <c r="AC132" s="35">
        <f>SUM(AC116,AC117)-AC131</f>
        <v>1.2180642751847526</v>
      </c>
      <c r="AD132" s="35">
        <f>SUM(AD116,AD117)-AD131</f>
        <v>1.2187211411857561</v>
      </c>
      <c r="AE132" s="35">
        <f>SUM(AE116,AE117)-AE131</f>
        <v>1.218838936030503</v>
      </c>
      <c r="AF132" s="35">
        <f>SUM(AF116,AF117)-AF131</f>
        <v>1.1410078097056349</v>
      </c>
      <c r="AG132" s="35">
        <f>SUM(AG116,AG117)-AG131</f>
        <v>1.154329606742627</v>
      </c>
      <c r="AH132" s="35">
        <f>SUM(AH116,AH117)-AH131</f>
        <v>1.1429532170741812</v>
      </c>
      <c r="AI132" s="35">
        <f>SUM(AI116,AI117)-AI131</f>
        <v>1.1309201430995761</v>
      </c>
      <c r="AJ132" s="35">
        <f>SUM(AJ116,AJ117)-AJ131</f>
        <v>1.118418221634503</v>
      </c>
      <c r="AK132" s="35">
        <f>SUM(AK116,AK117)-AK131</f>
        <v>1.111478089702452</v>
      </c>
      <c r="AL132" s="35">
        <f>SUM(AL116,AL117)-AL131</f>
        <v>1.1042880401627508</v>
      </c>
      <c r="AM132" s="35">
        <f>SUM(AM116,AM117)-AM131</f>
        <v>1.0968992695645505</v>
      </c>
      <c r="AN132" s="35">
        <f>SUM(AN116,AN117)-AN131</f>
        <v>1.0893363693812326</v>
      </c>
      <c r="AO132" s="35">
        <f>SUM(AO116,AO117)-AO131</f>
        <v>1.0816216148407103</v>
      </c>
      <c r="AP132" s="35">
        <f>SUM(AP116,AP117)-AP131</f>
        <v>1.0737054602664406</v>
      </c>
      <c r="AQ132" s="35">
        <f>SUM(AQ116,AQ117)-AQ131</f>
        <v>1.0656309473781067</v>
      </c>
    </row>
    <row r="133" ht="28" customHeight="1">
      <c r="A133" s="2" t="str">
        <v>CONTRIBUTION</v>
      </c>
      <c r="B133" s="6" t="str">
        <v>Contribution / original connected user</v>
      </c>
      <c r="C133" s="2" t="str">
        <v>EUR_per_user</v>
      </c>
      <c r="D133" s="2" t="str">
        <v>SUM</v>
      </c>
      <c r="E133" s="35">
        <f>SUM(H133:AQ133)</f>
        <v>42.17436644583331</v>
      </c>
      <c r="F133" s="6" t="str">
        <v>36 ages, no terminal value; fixed cloud, market data and KYC minimum excluded</v>
      </c>
      <c r="G133" s="2"/>
      <c r="H133" s="36">
        <f>H84*(1-'Inputs'!$E$14)+H132*'Inputs'!$E$14</f>
        <v>0.6165499751068937</v>
      </c>
      <c r="I133" s="36">
        <f>I84*(1-'Inputs'!$E$14)+I132*'Inputs'!$E$14</f>
        <v>1.0013930290322293</v>
      </c>
      <c r="J133" s="36">
        <f>J84*(1-'Inputs'!$E$14)+J132*'Inputs'!$E$14</f>
        <v>1.0943014951720984</v>
      </c>
      <c r="K133" s="36">
        <f>K84*(1-'Inputs'!$E$14)+K132*'Inputs'!$E$14</f>
        <v>1.165347897670088</v>
      </c>
      <c r="L133" s="36">
        <f>L84*(1-'Inputs'!$E$14)+L132*'Inputs'!$E$14</f>
        <v>1.208063215735955</v>
      </c>
      <c r="M133" s="36">
        <f>M84*(1-'Inputs'!$E$14)+M132*'Inputs'!$E$14</f>
        <v>1.2452134197879274</v>
      </c>
      <c r="N133" s="36">
        <f>N84*(1-'Inputs'!$E$14)+N132*'Inputs'!$E$14</f>
        <v>1.2782085603796727</v>
      </c>
      <c r="O133" s="36">
        <f>O84*(1-'Inputs'!$E$14)+O132*'Inputs'!$E$14</f>
        <v>1.300713303096761</v>
      </c>
      <c r="P133" s="36">
        <f>P84*(1-'Inputs'!$E$14)+P132*'Inputs'!$E$14</f>
        <v>1.3137989661837826</v>
      </c>
      <c r="Q133" s="36">
        <f>Q84*(1-'Inputs'!$E$14)+Q132*'Inputs'!$E$14</f>
        <v>1.3184282819169442</v>
      </c>
      <c r="R133" s="36">
        <f>R84*(1-'Inputs'!$E$14)+R132*'Inputs'!$E$14</f>
        <v>1.3313125160620325</v>
      </c>
      <c r="S133" s="36">
        <f>S84*(1-'Inputs'!$E$14)+S132*'Inputs'!$E$14</f>
        <v>1.3399319100058875</v>
      </c>
      <c r="T133" s="36">
        <f>T84*(1-'Inputs'!$E$14)+T132*'Inputs'!$E$14</f>
        <v>1.1218378995373939</v>
      </c>
      <c r="U133" s="36">
        <f>U84*(1-'Inputs'!$E$14)+U132*'Inputs'!$E$14</f>
        <v>1.1985977286893206</v>
      </c>
      <c r="V133" s="36">
        <f>V84*(1-'Inputs'!$E$14)+V132*'Inputs'!$E$14</f>
        <v>1.2051988653923797</v>
      </c>
      <c r="W133" s="36">
        <f>W84*(1-'Inputs'!$E$14)+W132*'Inputs'!$E$14</f>
        <v>1.2107380407631934</v>
      </c>
      <c r="X133" s="36">
        <f>X84*(1-'Inputs'!$E$14)+X132*'Inputs'!$E$14</f>
        <v>1.2156822584582825</v>
      </c>
      <c r="Y133" s="36">
        <f>Y84*(1-'Inputs'!$E$14)+Y132*'Inputs'!$E$14</f>
        <v>1.2197326030330102</v>
      </c>
      <c r="Z133" s="36">
        <f>Z84*(1-'Inputs'!$E$14)+Z132*'Inputs'!$E$14</f>
        <v>1.222923921830478</v>
      </c>
      <c r="AA133" s="36">
        <f>AA84*(1-'Inputs'!$E$14)+AA132*'Inputs'!$E$14</f>
        <v>1.225415777638035</v>
      </c>
      <c r="AB133" s="36">
        <f>AB84*(1-'Inputs'!$E$14)+AB132*'Inputs'!$E$14</f>
        <v>1.2272913654561832</v>
      </c>
      <c r="AC133" s="36">
        <f>AC84*(1-'Inputs'!$E$14)+AC132*'Inputs'!$E$14</f>
        <v>1.228624583932827</v>
      </c>
      <c r="AD133" s="36">
        <f>AD84*(1-'Inputs'!$E$14)+AD132*'Inputs'!$E$14</f>
        <v>1.2292827106285567</v>
      </c>
      <c r="AE133" s="36">
        <f>AE84*(1-'Inputs'!$E$14)+AE132*'Inputs'!$E$14</f>
        <v>1.2293969588238802</v>
      </c>
      <c r="AF133" s="36">
        <f>AF84*(1-'Inputs'!$E$14)+AF132*'Inputs'!$E$14</f>
        <v>1.1510212553686863</v>
      </c>
      <c r="AG133" s="36">
        <f>AG84*(1-'Inputs'!$E$14)+AG132*'Inputs'!$E$14</f>
        <v>1.1643809034530146</v>
      </c>
      <c r="AH133" s="36">
        <f>AH84*(1-'Inputs'!$E$14)+AH132*'Inputs'!$E$14</f>
        <v>1.1529002773808896</v>
      </c>
      <c r="AI133" s="36">
        <f>AI84*(1-'Inputs'!$E$14)+AI132*'Inputs'!$E$14</f>
        <v>1.140757624617131</v>
      </c>
      <c r="AJ133" s="36">
        <f>AJ84*(1-'Inputs'!$E$14)+AJ132*'Inputs'!$E$14</f>
        <v>1.1281420402328515</v>
      </c>
      <c r="AK133" s="36">
        <f>AK84*(1-'Inputs'!$E$14)+AK132*'Inputs'!$E$14</f>
        <v>1.1211396403050562</v>
      </c>
      <c r="AL133" s="36">
        <f>AL84*(1-'Inputs'!$E$14)+AL132*'Inputs'!$E$14</f>
        <v>1.1138851334630742</v>
      </c>
      <c r="AM133" s="36">
        <f>AM84*(1-'Inputs'!$E$14)+AM132*'Inputs'!$E$14</f>
        <v>1.1064300939967495</v>
      </c>
      <c r="AN133" s="36">
        <f>AN84*(1-'Inputs'!$E$14)+AN132*'Inputs'!$E$14</f>
        <v>1.0987993314184383</v>
      </c>
      <c r="AO133" s="36">
        <f>AO84*(1-'Inputs'!$E$14)+AO132*'Inputs'!$E$14</f>
        <v>1.0910153184146136</v>
      </c>
      <c r="AP133" s="36">
        <f>AP84*(1-'Inputs'!$E$14)+AP132*'Inputs'!$E$14</f>
        <v>1.0830282050474143</v>
      </c>
      <c r="AQ133" s="36">
        <f>AQ84*(1-'Inputs'!$E$14)+AQ132*'Inputs'!$E$14</f>
        <v>1.0748813378015738</v>
      </c>
    </row>
    <row r="134" ht="28" customHeight="1">
      <c r="A134" s="2" t="str">
        <v>DISCOUNTED</v>
      </c>
      <c r="B134" s="6" t="str">
        <v>Discounted contribution; age 0 undiscounted</v>
      </c>
      <c r="C134" s="2" t="str">
        <v>EUR_per_user</v>
      </c>
      <c r="D134" s="2" t="str">
        <v>SUM</v>
      </c>
      <c r="E134" s="35">
        <f>SUM(H134:AQ134)</f>
        <v>35.93506716851306</v>
      </c>
      <c r="F134" s="6" t="str">
        <v>36 ages, no terminal value; fixed cloud, market data and KYC minimum excluded</v>
      </c>
      <c r="G134" s="2"/>
      <c r="H134" s="36">
        <f>H133/(1+'Inputs'!$E$50)^(H$6/12)</f>
        <v>0.6165499751068937</v>
      </c>
      <c r="I134" s="36">
        <f>I133/(1+'Inputs'!$E$50)^(I$6/12)</f>
        <v>0.9919803330566758</v>
      </c>
      <c r="J134" s="36">
        <f>J133/(1+'Inputs'!$E$50)^(J$6/12)</f>
        <v>1.073826182295568</v>
      </c>
      <c r="K134" s="36">
        <f>K133/(1+'Inputs'!$E$50)^(K$6/12)</f>
        <v>1.1327943946517407</v>
      </c>
      <c r="L134" s="36">
        <f>L133/(1+'Inputs'!$E$50)^(L$6/12)</f>
        <v>1.1632783707017453</v>
      </c>
      <c r="M134" s="36">
        <f>M133/(1+'Inputs'!$E$50)^(M$6/12)</f>
        <v>1.1877807513793301</v>
      </c>
      <c r="N134" s="36">
        <f>N133/(1+'Inputs'!$E$50)^(N$6/12)</f>
        <v>1.2077935622994649</v>
      </c>
      <c r="O134" s="36">
        <f>O133/(1+'Inputs'!$E$50)^(O$6/12)</f>
        <v>1.2175058841215802</v>
      </c>
      <c r="P134" s="36">
        <f>P133/(1+'Inputs'!$E$50)^(P$6/12)</f>
        <v>1.218195246951316</v>
      </c>
      <c r="Q134" s="36">
        <f>Q133/(1+'Inputs'!$E$50)^(Q$6/12)</f>
        <v>1.2109967945944031</v>
      </c>
      <c r="R134" s="36">
        <f>R133/(1+'Inputs'!$E$50)^(R$6/12)</f>
        <v>1.211337036869694</v>
      </c>
      <c r="S134" s="36">
        <f>S133/(1+'Inputs'!$E$50)^(S$6/12)</f>
        <v>1.207719862898548</v>
      </c>
      <c r="T134" s="36">
        <f>T133/(1+'Inputs'!$E$50)^(T$6/12)</f>
        <v>1.001640981729816</v>
      </c>
      <c r="U134" s="36">
        <f>U133/(1+'Inputs'!$E$50)^(U$6/12)</f>
        <v>1.0601173098332328</v>
      </c>
      <c r="V134" s="36">
        <f>V133/(1+'Inputs'!$E$50)^(V$6/12)</f>
        <v>1.055936221678003</v>
      </c>
      <c r="W134" s="36">
        <f>W133/(1+'Inputs'!$E$50)^(W$6/12)</f>
        <v>1.0508183778594358</v>
      </c>
      <c r="X134" s="36">
        <f>X133/(1+'Inputs'!$E$50)^(X$6/12)</f>
        <v>1.0451919314864786</v>
      </c>
      <c r="Y134" s="36">
        <f>Y133/(1+'Inputs'!$E$50)^(Y$6/12)</f>
        <v>1.0388171249901341</v>
      </c>
      <c r="Z134" s="36">
        <f>Z133/(1+'Inputs'!$E$50)^(Z$6/12)</f>
        <v>1.0317450795648078</v>
      </c>
      <c r="AA134" s="36">
        <f>AA133/(1+'Inputs'!$E$50)^(AA$6/12)</f>
        <v>1.0241296312855432</v>
      </c>
      <c r="AB134" s="36">
        <f>AB133/(1+'Inputs'!$E$50)^(AB$6/12)</f>
        <v>1.0160559911326559</v>
      </c>
      <c r="AC134" s="36">
        <f>AC133/(1+'Inputs'!$E$50)^(AC$6/12)</f>
        <v>1.007598845771147</v>
      </c>
      <c r="AD134" s="36">
        <f>AD133/(1+'Inputs'!$E$50)^(AD$6/12)</f>
        <v>0.998662476075923</v>
      </c>
      <c r="AE134" s="36">
        <f>AE133/(1+'Inputs'!$E$50)^(AE$6/12)</f>
        <v>0.9893673883933082</v>
      </c>
      <c r="AF134" s="36">
        <f>AF133/(1+'Inputs'!$E$50)^(AF$6/12)</f>
        <v>0.9175870977110061</v>
      </c>
      <c r="AG134" s="36">
        <f>AG133/(1+'Inputs'!$E$50)^(AG$6/12)</f>
        <v>0.9195122658783401</v>
      </c>
      <c r="AH134" s="36">
        <f>AH133/(1+'Inputs'!$E$50)^(AH$6/12)</f>
        <v>0.9018881787203388</v>
      </c>
      <c r="AI134" s="36">
        <f>AI133/(1+'Inputs'!$E$50)^(AI$6/12)</f>
        <v>0.8840011483787469</v>
      </c>
      <c r="AJ134" s="36">
        <f>AJ133/(1+'Inputs'!$E$50)^(AJ$6/12)</f>
        <v>0.8660076543572113</v>
      </c>
      <c r="AK134" s="36">
        <f>AK133/(1+'Inputs'!$E$50)^(AK$6/12)</f>
        <v>0.8525427263423119</v>
      </c>
      <c r="AL134" s="36">
        <f>AL133/(1+'Inputs'!$E$50)^(AL$6/12)</f>
        <v>0.8390645078567113</v>
      </c>
      <c r="AM134" s="36">
        <f>AM133/(1+'Inputs'!$E$50)^(AM$6/12)</f>
        <v>0.825614708031268</v>
      </c>
      <c r="AN134" s="36">
        <f>AN133/(1+'Inputs'!$E$50)^(AN$6/12)</f>
        <v>0.8122137287474058</v>
      </c>
      <c r="AO134" s="36">
        <f>AO133/(1+'Inputs'!$E$50)^(AO$6/12)</f>
        <v>0.7988795167559934</v>
      </c>
      <c r="AP134" s="36">
        <f>AP133/(1+'Inputs'!$E$50)^(AP$6/12)</f>
        <v>0.7855768969122767</v>
      </c>
      <c r="AQ134" s="36">
        <f>AQ133/(1+'Inputs'!$E$50)^(AQ$6/12)</f>
        <v>0.7723389840940035</v>
      </c>
    </row>
    <row r="135" ht="28" customHeight="1">
      <c r="A135" s="2" t="str">
        <v>CUMULATIVE</v>
      </c>
      <c r="B135" s="6" t="str">
        <v>Cumulative discounted contribution</v>
      </c>
      <c r="C135" s="2" t="str">
        <v>EUR_per_user</v>
      </c>
      <c r="D135" s="2" t="str">
        <v>END</v>
      </c>
      <c r="E135" s="35">
        <f>AQ135</f>
        <v>35.93506716851306</v>
      </c>
      <c r="F135" s="6" t="str">
        <v>36 ages, no terminal value; fixed cloud, market data and KYC minimum excluded</v>
      </c>
      <c r="G135" s="2"/>
      <c r="H135" s="35">
        <f>SUM(H134:H134)</f>
        <v>0.6165499751068937</v>
      </c>
      <c r="I135" s="35">
        <f>SUM(H134:I134)</f>
        <v>1.6085303081635693</v>
      </c>
      <c r="J135" s="35">
        <f>SUM(H134:J134)</f>
        <v>2.6823564904591373</v>
      </c>
      <c r="K135" s="35">
        <f>SUM(H134:K134)</f>
        <v>3.815150885110878</v>
      </c>
      <c r="L135" s="35">
        <f>SUM(H134:L134)</f>
        <v>4.978429255812624</v>
      </c>
      <c r="M135" s="35">
        <f>SUM(H134:M134)</f>
        <v>6.166210007191953</v>
      </c>
      <c r="N135" s="35">
        <f>SUM(H134:N134)</f>
        <v>7.3740035694914186</v>
      </c>
      <c r="O135" s="35">
        <f>SUM(H134:O134)</f>
        <v>8.591509453612998</v>
      </c>
      <c r="P135" s="35">
        <f>SUM(H134:P134)</f>
        <v>9.809704700564314</v>
      </c>
      <c r="Q135" s="35">
        <f>SUM(H134:Q134)</f>
        <v>11.020701495158718</v>
      </c>
      <c r="R135" s="35">
        <f>SUM(H134:R134)</f>
        <v>12.232038532028412</v>
      </c>
      <c r="S135" s="35">
        <f>SUM(H134:S134)</f>
        <v>13.43975839492696</v>
      </c>
      <c r="T135" s="35">
        <f>SUM(H134:T134)</f>
        <v>14.441399376656776</v>
      </c>
      <c r="U135" s="35">
        <f>SUM(H134:U134)</f>
        <v>15.501516686490008</v>
      </c>
      <c r="V135" s="35">
        <f>SUM(H134:V134)</f>
        <v>16.557452908168013</v>
      </c>
      <c r="W135" s="35">
        <f>SUM(H134:W134)</f>
        <v>17.60827128602745</v>
      </c>
      <c r="X135" s="35">
        <f>SUM(H134:X134)</f>
        <v>18.653463217513927</v>
      </c>
      <c r="Y135" s="35">
        <f>SUM(H134:Y134)</f>
        <v>19.69228034250406</v>
      </c>
      <c r="Z135" s="35">
        <f>SUM(H134:Z134)</f>
        <v>20.724025422068866</v>
      </c>
      <c r="AA135" s="35">
        <f>SUM(H134:AA134)</f>
        <v>21.74815505335441</v>
      </c>
      <c r="AB135" s="35">
        <f>SUM(H134:AB134)</f>
        <v>22.764211044487066</v>
      </c>
      <c r="AC135" s="35">
        <f>SUM(H134:AC134)</f>
        <v>23.771809890258215</v>
      </c>
      <c r="AD135" s="35">
        <f>SUM(H134:AD134)</f>
        <v>24.770472366334136</v>
      </c>
      <c r="AE135" s="35">
        <f>SUM(H134:AE134)</f>
        <v>25.759839754727444</v>
      </c>
      <c r="AF135" s="35">
        <f>SUM(H134:AF134)</f>
        <v>26.67742685243845</v>
      </c>
      <c r="AG135" s="35">
        <f>SUM(H134:AG134)</f>
        <v>27.59693911831679</v>
      </c>
      <c r="AH135" s="35">
        <f>SUM(H134:AH134)</f>
        <v>28.49882729703713</v>
      </c>
      <c r="AI135" s="35">
        <f>SUM(H134:AI134)</f>
        <v>29.38282844541588</v>
      </c>
      <c r="AJ135" s="35">
        <f>SUM(H134:AJ134)</f>
        <v>30.248836099773087</v>
      </c>
      <c r="AK135" s="35">
        <f>SUM(H134:AK134)</f>
        <v>31.1013788261154</v>
      </c>
      <c r="AL135" s="35">
        <f>SUM(H134:AL134)</f>
        <v>31.940443333972112</v>
      </c>
      <c r="AM135" s="35">
        <f>SUM(H134:AM134)</f>
        <v>32.76605804200338</v>
      </c>
      <c r="AN135" s="35">
        <f>SUM(H134:AN134)</f>
        <v>33.57827177075079</v>
      </c>
      <c r="AO135" s="35">
        <f>SUM(H134:AO134)</f>
        <v>34.37715128750678</v>
      </c>
      <c r="AP135" s="35">
        <f>SUM(H134:AP134)</f>
        <v>35.16272818441905</v>
      </c>
      <c r="AQ135" s="35">
        <f>SUM(H134:AQ134)</f>
        <v>35.93506716851306</v>
      </c>
    </row>
  </sheetData>
  <mergeCells>
    <mergeCell ref="B1:F1"/>
    <mergeCell ref="B2:F2"/>
    <mergeCell ref="B3:F3"/>
    <mergeCell ref="B4:F4"/>
    <mergeCell ref="B5:F5"/>
  </mergeCells>
  <pageMargins left="0.7" right="0.7" top="0.75" bottom="0.75" header="0.3" footer="0.3"/>
  <tableParts count="1">
    <tablePart ns1:id="R58b77d8c44434621"/>
  </tableParts>
</worksheet>
</file>

<file path=xl/worksheets/sheet10.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s>
  <sheetData>
    <row r="1" ht="28" customHeight="1">
      <c r="A1" s="2"/>
      <c r="B1" s="30" t="str">
        <v>D10 release reconciliation</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row>
    <row r="7" ht="22" customHeight="1">
      <c r="A7" s="2"/>
      <c r="B7" s="2"/>
      <c r="C7" s="2"/>
      <c r="D7" s="2"/>
      <c r="E7" s="2"/>
      <c r="F7" s="2"/>
      <c r="G7" s="2"/>
      <c r="H7" s="52" t="n">
        <v>46388</v>
      </c>
      <c r="I7" s="52" t="n">
        <v>46419</v>
      </c>
      <c r="J7" s="52" t="n">
        <v>46447</v>
      </c>
      <c r="K7" s="52" t="n">
        <v>46478</v>
      </c>
      <c r="L7" s="52" t="n">
        <v>46508</v>
      </c>
      <c r="M7" s="52" t="n">
        <v>46539</v>
      </c>
      <c r="N7" s="52" t="n">
        <v>46569</v>
      </c>
      <c r="O7" s="52" t="n">
        <v>46600</v>
      </c>
      <c r="P7" s="52" t="n">
        <v>46631</v>
      </c>
      <c r="Q7" s="52" t="n">
        <v>46661</v>
      </c>
      <c r="R7" s="52" t="n">
        <v>46692</v>
      </c>
      <c r="S7" s="52" t="n">
        <v>46722</v>
      </c>
      <c r="T7" s="52" t="n">
        <v>46753</v>
      </c>
      <c r="U7" s="52" t="n">
        <v>46784</v>
      </c>
      <c r="V7" s="52" t="n">
        <v>46813</v>
      </c>
      <c r="W7" s="52" t="n">
        <v>46844</v>
      </c>
      <c r="X7" s="52" t="n">
        <v>46874</v>
      </c>
      <c r="Y7" s="52" t="n">
        <v>46905</v>
      </c>
      <c r="Z7" s="52" t="n">
        <v>46935</v>
      </c>
      <c r="AA7" s="52" t="n">
        <v>46966</v>
      </c>
      <c r="AB7" s="52" t="n">
        <v>46997</v>
      </c>
      <c r="AC7" s="52" t="n">
        <v>47027</v>
      </c>
      <c r="AD7" s="52" t="n">
        <v>47058</v>
      </c>
      <c r="AE7" s="52" t="n">
        <v>47088</v>
      </c>
      <c r="AF7" s="52" t="n">
        <v>47119</v>
      </c>
      <c r="AG7" s="52" t="n">
        <v>47150</v>
      </c>
      <c r="AH7" s="52" t="n">
        <v>47178</v>
      </c>
      <c r="AI7" s="52" t="n">
        <v>47209</v>
      </c>
      <c r="AJ7" s="52" t="n">
        <v>47239</v>
      </c>
      <c r="AK7" s="52" t="n">
        <v>47270</v>
      </c>
      <c r="AL7" s="52" t="n">
        <v>47300</v>
      </c>
      <c r="AM7" s="52" t="n">
        <v>47331</v>
      </c>
      <c r="AN7" s="52" t="n">
        <v>47362</v>
      </c>
      <c r="AO7" s="52" t="n">
        <v>47392</v>
      </c>
      <c r="AP7" s="52" t="n">
        <v>47423</v>
      </c>
      <c r="AQ7" s="52" t="n">
        <v>47453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row>
    <row r="9" ht="22" customHeight="1">
      <c r="A9" s="2"/>
      <c r="B9" s="2"/>
      <c r="C9" s="2"/>
      <c r="D9" s="2"/>
      <c r="E9" s="2"/>
      <c r="F9" s="2"/>
      <c r="G9" s="2"/>
      <c r="H9" s="8">
        <f>ROUNDDOWN((MONTH(H7)-1)/'Inputs'!$E$68,0)+1</f>
        <v>1.0</v>
      </c>
      <c r="I9" s="8">
        <f>ROUNDDOWN((MONTH(I7)-1)/'Inputs'!$E$68,0)+1</f>
        <v>1.0</v>
      </c>
      <c r="J9" s="8">
        <f>ROUNDDOWN((MONTH(J7)-1)/'Inputs'!$E$68,0)+1</f>
        <v>1.0</v>
      </c>
      <c r="K9" s="8">
        <f>ROUNDDOWN((MONTH(K7)-1)/'Inputs'!$E$68,0)+1</f>
        <v>2.0</v>
      </c>
      <c r="L9" s="8">
        <f>ROUNDDOWN((MONTH(L7)-1)/'Inputs'!$E$68,0)+1</f>
        <v>2.0</v>
      </c>
      <c r="M9" s="8">
        <f>ROUNDDOWN((MONTH(M7)-1)/'Inputs'!$E$68,0)+1</f>
        <v>2.0</v>
      </c>
      <c r="N9" s="8">
        <f>ROUNDDOWN((MONTH(N7)-1)/'Inputs'!$E$68,0)+1</f>
        <v>3.0</v>
      </c>
      <c r="O9" s="8">
        <f>ROUNDDOWN((MONTH(O7)-1)/'Inputs'!$E$68,0)+1</f>
        <v>3.0</v>
      </c>
      <c r="P9" s="8">
        <f>ROUNDDOWN((MONTH(P7)-1)/'Inputs'!$E$68,0)+1</f>
        <v>3.0</v>
      </c>
      <c r="Q9" s="8">
        <f>ROUNDDOWN((MONTH(Q7)-1)/'Inputs'!$E$68,0)+1</f>
        <v>4.0</v>
      </c>
      <c r="R9" s="8">
        <f>ROUNDDOWN((MONTH(R7)-1)/'Inputs'!$E$68,0)+1</f>
        <v>4.0</v>
      </c>
      <c r="S9" s="8">
        <f>ROUNDDOWN((MONTH(S7)-1)/'Inputs'!$E$68,0)+1</f>
        <v>4.0</v>
      </c>
      <c r="T9" s="8">
        <f>ROUNDDOWN((MONTH(T7)-1)/'Inputs'!$E$68,0)+1</f>
        <v>1.0</v>
      </c>
      <c r="U9" s="8">
        <f>ROUNDDOWN((MONTH(U7)-1)/'Inputs'!$E$68,0)+1</f>
        <v>1.0</v>
      </c>
      <c r="V9" s="8">
        <f>ROUNDDOWN((MONTH(V7)-1)/'Inputs'!$E$68,0)+1</f>
        <v>1.0</v>
      </c>
      <c r="W9" s="8">
        <f>ROUNDDOWN((MONTH(W7)-1)/'Inputs'!$E$68,0)+1</f>
        <v>2.0</v>
      </c>
      <c r="X9" s="8">
        <f>ROUNDDOWN((MONTH(X7)-1)/'Inputs'!$E$68,0)+1</f>
        <v>2.0</v>
      </c>
      <c r="Y9" s="8">
        <f>ROUNDDOWN((MONTH(Y7)-1)/'Inputs'!$E$68,0)+1</f>
        <v>2.0</v>
      </c>
      <c r="Z9" s="8">
        <f>ROUNDDOWN((MONTH(Z7)-1)/'Inputs'!$E$68,0)+1</f>
        <v>3.0</v>
      </c>
      <c r="AA9" s="8">
        <f>ROUNDDOWN((MONTH(AA7)-1)/'Inputs'!$E$68,0)+1</f>
        <v>3.0</v>
      </c>
      <c r="AB9" s="8">
        <f>ROUNDDOWN((MONTH(AB7)-1)/'Inputs'!$E$68,0)+1</f>
        <v>3.0</v>
      </c>
      <c r="AC9" s="8">
        <f>ROUNDDOWN((MONTH(AC7)-1)/'Inputs'!$E$68,0)+1</f>
        <v>4.0</v>
      </c>
      <c r="AD9" s="8">
        <f>ROUNDDOWN((MONTH(AD7)-1)/'Inputs'!$E$68,0)+1</f>
        <v>4.0</v>
      </c>
      <c r="AE9" s="8">
        <f>ROUNDDOWN((MONTH(AE7)-1)/'Inputs'!$E$68,0)+1</f>
        <v>4.0</v>
      </c>
      <c r="AF9" s="8">
        <f>ROUNDDOWN((MONTH(AF7)-1)/'Inputs'!$E$68,0)+1</f>
        <v>1.0</v>
      </c>
      <c r="AG9" s="8">
        <f>ROUNDDOWN((MONTH(AG7)-1)/'Inputs'!$E$68,0)+1</f>
        <v>1.0</v>
      </c>
      <c r="AH9" s="8">
        <f>ROUNDDOWN((MONTH(AH7)-1)/'Inputs'!$E$68,0)+1</f>
        <v>1.0</v>
      </c>
      <c r="AI9" s="8">
        <f>ROUNDDOWN((MONTH(AI7)-1)/'Inputs'!$E$68,0)+1</f>
        <v>2.0</v>
      </c>
      <c r="AJ9" s="8">
        <f>ROUNDDOWN((MONTH(AJ7)-1)/'Inputs'!$E$68,0)+1</f>
        <v>2.0</v>
      </c>
      <c r="AK9" s="8">
        <f>ROUNDDOWN((MONTH(AK7)-1)/'Inputs'!$E$68,0)+1</f>
        <v>2.0</v>
      </c>
      <c r="AL9" s="8">
        <f>ROUNDDOWN((MONTH(AL7)-1)/'Inputs'!$E$68,0)+1</f>
        <v>3.0</v>
      </c>
      <c r="AM9" s="8">
        <f>ROUNDDOWN((MONTH(AM7)-1)/'Inputs'!$E$68,0)+1</f>
        <v>3.0</v>
      </c>
      <c r="AN9" s="8">
        <f>ROUNDDOWN((MONTH(AN7)-1)/'Inputs'!$E$68,0)+1</f>
        <v>3.0</v>
      </c>
      <c r="AO9" s="8">
        <f>ROUNDDOWN((MONTH(AO7)-1)/'Inputs'!$E$68,0)+1</f>
        <v>4.0</v>
      </c>
      <c r="AP9" s="8">
        <f>ROUNDDOWN((MONTH(AP7)-1)/'Inputs'!$E$68,0)+1</f>
        <v>4.0</v>
      </c>
      <c r="AQ9" s="8">
        <f>ROUNDDOWN((MONTH(AQ7)-1)/'Inputs'!$E$68,0)+1</f>
        <v>4.0</v>
      </c>
    </row>
    <row r="10" ht="34" customHeight="1">
      <c r="A10" s="34" t="str">
        <v>Row ID</v>
      </c>
      <c r="B10" s="34" t="str">
        <v>Label</v>
      </c>
      <c r="C10" s="34" t="str">
        <v>Unit</v>
      </c>
      <c r="D10" s="34" t="str">
        <v>Reducer</v>
      </c>
      <c r="E10" s="34" t="str">
        <v>Total / closing</v>
      </c>
      <c r="F10" s="34" t="str">
        <v>Note / source</v>
      </c>
      <c r="G10" s="34" t="str">
        <v>Spacer</v>
      </c>
      <c r="H10" s="34" t="str">
        <v>M1</v>
      </c>
      <c r="I10" s="34" t="str">
        <v>M2</v>
      </c>
      <c r="J10" s="34" t="str">
        <v>M3</v>
      </c>
      <c r="K10" s="34" t="str">
        <v>M4</v>
      </c>
      <c r="L10" s="34" t="str">
        <v>M5</v>
      </c>
      <c r="M10" s="34" t="str">
        <v>M6</v>
      </c>
      <c r="N10" s="34" t="str">
        <v>M7</v>
      </c>
      <c r="O10" s="34" t="str">
        <v>M8</v>
      </c>
      <c r="P10" s="34" t="str">
        <v>M9</v>
      </c>
      <c r="Q10" s="34" t="str">
        <v>M10</v>
      </c>
      <c r="R10" s="34" t="str">
        <v>M11</v>
      </c>
      <c r="S10" s="34" t="str">
        <v>M12</v>
      </c>
      <c r="T10" s="34" t="str">
        <v>M13</v>
      </c>
      <c r="U10" s="34" t="str">
        <v>M14</v>
      </c>
      <c r="V10" s="34" t="str">
        <v>M15</v>
      </c>
      <c r="W10" s="34" t="str">
        <v>M16</v>
      </c>
      <c r="X10" s="34" t="str">
        <v>M17</v>
      </c>
      <c r="Y10" s="34" t="str">
        <v>M18</v>
      </c>
      <c r="Z10" s="34" t="str">
        <v>M19</v>
      </c>
      <c r="AA10" s="34" t="str">
        <v>M20</v>
      </c>
      <c r="AB10" s="34" t="str">
        <v>M21</v>
      </c>
      <c r="AC10" s="34" t="str">
        <v>M22</v>
      </c>
      <c r="AD10" s="34" t="str">
        <v>M23</v>
      </c>
      <c r="AE10" s="34" t="str">
        <v>M24</v>
      </c>
      <c r="AF10" s="34" t="str">
        <v>M25</v>
      </c>
      <c r="AG10" s="34" t="str">
        <v>M26</v>
      </c>
      <c r="AH10" s="34" t="str">
        <v>M27</v>
      </c>
      <c r="AI10" s="34" t="str">
        <v>M28</v>
      </c>
      <c r="AJ10" s="34" t="str">
        <v>M29</v>
      </c>
      <c r="AK10" s="34" t="str">
        <v>M30</v>
      </c>
      <c r="AL10" s="34" t="str">
        <v>M31</v>
      </c>
      <c r="AM10" s="34" t="str">
        <v>M32</v>
      </c>
      <c r="AN10" s="34" t="str">
        <v>M33</v>
      </c>
      <c r="AO10" s="34" t="str">
        <v>M34</v>
      </c>
      <c r="AP10" s="34" t="str">
        <v>M35</v>
      </c>
      <c r="AQ10" s="34" t="str">
        <v>M36</v>
      </c>
    </row>
    <row r="11" ht="22" customHeight="1">
      <c r="A11" s="2" t="str">
        <v>UE.LTV.EXPECTED</v>
      </c>
      <c r="B11" s="6" t="str">
        <v>D10 value: LTV, launch cohort</v>
      </c>
      <c r="C11" s="2" t="str">
        <v>EUR_per_user</v>
      </c>
      <c r="D11" s="2" t="str">
        <v>NA</v>
      </c>
      <c r="E11" s="35" t="n">
        <v>32.330299115007506</v>
      </c>
      <c r="F11" s="6" t="str">
        <v>Unit_Economics / UE.LTV; frozen D10 release value</v>
      </c>
      <c r="G11" s="2"/>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row>
    <row r="12" ht="22" customHeight="1">
      <c r="A12" s="2" t="str">
        <v>UE.LTV.DIFFERENCE</v>
      </c>
      <c r="B12" s="6" t="str">
        <v>Difference: LTV, launch cohort</v>
      </c>
      <c r="C12" s="2" t="str">
        <v>EUR_per_user</v>
      </c>
      <c r="D12" s="2" t="str">
        <v>NA</v>
      </c>
      <c r="E12" s="53">
        <f>'Calculator'!E11-E11</f>
        <v>1.4210854715202004e-14</v>
      </c>
      <c r="F12" s="54" t="str">
        <v>This workbook minus D10; tolerance EUR 0.01</v>
      </c>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row>
    <row r="13" ht="22" customHeight="1">
      <c r="A13" s="2" t="str">
        <v>UE.CAC.PAID.EXPECTED</v>
      </c>
      <c r="B13" s="6" t="str">
        <v>D10 value: paid CAC, launch cohort</v>
      </c>
      <c r="C13" s="2" t="str">
        <v>EUR_per_user</v>
      </c>
      <c r="D13" s="2" t="str">
        <v>NA</v>
      </c>
      <c r="E13" s="35" t="n">
        <v>104.46343779677113</v>
      </c>
      <c r="F13" s="6" t="str">
        <v>Unit_Economics / UE.CAC.PAID; frozen D10 release value</v>
      </c>
      <c r="G13" s="2"/>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row>
    <row r="14" ht="22" customHeight="1">
      <c r="A14" s="2" t="str">
        <v>UE.CAC.PAID.DIFFERENCE</v>
      </c>
      <c r="B14" s="6" t="str">
        <v>Difference: paid CAC, launch cohort</v>
      </c>
      <c r="C14" s="2" t="str">
        <v>EUR_per_user</v>
      </c>
      <c r="D14" s="2" t="str">
        <v>NA</v>
      </c>
      <c r="E14" s="53">
        <f>'Calculator'!E12-E13</f>
        <v>0.0</v>
      </c>
      <c r="F14" s="54" t="str">
        <v>This workbook minus D10; tolerance EUR 0.01</v>
      </c>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row>
    <row r="15" ht="22" customHeight="1">
      <c r="A15" s="2" t="str">
        <v>UE.B2B_LTV.EXPECTED</v>
      </c>
      <c r="B15" s="6" t="str">
        <v>D10 value: B2B LTV</v>
      </c>
      <c r="C15" s="2" t="str">
        <v>EUR_per_client</v>
      </c>
      <c r="D15" s="2" t="str">
        <v>NA</v>
      </c>
      <c r="E15" s="35" t="n">
        <v>61858.386376760085</v>
      </c>
      <c r="F15" s="6" t="str">
        <v>Unit_Economics / UE.B2B_LTV; frozen D10 release value</v>
      </c>
      <c r="G15" s="2"/>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row>
    <row r="16" ht="22" customHeight="1">
      <c r="A16" s="2" t="str">
        <v>UE.B2B_LTV.DIFFERENCE</v>
      </c>
      <c r="B16" s="6" t="str">
        <v>Difference: B2B LTV</v>
      </c>
      <c r="C16" s="2" t="str">
        <v>EUR_per_client</v>
      </c>
      <c r="D16" s="2" t="str">
        <v>NA</v>
      </c>
      <c r="E16" s="53">
        <f>'B2B'!E16-E15</f>
        <v>7.275957614183426e-12</v>
      </c>
      <c r="F16" s="54" t="str">
        <v>This workbook minus D10; tolerance EUR 0.01</v>
      </c>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row>
    <row r="17" ht="28" customHeight="1">
      <c r="A17" s="2" t="str">
        <v>UE.AGE.DE.C10.EXPECTED</v>
      </c>
      <c r="B17" s="6" t="str">
        <v>D10 value: Germany: contribution by age, cohort M10</v>
      </c>
      <c r="C17" s="2" t="str">
        <v>EUR_per_user</v>
      </c>
      <c r="D17" s="2" t="str">
        <v>NA</v>
      </c>
      <c r="E17" s="2"/>
      <c r="F17" s="6" t="str">
        <v>Unit_Economics / UE.AGE.DE.C10; frozen D10 release value</v>
      </c>
      <c r="G17" s="2"/>
      <c r="H17" s="35" t="n">
        <v>0.44942502184873934</v>
      </c>
      <c r="I17" s="35" t="n">
        <v>0.7101266701297478</v>
      </c>
      <c r="J17" s="35" t="n">
        <v>0.7237631383540276</v>
      </c>
      <c r="K17" s="35" t="n">
        <v>0.8083814075683985</v>
      </c>
      <c r="L17" s="35" t="n">
        <v>0.9217046635916313</v>
      </c>
      <c r="M17" s="35" t="n">
        <v>0.9970369827862833</v>
      </c>
      <c r="N17" s="35" t="n">
        <v>1.0595325933044026</v>
      </c>
      <c r="O17" s="35" t="n">
        <v>1.1085484056505486</v>
      </c>
      <c r="P17" s="35" t="n">
        <v>1.1454033930154117</v>
      </c>
      <c r="Q17" s="35" t="n">
        <v>1.171282869755627</v>
      </c>
      <c r="R17" s="35" t="n">
        <v>1.1996624976830392</v>
      </c>
      <c r="S17" s="35" t="n">
        <v>1.2222471822898586</v>
      </c>
      <c r="T17" s="35" t="n">
        <v>1.0165526110626228</v>
      </c>
      <c r="U17" s="35" t="n">
        <v>1.1026762521955513</v>
      </c>
      <c r="V17" s="35" t="n">
        <v>1.1177927625649624</v>
      </c>
      <c r="W17" s="35" t="n">
        <v>1.1315928415812126</v>
      </c>
      <c r="X17" s="35" t="n">
        <v>1.14271320637857</v>
      </c>
      <c r="Y17" s="35" t="n">
        <v>1.1524791093312097</v>
      </c>
      <c r="Z17" s="35" t="n">
        <v>1.161209848539557</v>
      </c>
      <c r="AA17" s="35" t="n">
        <v>1.1688729624222844</v>
      </c>
      <c r="AB17" s="35" t="n">
        <v>1.1755621128406997</v>
      </c>
      <c r="AC17" s="35" t="n">
        <v>1.181349953990528</v>
      </c>
      <c r="AD17" s="35" t="n">
        <v>1.18610275570298</v>
      </c>
      <c r="AE17" s="35" t="n">
        <v>1.189970087096842</v>
      </c>
      <c r="AF17" s="35" t="n">
        <v>1.1149692114240644</v>
      </c>
      <c r="AG17" s="35" t="n">
        <v>1.1317939654513502</v>
      </c>
      <c r="AH17" s="35" t="n">
        <v>1.1234446786829193</v>
      </c>
      <c r="AI17" s="35" t="n">
        <v>1.1142269958380875</v>
      </c>
      <c r="AJ17" s="35" t="n">
        <v>1.1039853679666602</v>
      </c>
      <c r="AK17" s="35" t="n">
        <v>1.0989643909029738</v>
      </c>
      <c r="AL17" s="35" t="n">
        <v>1.0935805395741958</v>
      </c>
      <c r="AM17" s="35" t="n">
        <v>1.0878549673505196</v>
      </c>
      <c r="AN17" s="35" t="n">
        <v>1.0818230908540627</v>
      </c>
      <c r="AO17" s="35" t="n">
        <v>1.0755118352381163</v>
      </c>
      <c r="AP17" s="35" t="n">
        <v>1.0688756725836457</v>
      </c>
      <c r="AQ17" s="35" t="n">
        <v>1.061965340765999</v>
      </c>
    </row>
    <row r="18" ht="28" customHeight="1">
      <c r="A18" s="2" t="str">
        <v>UE.AGE.DE.C10.DIFFERENCE</v>
      </c>
      <c r="B18" s="6" t="str">
        <v>Difference: Germany: contribution by age, cohort M10</v>
      </c>
      <c r="C18" s="2" t="str">
        <v>EUR_per_user</v>
      </c>
      <c r="D18" s="2" t="str">
        <v>NA</v>
      </c>
      <c r="E18" s="53"/>
      <c r="F18" s="54" t="str">
        <v>This workbook minus D10; tolerance EUR 0.01</v>
      </c>
      <c r="G18" s="53"/>
      <c r="H18" s="53">
        <f>'Cohort'!H82-H17</f>
        <v>2.220446049250313e-16</v>
      </c>
      <c r="I18" s="53">
        <f>'Cohort'!I82-I17</f>
        <v>2.220446049250313e-16</v>
      </c>
      <c r="J18" s="53">
        <f>'Cohort'!J82-J17</f>
        <v>-1.1102230246251565e-16</v>
      </c>
      <c r="K18" s="53">
        <f>'Cohort'!K82-K17</f>
        <v>5.551115123125783e-16</v>
      </c>
      <c r="L18" s="53">
        <f>'Cohort'!L82-L17</f>
        <v>0.0</v>
      </c>
      <c r="M18" s="53">
        <f>'Cohort'!M82-M17</f>
        <v>0.0</v>
      </c>
      <c r="N18" s="53">
        <f>'Cohort'!N82-N17</f>
        <v>0.0</v>
      </c>
      <c r="O18" s="53">
        <f>'Cohort'!O82-O17</f>
        <v>0.0</v>
      </c>
      <c r="P18" s="53">
        <f>'Cohort'!P82-P17</f>
        <v>0.0</v>
      </c>
      <c r="Q18" s="53">
        <f>'Cohort'!Q82-Q17</f>
        <v>0.0</v>
      </c>
      <c r="R18" s="53">
        <f>'Cohort'!R82-R17</f>
        <v>2.220446049250313e-16</v>
      </c>
      <c r="S18" s="53">
        <f>'Cohort'!S82-S17</f>
        <v>0.0</v>
      </c>
      <c r="T18" s="53">
        <f>'Cohort'!T82-T17</f>
        <v>4.440892098500626e-16</v>
      </c>
      <c r="U18" s="53">
        <f>'Cohort'!U82-U17</f>
        <v>2.220446049250313e-16</v>
      </c>
      <c r="V18" s="53">
        <f>'Cohort'!V82-V17</f>
        <v>0.0</v>
      </c>
      <c r="W18" s="53">
        <f>'Cohort'!W82-W17</f>
        <v>-2.220446049250313e-16</v>
      </c>
      <c r="X18" s="53">
        <f>'Cohort'!X82-X17</f>
        <v>0.0</v>
      </c>
      <c r="Y18" s="53">
        <f>'Cohort'!Y82-Y17</f>
        <v>0.0</v>
      </c>
      <c r="Z18" s="53">
        <f>'Cohort'!Z82-Z17</f>
        <v>-2.220446049250313e-16</v>
      </c>
      <c r="AA18" s="53">
        <f>'Cohort'!AA82-AA17</f>
        <v>4.440892098500626e-16</v>
      </c>
      <c r="AB18" s="53">
        <f>'Cohort'!AB82-AB17</f>
        <v>8.881784197001252e-16</v>
      </c>
      <c r="AC18" s="53">
        <f>'Cohort'!AC82-AC17</f>
        <v>-2.220446049250313e-16</v>
      </c>
      <c r="AD18" s="53">
        <f>'Cohort'!AD82-AD17</f>
        <v>0.0</v>
      </c>
      <c r="AE18" s="53">
        <f>'Cohort'!AE82-AE17</f>
        <v>-2.220446049250313e-16</v>
      </c>
      <c r="AF18" s="53">
        <f>'Cohort'!AF82-AF17</f>
        <v>2.220446049250313e-16</v>
      </c>
      <c r="AG18" s="53">
        <f>'Cohort'!AG82-AG17</f>
        <v>0.0</v>
      </c>
      <c r="AH18" s="53">
        <f>'Cohort'!AH82-AH17</f>
        <v>4.440892098500626e-16</v>
      </c>
      <c r="AI18" s="53">
        <f>'Cohort'!AI82-AI17</f>
        <v>2.220446049250313e-16</v>
      </c>
      <c r="AJ18" s="53">
        <f>'Cohort'!AJ82-AJ17</f>
        <v>6.661338147750939e-16</v>
      </c>
      <c r="AK18" s="53">
        <f>'Cohort'!AK82-AK17</f>
        <v>4.440892098500626e-16</v>
      </c>
      <c r="AL18" s="53">
        <f>'Cohort'!AL82-AL17</f>
        <v>0.0</v>
      </c>
      <c r="AM18" s="53">
        <f>'Cohort'!AM82-AM17</f>
        <v>2.220446049250313e-16</v>
      </c>
      <c r="AN18" s="53">
        <f>'Cohort'!AN82-AN17</f>
        <v>0.0</v>
      </c>
      <c r="AO18" s="53">
        <f>'Cohort'!AO82-AO17</f>
        <v>2.220446049250313e-16</v>
      </c>
      <c r="AP18" s="53">
        <f>'Cohort'!AP82-AP17</f>
        <v>2.220446049250313e-16</v>
      </c>
      <c r="AQ18" s="53">
        <f>'Cohort'!AQ82-AQ17</f>
        <v>-2.220446049250313e-16</v>
      </c>
    </row>
    <row r="19" ht="28" customHeight="1">
      <c r="A19" s="2" t="str">
        <v>UE.AGE.AT.C10.EXPECTED</v>
      </c>
      <c r="B19" s="6" t="str">
        <v>D10 value: Austria: contribution by age, cohort M10</v>
      </c>
      <c r="C19" s="2" t="str">
        <v>EUR_per_user</v>
      </c>
      <c r="D19" s="2" t="str">
        <v>NA</v>
      </c>
      <c r="E19" s="2"/>
      <c r="F19" s="6" t="str">
        <v>Unit_Economics / UE.AGE.AT.C10; frozen D10 release value</v>
      </c>
      <c r="G19" s="2"/>
      <c r="H19" s="35" t="n">
        <v>0.44337924666666645</v>
      </c>
      <c r="I19" s="35" t="n">
        <v>0.7028269837519999</v>
      </c>
      <c r="J19" s="35" t="n">
        <v>0.7165268680687041</v>
      </c>
      <c r="K19" s="35" t="n">
        <v>0.7170465346353583</v>
      </c>
      <c r="L19" s="35" t="n">
        <v>0.7915983932365396</v>
      </c>
      <c r="M19" s="35" t="n">
        <v>0.8964756006529189</v>
      </c>
      <c r="N19" s="35" t="n">
        <v>0.9691645816590049</v>
      </c>
      <c r="O19" s="35" t="n">
        <v>1.0275105103311624</v>
      </c>
      <c r="P19" s="35" t="n">
        <v>1.0728222951144204</v>
      </c>
      <c r="Q19" s="35" t="n">
        <v>1.1063354562532624</v>
      </c>
      <c r="R19" s="35" t="n">
        <v>1.1401860860111281</v>
      </c>
      <c r="S19" s="35" t="n">
        <v>1.167734296755862</v>
      </c>
      <c r="T19" s="35" t="n">
        <v>0.968242287555421</v>
      </c>
      <c r="U19" s="35" t="n">
        <v>1.057211133286113</v>
      </c>
      <c r="V19" s="35" t="n">
        <v>1.0753222798220752</v>
      </c>
      <c r="W19" s="35" t="n">
        <v>1.0918320582363772</v>
      </c>
      <c r="X19" s="35" t="n">
        <v>1.1054904612135967</v>
      </c>
      <c r="Y19" s="35" t="n">
        <v>1.1175619490753266</v>
      </c>
      <c r="Z19" s="35" t="n">
        <v>1.1283799400038275</v>
      </c>
      <c r="AA19" s="35" t="n">
        <v>1.1379418401898018</v>
      </c>
      <c r="AB19" s="35" t="n">
        <v>1.14635974301359</v>
      </c>
      <c r="AC19" s="35" t="n">
        <v>1.1537229956245663</v>
      </c>
      <c r="AD19" s="35" t="n">
        <v>1.1599141487273357</v>
      </c>
      <c r="AE19" s="35" t="n">
        <v>1.1650949759531157</v>
      </c>
      <c r="AF19" s="35" t="n">
        <v>1.0918903840201666</v>
      </c>
      <c r="AG19" s="35" t="n">
        <v>1.1098559282771796</v>
      </c>
      <c r="AH19" s="35" t="n">
        <v>1.102690726396811</v>
      </c>
      <c r="AI19" s="35" t="n">
        <v>1.0945576873474372</v>
      </c>
      <c r="AJ19" s="35" t="n">
        <v>1.0853168724441886</v>
      </c>
      <c r="AK19" s="35" t="n">
        <v>1.0810952779729066</v>
      </c>
      <c r="AL19" s="35" t="n">
        <v>1.0764446447255072</v>
      </c>
      <c r="AM19" s="35" t="n">
        <v>1.0713928022831072</v>
      </c>
      <c r="AN19" s="35" t="n">
        <v>1.0659806487216914</v>
      </c>
      <c r="AO19" s="35" t="n">
        <v>1.0602401534479349</v>
      </c>
      <c r="AP19" s="35" t="n">
        <v>1.0541308830015288</v>
      </c>
      <c r="AQ19" s="35" t="n">
        <v>1.0477074924494545</v>
      </c>
    </row>
    <row r="20" ht="28" customHeight="1">
      <c r="A20" s="2" t="str">
        <v>UE.AGE.AT.C10.DIFFERENCE</v>
      </c>
      <c r="B20" s="6" t="str">
        <v>Difference: Austria: contribution by age, cohort M10</v>
      </c>
      <c r="C20" s="2" t="str">
        <v>EUR_per_user</v>
      </c>
      <c r="D20" s="2" t="str">
        <v>NA</v>
      </c>
      <c r="E20" s="53"/>
      <c r="F20" s="54" t="str">
        <v>This workbook minus D10; tolerance EUR 0.01</v>
      </c>
      <c r="G20" s="53"/>
      <c r="H20" s="53">
        <f>'Cohort'!H130-H19</f>
        <v>2.7755575615628914e-16</v>
      </c>
      <c r="I20" s="53">
        <f>'Cohort'!I130-I19</f>
        <v>2.220446049250313e-16</v>
      </c>
      <c r="J20" s="53">
        <f>'Cohort'!J130-J19</f>
        <v>-1.1102230246251565e-16</v>
      </c>
      <c r="K20" s="53">
        <f>'Cohort'!K130-K19</f>
        <v>4.440892098500626e-16</v>
      </c>
      <c r="L20" s="53">
        <f>'Cohort'!L130-L19</f>
        <v>0.0</v>
      </c>
      <c r="M20" s="53">
        <f>'Cohort'!M130-M19</f>
        <v>2.220446049250313e-16</v>
      </c>
      <c r="N20" s="53">
        <f>'Cohort'!N130-N19</f>
        <v>0.0</v>
      </c>
      <c r="O20" s="53">
        <f>'Cohort'!O130-O19</f>
        <v>2.220446049250313e-16</v>
      </c>
      <c r="P20" s="53">
        <f>'Cohort'!P130-P19</f>
        <v>0.0</v>
      </c>
      <c r="Q20" s="53">
        <f>'Cohort'!Q130-Q19</f>
        <v>4.440892098500626e-16</v>
      </c>
      <c r="R20" s="53">
        <f>'Cohort'!R130-R19</f>
        <v>2.220446049250313e-16</v>
      </c>
      <c r="S20" s="53">
        <f>'Cohort'!S130-S19</f>
        <v>-2.220446049250313e-16</v>
      </c>
      <c r="T20" s="53">
        <f>'Cohort'!T130-T19</f>
        <v>2.220446049250313e-16</v>
      </c>
      <c r="U20" s="53">
        <f>'Cohort'!U130-U19</f>
        <v>0.0</v>
      </c>
      <c r="V20" s="53">
        <f>'Cohort'!V130-V19</f>
        <v>2.220446049250313e-16</v>
      </c>
      <c r="W20" s="53">
        <f>'Cohort'!W130-W19</f>
        <v>4.440892098500626e-16</v>
      </c>
      <c r="X20" s="53">
        <f>'Cohort'!X130-X19</f>
        <v>-2.220446049250313e-16</v>
      </c>
      <c r="Y20" s="53">
        <f>'Cohort'!Y130-Y19</f>
        <v>0.0</v>
      </c>
      <c r="Z20" s="53">
        <f>'Cohort'!Z130-Z19</f>
        <v>4.440892098500626e-16</v>
      </c>
      <c r="AA20" s="53">
        <f>'Cohort'!AA130-AA19</f>
        <v>4.440892098500626e-16</v>
      </c>
      <c r="AB20" s="53">
        <f>'Cohort'!AB130-AB19</f>
        <v>0.0</v>
      </c>
      <c r="AC20" s="53">
        <f>'Cohort'!AC130-AC19</f>
        <v>4.440892098500626e-16</v>
      </c>
      <c r="AD20" s="53">
        <f>'Cohort'!AD130-AD19</f>
        <v>2.220446049250313e-16</v>
      </c>
      <c r="AE20" s="53">
        <f>'Cohort'!AE130-AE19</f>
        <v>0.0</v>
      </c>
      <c r="AF20" s="53">
        <f>'Cohort'!AF130-AF19</f>
        <v>2.220446049250313e-16</v>
      </c>
      <c r="AG20" s="53">
        <f>'Cohort'!AG130-AG19</f>
        <v>0.0</v>
      </c>
      <c r="AH20" s="53">
        <f>'Cohort'!AH130-AH19</f>
        <v>6.661338147750939e-16</v>
      </c>
      <c r="AI20" s="53">
        <f>'Cohort'!AI130-AI19</f>
        <v>-2.220446049250313e-16</v>
      </c>
      <c r="AJ20" s="53">
        <f>'Cohort'!AJ130-AJ19</f>
        <v>0.0</v>
      </c>
      <c r="AK20" s="53">
        <f>'Cohort'!AK130-AK19</f>
        <v>4.440892098500626e-16</v>
      </c>
      <c r="AL20" s="53">
        <f>'Cohort'!AL130-AL19</f>
        <v>6.661338147750939e-16</v>
      </c>
      <c r="AM20" s="53">
        <f>'Cohort'!AM130-AM19</f>
        <v>4.440892098500626e-16</v>
      </c>
      <c r="AN20" s="53">
        <f>'Cohort'!AN130-AN19</f>
        <v>0.0</v>
      </c>
      <c r="AO20" s="53">
        <f>'Cohort'!AO130-AO19</f>
        <v>2.220446049250313e-16</v>
      </c>
      <c r="AP20" s="53">
        <f>'Cohort'!AP130-AP19</f>
        <v>0.0</v>
      </c>
      <c r="AQ20" s="53">
        <f>'Cohort'!AQ130-AQ19</f>
        <v>0.0</v>
      </c>
    </row>
    <row r="21" ht="22" customHeight="1">
      <c r="A21" s="2" t="str">
        <v>UE.LTV.C50.EXPECTED</v>
      </c>
      <c r="B21" s="6" t="str">
        <v>D10 value: LTV, cohort M50</v>
      </c>
      <c r="C21" s="2" t="str">
        <v>EUR_per_user</v>
      </c>
      <c r="D21" s="2" t="str">
        <v>NA</v>
      </c>
      <c r="E21" s="35" t="n">
        <v>35.93506716851306</v>
      </c>
      <c r="F21" s="6" t="str">
        <v>Unit_Economics / UE.LTV; frozen D10 release value</v>
      </c>
      <c r="G21" s="2"/>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row>
    <row r="22" ht="22" customHeight="1">
      <c r="A22" s="2" t="str">
        <v>UE.LTV.C50.DIFFERENCE</v>
      </c>
      <c r="B22" s="6" t="str">
        <v>Difference: LTV, cohort M50</v>
      </c>
      <c r="C22" s="2" t="str">
        <v>EUR_per_user</v>
      </c>
      <c r="D22" s="2" t="str">
        <v>NA</v>
      </c>
      <c r="E22" s="53">
        <f>'Tail_Check'!E12-E21</f>
        <v>0.0</v>
      </c>
      <c r="F22" s="54" t="str">
        <v>This workbook minus D10; tolerance EUR 0.01</v>
      </c>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row>
  </sheetData>
  <mergeCells>
    <mergeCell ref="B1:F1"/>
    <mergeCell ref="B2:F2"/>
    <mergeCell ref="B3:F3"/>
    <mergeCell ref="B4:F4"/>
    <mergeCell ref="B5:F5"/>
  </mergeCells>
  <conditionalFormatting sqref="E12:AQ12">
    <cfRule type="cellIs" dxfId="0" priority="1" operator="notBetween">
      <formula>-0.01</formula>
      <formula>0.01</formula>
    </cfRule>
  </conditionalFormatting>
  <conditionalFormatting sqref="E14:AQ14">
    <cfRule type="cellIs" dxfId="1" priority="2" operator="notBetween">
      <formula>-0.01</formula>
      <formula>0.01</formula>
    </cfRule>
  </conditionalFormatting>
  <conditionalFormatting sqref="E16:AQ16">
    <cfRule type="cellIs" dxfId="2" priority="3" operator="notBetween">
      <formula>-0.01</formula>
      <formula>0.01</formula>
    </cfRule>
  </conditionalFormatting>
  <conditionalFormatting sqref="E18:AQ18">
    <cfRule type="cellIs" dxfId="3" priority="4" operator="notBetween">
      <formula>-0.01</formula>
      <formula>0.01</formula>
    </cfRule>
  </conditionalFormatting>
  <conditionalFormatting sqref="E20:AQ20">
    <cfRule type="cellIs" dxfId="4" priority="5" operator="notBetween">
      <formula>-0.01</formula>
      <formula>0.01</formula>
    </cfRule>
  </conditionalFormatting>
  <conditionalFormatting sqref="E22:AQ22">
    <cfRule type="cellIs" dxfId="5" priority="6" operator="notBetween">
      <formula>-0.01</formula>
      <formula>0.01</formula>
    </cfRule>
  </conditionalFormatting>
  <pageMargins left="0.7" right="0.7" top="0.75" bottom="0.75" header="0.3" footer="0.3"/>
  <tableParts count="1">
    <tablePart ns1:id="Raf57adbe59f84c5d"/>
  </tableParts>
</worksheet>
</file>

<file path=customXml/mirovestInputs.xml><?xml version="1.0" encoding="utf-8"?>
<ns0:bundle xmlns:ns0="urn:mirovest:common-inputs" release="CR02-2026-10-13-v1">{"assumptions":{"meta":{"schema_version":"Kit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13.10.2026","data_version":"CR02-2026-10-13-v1","version":"budget","scenario":"all","currency":"EUR","model_start":"2027-01-01","horizon_months":60,"cutoff_date":null,"frozen_on":"2026-10-13","fictional":true},"items":[{"id":"GEN.START","label":"Model start","section":"GEN","kind":"scalar","unit":"date","base":"2027-01-01","scenario_rules":{"upside":{"mode":"inherit"},"downside":{"mode":"inherit"}},"minimum":null,"maximum":null,"reducer":"NA","evidence":{"provenance":"EC","source_ids":["SRC.S2.GEN.START"],"rationale":"Frozen fictional GEN.START input from the assumptions register.","policy_ids":[],"checked_on":"2026-10-12","verify":false,"owner":"Model author","refresh_trigger":"New model release"},"valid_from":"2027-01-01","valid_to":null},{"id":"GEN.HORIZON","label":"Horizon","section":"GEN","kind":"scalar","unit":"months","base":60,"scenario_rules":{"upside":{"mode":"inherit"},"downside":{"mode":"inherit"}},"minimum":0,"maximum":null,"reducer":"NA","evidence":{"provenance":"EC","source_ids":["SRC.S2.GEN.HORIZON"],"rationale":"Frozen fictional GEN.HORIZON input from the assumptions register.","policy_ids":[],"checked_on":"2026-10-12","verify":false,"owner":"Model author","refresh_trigger":"New model release"},"valid_from":"2027-01-01","valid_to":null},{"id":"GEN.CCY","label":"Currency","section":"GEN","kind":"scalar","unit":"text","base":"EUR","scenario_rules":{"upside":{"mode":"inherit"},"downside":{"mode":"inherit"}},"minimum":null,"maximum":null,"reducer":"NA","evidence":{"provenance":"EC","source_ids":["SRC.S2.GEN.CCY"],"rationale":"Frozen fictional GEN.CCY input from the assumptions register.","policy_ids":[],"checked_on":"2026-10-12","verify":false,"owner":"Model author","refresh_trigger":"New model release"},"valid_from":"2027-01-01","valid_to":null},{"id":"GEN.FX_USD","label":"USD per EUR","section":"GEN","kind":"scalar","unit":"USD_per_EUR","base":1.15,"scenario_rules":{"upside":{"mode":"inherit"},"downside":{"mode":"inherit"}},"minimum":0,"maximum":null,"reducer":"NA","evidence":{"provenance":"IA","source_ids":["SRC.S2.GEN.FX_USD"],"rationale":"Frozen fictional GEN.FX_USD input from the assumptions register.","policy_ids":[],"checked_on":"2026-10-12","verify":false,"owner":"Model author","refresh_trigger":"New model release"},"valid_from":"2027-01-01","valid_to":null},{"id":"GEN.CITY","label":"Seat / Hebesatz municipality","section":"GEN","kind":"scalar","unit":"text","base":"Berlin","scenario_rules":{"upside":{"mode":"inherit"},"downside":{"mode":"inherit"}},"minimum":null,"maximum":null,"reducer":"NA","evidence":{"provenance":"EC","source_ids":["SRC.S2.GEN.CITY"],"rationale":"Frozen fictional GEN.CITY input from the assumptions register.","policy_ids":[],"checked_on":"2026-10-12","verify":false,"owner":"Model author","refresh_trigger":"New model release"},"valid_from":"2027-01-01","valid_to":null},{"id":"T.LAUNCH","label":"Product launch month","section":"T","kind":"date_month","unit":"month_index","base":10,"scenario_rules":{"upside":{"mode":"absolute","value":10},"downside":{"mode":"absolute","value":10}},"minimum":1,"maximum":60,"reducer":"NA","evidence":{"provenance":"IA","source_ids":["SRC.S2.T.LAUNCH"],"rationale":"Frozen fictional T.LAUNCH input from the assumptions register.","policy_ids":["P01"],"checked_on":"2026-10-12","verify":false,"owner":"Model author","refresh_trigger":"New model release"},"valid_from":"2027-01-01","valid_to":null},{"id":"T.LIC_FILE","label":"Licence application filing month","section":"T","kind":"date_month","unit":"month_index","base":6,"scenario_rules":{"upside":{"mode":"inherit"},"downside":{"mode":"inherit"}},"minimum":1,"maximum":60,"reducer":"NA","evidence":{"provenance":"IA","source_ids":["SRC.S2.T.LIC_FILE"],"rationale":"Frozen fictional T.LIC_FILE input from the assumptions register.","policy_ids":["P01"],"checked_on":"2026-10-12","verify":false,"owner":"Model author","refresh_trigger":"New model release"},"valid_from":"2027-01-01","valid_to":null},{"id":"T.LICENCE","label":"Licence grant month (copy trading starts)","section":"T","kind":"date_month","unit":"month_index","base":13,"scenario_rules":{"upside":{"mode":"absolute","value":13},"downside":{"mode":"absolute","value":19}},"minimum":1,"maximum":60,"reducer":"NA","evidence":{"provenance":"IA","source_ids":["SRC.S2.T.LICENCE","SRC.RU.A3.7"],"rationale":"Frozen fictional T.LICENCE input from the assumptions register.","policy_ids":["P01"],"checked_on":"2026-10-12","verify":true,"owner":"Model author","refresh_trigger":"New model release"},"valid_from":"2027-01-01","valid_to":null},{"id":"T.TEAMS","label":"B2B Teams launch month","section":"T","kind":"date_month","unit":"month_index","base":25,"scenario_rules":{"upside":{"mode":"absolute","value":25},"downside":{"mode":"absolute","value":25}},"minimum":1,"maximum":60,"reducer":"NA","evidence":{"provenance":"IA","source_ids":["SRC.S2.T.TEAMS"],"rationale":"Frozen fictional T.TEAMS input from the assumptions register.","policy_ids":["P01"],"checked_on":"2026-10-12","verify":false,"owner":"Model author","refresh_trigger":"New model release"},"valid_from":"2027-01-01","valid_to":null},{"id":"T.AT_ACCESS","label":"Austria access month (licence month plus one)","section":"T","kind":"table_ref","unit":"month_index","base":"TBL.AT_ACCESS","scenario_rules":{"upside":{"mode":"inherit"},"downside":{"mode":"inherit"}},"minimum":null,"maximum":null,"reducer":"NA","evidence":{"provenance":"IA","source_ids":["SRC.S2.T.AT_ACCESS"],"rationale":"Derived licence month plus one; not an independent lever.","policy_ids":[],"checked_on":"2026-10-12","verify":false,"owner":"Model author","refresh_trigger":"New model release"},"valid_from":"2027-01-01","valid_to":null},{"id":"MKT.AT_SHARE","label":"Share of users in Austria","section":"MKT","kind":"scalar","unit":"fraction","base":0.1,"scenario_rules":{"upside":{"mode":"inherit"},"downside":{"mode":"inherit"}},"minimum":0,"maximum":1,"reducer":"NA","evidence":{"provenance":"IA","source_ids":["SRC.S2.MKT.AT_SHARE"],"rationale":"Frozen fictional MKT.AT_SHARE input from the assumptions register.","policy_ids":[],"checked_on":"2026-10-12","verify":false,"owner":"Model author","refresh_trigger":"New model release"},"valid_from":"2027-01-01","valid_to":null},{"id":"MKT.INDEX","label":"Market activity index (volume and engagement regime)","section":"MKT","kind":"scalar","unit":"multiplier","base":1,"scenario_rules":{"upside":{"mode":"absolute","value":1.3},"downside":{"mode":"absolute","value":0.7}},"minimum":0,"maximum":null,"reducer":"NA","evidence":{"provenance":"IA","source_ids":["SRC.S2.MKT.INDEX"],"rationale":"Frozen fictional MKT.INDEX input from the assumptions register.","policy_ids":[],"checked_on":"2026-10-12","verify":false,"owner":"Model author","refresh_trigger":"New model release"},"valid_from":"2027-01-01","valid_to":null},{"id":"ACQ.SPEND","label":"Performance marketing (Inputs_TS)","section":"ACQ","kind":"profile","unit":"EUR_per_month","base":[0,0,0,0,0,0,0,5000,5000,50000,50000,50000,80000,80000,80000,80000,80000,80000,80000,80000,80000,80000,80000,80000,120000,120000,120000,120000,120000,120000,120000,120000,120000,120000,120000,120000,150000,150000,150000,150000,150000,150000,150000,150000,150000,150000,150000,150000,150000,150000,150000,150000,150000,150000,150000,150000,150000,150000,150000,150000],"scenario_rules":{"upside":{"mode":"inherit"},"downside":{"mode":"inherit"}},"minimum":0,"maximum":null,"reducer":"SUM","evidence":{"provenance":"IA","source_ids":["SRC.S2.ACQ.SPEND"],"rationale":"Frozen fictional ACQ.SPEND input from the assumptions register.","policy_ids":[],"checked_on":"2026-10-12","verify":false,"owner":"Model author","refresh_trigger":"New model release"},"valid_from":"2027-01-01","valid_to":null},{"id":"ACQ.CPI","label":"Blended cost per install, Germany","section":"ACQ","kind":"scalar","unit":"EUR_per_user","base":5,"scenario_rules":{"upside":{"mode":"absolute","value":4},"downside":{"mode":"absolute","value":6.5}},"minimum":0,"maximum":null,"reducer":"NA","evidence":{"provenance":"IA","source_ids":["SRC.S2.ACQ.CPI","SRC.RU.B8.1","SRC.RU.B8.2","SRC.RU.B8.16"],"rationale":"Frozen fictional ACQ.CPI input from the assumptions register.","policy_ids":[],"checked_on":"2026-10-12","verify":false,"owner":"Model author","refresh_trigger":"New model release"},"valid_from":"2027-01-01","valid_to":null},{"id":"ACQ.FRAUD","label":"Install-fraud allowance on paid CPI","section":"ACQ","kind":"scalar","unit":"multiplier","base":1.1,"scenario_rules":{"upside":{"mode":"inherit"},"downside":{"mode":"inherit"}},"minimum":0,"maximum":null,"reducer":"NA","evidence":{"provenance":"IA","source_ids":["SRC.S2.ACQ.FRAUD","SRC.RU.B8.15"],"rationale":"Frozen fictional ACQ.FRAUD input from the assumptions register.","policy_ids":[],"checked_on":"2026-10-12","verify":false,"owner":"Model author","refresh_trigger":"New model release"},"valid_from":"2027-01-01","valid_to":null},{"id":"ACQ.I2R","label":"Install → registration","section":"ACQ","kind":"scalar","unit":"fraction","base":0.3,"scenario_rules":{"upside":{"mode":"absolute","value":0.35},"downside":{"mode":"absolute","value":0.25}},"minimum":0,"maximum":1,"reducer":"NA","evidence":{"provenance":"IA","source_ids":["SRC.S2.ACQ.I2R","SRC.RU.B8.6"],"rationale":"Frozen fictional ACQ.I2R input from the assumptions register.","policy_ids":[],"checked_on":"2026-10-12","verify":false,"owner":"Model author","refresh_trigger":"New model release"},"valid_from":"2027-01-01","valid_to":null},{"id":"ACQ.R2V","label":"Registration → verified (e-mail/phone verification; the identity check is counted separately)","section":"ACQ","kind":"scalar","unit":"fraction","base":0.65,"scenario_rules":{"upside":{"mode":"inherit"},"downside":{"mode":"inherit"}},"minimum":0,"maximum":1,"reducer":"NA","evidence":{"provenance":"IA","source_ids":["SRC.S2.ACQ.R2V"],"rationale":"Frozen fictional ACQ.R2V input from the assumptions register.","policy_ids":[],"checked_on":"2026-10-12","verify":false,"owner":"Model author","refresh_trigger":"New model release"},"valid_from":"2027-01-01","valid_to":null},{"id":"ACQ.V2C","label":"Verified → exchange connected (= \"connected user\")","section":"ACQ","kind":"scalar","unit":"fraction","base":0.27,"scenario_rules":{"upside":{"mode":"absolute","value":0.3},"downside":{"mode":"absolute","value":0.22}},"minimum":0,"maximum":1,"reducer":"NA","evidence":{"provenance":"IA","source_ids":["SRC.S2.ACQ.V2C","SRC.RU.B8.7"],"rationale":"Frozen fictional ACQ.V2C input from the assumptions register. Recalibrated to realistic levels by the owner's decision of 13.10.2026, after an independent model review.","policy_ids":[],"checked_on":"2026-10-13","verify":false,"owner":"Model author","refresh_trigger":"New model release"},"valid_from":"2027-01-01","valid_to":null},{"id":"ACQ.REF_RATE","label":"Referred connected users per MAU(t−1) per month","section":"ACQ","kind":"scalar","unit":"fraction","base":0.005,"scenario_rules":{"upside":{"mode":"absolute","value":0.007},"downside":{"mode":"absolute","value":0.003}},"minimum":0,"maximum":1,"reducer":"NA","evidence":{"provenance":"IA","source_ids":["SRC.S2.ACQ.REF_RATE"],"rationale":"Frozen fictional ACQ.REF_RATE input from the assumptions register.","policy_ids":[],"checked_on":"2026-10-12","verify":false,"owner":"Model author","refresh_trigger":"New model release"},"valid_from":"2027-01-01","valid_to":null},{"id":"ACQ.REF_BONUS","label":"Referral bonus","section":"ACQ","kind":"scalar","unit":"EUR_per_user","base":10,"scenario_rules":{"upside":{"mode":"inherit"},"downside":{"mode":"inherit"}},"minimum":0,"maximum":null,"reducer":"NA","evidence":{"provenance":"IA","source_ids":["SRC.S2.ACQ.REF_BONUS","SRC.RU.B8.17","SRC.RU.B8.21"],"rationale":"Frozen fictional ACQ.REF_BONUS input from the assumptions register.","policy_ids":[],"checked_on":"2026-10-12","verify":false,"owner":"Model author","refresh_trigger":"New model release"},"valid_from":"2027-01-01","valid_to":null},{"id":"ACQ.LT_SHARE","label":"Active lead traders as a share of MAU(t−1), from licence","section":"ACQ","kind":"scalar","unit":"fraction","base":0.015,"scenario_rules":{"upside":{"mode":"inherit"},"downside":{"mode":"inherit"}},"minimum":0,"maximum":1,"reducer":"NA","evidence":{"provenance":"IA","source_ids":["SRC.S2.ACQ.LT_SHARE"],"rationale":"Frozen fictional ACQ.LT_SHARE input from the assumptions register. Recalibrated to realistic levels by the owner's decision of 13.10.2026, after an independent model review.","policy_ids":[],"checked_on":"2026-10-13","verify":false,"owner":"Model author","refresh_trigger":"New model release"},"valid_from":"2027-01-01","valid_to":null},{"id":"ACQ.LT_FOLLOW","label":"New connected followers brought per active lead trader per month","section":"ACQ","kind":"scalar","unit":"users","base":2,"scenario_rules":{"upside":{"mode":"absolute","value":2.5},"downside":{"mode":"absolute","value":1.5}},"minimum":0,"maximum":null,"reducer":"NA","evidence":{"provenance":"IA","source_ids":["SRC.S2.ACQ.LT_FOLLOW"],"rationale":"Frozen fictional ACQ.LT_FOLLOW input from the assumptions register. Recalibrated to realistic levels by the owner's decision of 13.10.2026, after an independent model review.","policy_ids":[],"checked_on":"2026-10-13","verify":false,"owner":"Model author","refresh_trigger":"New model release"},"valid_from":"2027-01-01","valid_to":null},{"id":"ACQ.LT_CAP","label":"Followers-per-trader warning level","section":"ACQ","kind":"scalar","unit":"users","base":300,"scenario_rules":{"upside":{"mode":"inherit"},"downside":{"mode":"inherit"}},"minimum":0,"maximum":null,"reducer":"NA","evidence":{"provenance":"IA","source_ids":["SRC.S2.ACQ.LT_CAP"],"rationale":"Frozen fictional ACQ.LT_CAP input from the assumptions register.","policy_ids":[],"checked_on":"2026-10-12","verify":false,"owner":"Model author","refresh_trigger":"New model release"},"valid_from":"2027-01-01","valid_to":null},{"id":"ACQ.ORG","label":"Organic connected users per paid connected user","section":"ACQ","kind":"profile","unit":"multiplier","base":[1,1,1,1,1,1,1,1,1,1,1,1,1,1,1,1,1,1,1,1,1,1,1,1,1.5,1.5,1.5,1.5,1.5,1.5,1.5,1.5,1.5,1.5,1.5,1.5,1.5,1.5,1.5,1.5,1.5,1.5,1.5,1.5,1.5,1.5,1.5,1.5,1.5,1.5,1.5,1.5,1.5,1.5,1.5,1.5,1.5,1.5,1.5,1.5],"scenario_rules":{"upside":{"mode":"inherit"},"downside":{"mode":"inherit"}},"minimum":0,"maximum":null,"reducer":"AVG","evidence":{"provenance":"IA","source_ids":["SRC.S2.ACQ.ORG","SRC.RU.B8.13"],"rationale":"Frozen fictional ACQ.ORG input from the assumptions register.","policy_ids":[],"checked_on":"2026-10-12","verify":false,"owner":"Model author","refresh_trigger":"New model release"},"valid_from":"2027-01-01","valid_to":null},{"id":"RET.CURVE","label":"Share of a connected cohort active in month age a","section":"RET","kind":"table_ref","unit":"fraction","base":"TBL.RET.CURVE","scenario_rules":{"upside":{"mode":"inherit"},"downside":{"mode":"inherit"}},"minimum":null,"maximum":null,"reducer":"END","evidence":{"provenance":"IA","source_ids":["SRC.S2.RET.CURVE","SRC.RU.B9.1","SRC.RU.B9.2","SRC.RU.B9.6","SRC.S5.R-006"],"rationale":"Calculation rule R-006 sets the tail: ages 13-28 decline by 0.25 percentage points a month and age 29+ holds at 32%. After age 24 the curve loses a further 0.3 percentage points per month of age, with a floor of 20% (owner decision of 13.10.2026; age 59 = 21.5%). Apply RET.SCEN once, capped at 100%.","policy_ids":[],"checked_on":"2026-10-12","verify":false,"owner":"Model author","refresh_trigger":"New model release"},"valid_from":"2027-01-01","valid_to":null},{"id":"RET.SCEN","label":"Scenario rule","section":"RET","kind":"scalar","unit":"multiplier","base":1,"scenario_rules":{"upside":{"mode":"absolute","value":1.1},"downside":{"mode":"absolute","value":0.85}},"minimum":0,"maximum":null,"reducer":"NA","evidence":{"provenance":"EC","source_ids":["SRC.S2.RET.SCEN"],"rationale":"Frozen fictional RET.SCEN input from the assumptions register.","policy_ids":[],"checked_on":"2026-10-12","verify":false,"owner":"Model author","refresh_trigger":"New model release"},"valid_from":"2027-01-01","valid_to":null},{"id":"RET.REACT","label":"Reactivation","section":"RET","kind":"switch","unit":"boolean","base":false,"scenario_rules":{"upside":{"mode":"inherit"},"downside":{"mode":"inherit"}},"minimum":null,"maximum":null,"reducer":"NA","evidence":{"provenance":"EC","source_ids":["SRC.S2.RET.REACT"],"rationale":"Frozen fictional RET.REACT input from the assumptions register.","policy_ids":[],"checked_on":"2026-10-12","verify":false,"owner":"Model author","refresh_trigger":"New model release"},"valid_from":"2027-01-01","valid_to":null},{"id":"R1.P_PLUS_M","label":"Plus monthly price (incl. VAT)","section":"R1","kind":"scalar","unit":"EUR","base":9.99,"scenario_rules":{"upside":{"mode":"inherit"},"downside":{"mode":"inherit"}},"minimum":0,"maximum":null,"reducer":"NA","evidence":{"provenance":"IA","source_ids":["SRC.S2.R1.P_PLUS_M","SRC.RU.B9.14"],"rationale":"Frozen fictional R1.P_PLUS_M input from the assumptions register.","policy_ids":[],"checked_on":"2026-10-12","verify":false,"owner":"Model author","refresh_trigger":"New model release"},"valid_from":"2027-01-01","valid_to":null},{"id":"R1.P_PLUS_Y","label":"Plus annual price","section":"R1","kind":"scalar","unit":"EUR","base":89.99,"scenario_rules":{"upside":{"mode":"inherit"},"downside":{"mode":"inherit"}},"minimum":0,"maximum":null,"reducer":"NA","evidence":{"provenance":"IA","source_ids":["SRC.S2.R1.P_PLUS_Y"],"rationale":"Frozen fictional R1.P_PLUS_Y input from the assumptions register.","policy_ids":[],"checked_on":"2026-10-12","verify":false,"owner":"Model author","refresh_trigger":"New model release"},"valid_from":"2027-01-01","valid_to":null},{"id":"R1.P_PRO_M","label":"Pro monthly price (incl. terminal)","section":"R1","kind":"scalar","unit":"EUR","base":29.99,"scenario_rules":{"upside":{"mode":"inherit"},"downside":{"mode":"inherit"}},"minimum":0,"maximum":null,"reducer":"NA","evidence":{"provenance":"IA","source_ids":["SRC.S2.R1.P_PRO_M","SRC.MP.C12","SRC.MP.C10"],"rationale":"Frozen fictional R1.P_PRO_M input from the assumptions register.","policy_ids":[],"checked_on":"2026-10-12","verify":false,"owner":"Model author","refresh_trigger":"New model release"},"valid_from":"2027-01-01","valid_to":null},{"id":"R1.P_PRO_Y","label":"Pro annual price","section":"R1","kind":"scalar","unit":"EUR","base":269.99,"scenario_rules":{"upside":{"mode":"inherit"},"downside":{"mode":"inherit"}},"minimum":0,"maximum":null,"reducer":"NA","evidence":{"provenance":"IA","source_ids":["SRC.S2.R1.P_PRO_Y","SRC.MP.C10","SRC.MP.C12"],"rationale":"Frozen fictional R1.P_PRO_Y input from the assumptions register.","policy_ids":[],"checked_on":"2026-10-12","verify":false,"owner":"Model author","refresh_trigger":"New model release"},"valid_from":"2027-01-01","valid_to":null},{"id":"R1.MIX_PRO","label":"Pro share of new payers","section":"R1","kind":"scalar","unit":"fraction","base":0.25,"scenario_rules":{"upside":{"mode":"absolute","value":0.3},"downside":{"mode":"absolute","value":0.2}},"minimum":0,"maximum":1,"reducer":"NA","evidence":{"provenance":"IA","source_ids":["SRC.S2.R1.MIX_PRO"],"rationale":"Frozen fictional R1.MIX_PRO input from the assumptions register.","policy_ids":[],"checked_on":"2026-10-12","verify":false,"owner":"Model author","refresh_trigger":"New model release"},"valid_from":"2027-01-01","valid_to":null},{"id":"R1.CONV_FIRST","label":"New connected users who pay in their first month","section":"R1","kind":"scalar","unit":"fraction","base":0.08,"scenario_rules":{"upside":{"mode":"absolute","value":0.1},"downside":{"mode":"absolute","value":0.06}},"minimum":0,"maximum":1,"reducer":"NA","evidence":{"provenance":"IA","source_ids":["SRC.S2.R1.CONV_FIRST","SRC.RU.B9.7","SRC.RU.B9.9"],"rationale":"Frozen fictional R1.CONV_FIRST input from the assumptions register. Recalibrated to realistic levels by the owner's decision of 13.10.2026, after an independent model review.","policy_ids":[],"checked_on":"2026-10-13","verify":false,"owner":"Model author","refresh_trigger":"New model release"},"valid_from":"2027-01-01","valid_to":null},{"id":"R1.CONV_LATE","label":"Monthly conversion of active non-payers","section":"R1","kind":"scalar","unit":"fraction","base":0.008,"scenario_rules":{"upside":{"mode":"absolute","value":0.01},"downside":{"mode":"absolute","value":0.006}},"minimum":0,"maximum":1,"reducer":"NA","evidence":{"provenance":"IA","source_ids":["SRC.S2.R1.CONV_LATE"],"rationale":"Frozen fictional R1.CONV_LATE input from the assumptions register. Recalibrated to realistic levels by the owner's decision of 13.10.2026, after an independent model review.","policy_ids":[],"checked_on":"2026-10-13","verify":false,"owner":"Model author","refresh_trigger":"New model release"},"valid_from":"2027-01-01","valid_to":null},{"id":"R1.ANNUAL_SHARE","label":"Annual plans among new paid","section":"R1","kind":"scalar","unit":"fraction","base":0.3,"scenario_rules":{"upside":{"mode":"inherit"},"downside":{"mode":"inherit"}},"minimum":0,"maximum":1,"reducer":"NA","evidence":{"provenance":"IA","source_ids":["SRC.S2.R1.ANNUAL_SHARE","SRC.RU.B9.13"],"rationale":"Frozen fictional R1.ANNUAL_SHARE input from the assumptions register.","policy_ids":[],"checked_on":"2026-10-12","verify":false,"owner":"Model author","refresh_trigger":"New model release"},"valid_from":"2027-01-01","valid_to":null},{"id":"R1.CHURN_M","label":"Monthly-plan churn","section":"R1","kind":"scalar","unit":"fraction","base":0.09,"scenario_rules":{"upside":{"mode":"absolute","value":0.07},"downside":{"mode":"absolute","value":0.11}},"minimum":0,"maximum":1,"reducer":"NA","evidence":{"provenance":"IA","source_ids":["SRC.S2.R1.CHURN_M","SRC.RU.B9.10"],"rationale":"Frozen fictional R1.CHURN_M input from the assumptions register.","policy_ids":[],"checked_on":"2026-10-12","verify":false,"owner":"Model author","refresh_trigger":"New model release"},"valid_from":"2027-01-01","valid_to":null},{"id":"R1.RENEW_Y","label":"Annual renewal rate","section":"R1","kind":"scalar","unit":"fraction","base":0.35,"scenario_rules":{"upside":{"mode":"absolute","value":0.4},"downside":{"mode":"absolute","value":0.25}},"minimum":0,"maximum":1,"reducer":"NA","evidence":{"provenance":"IA","source_ids":["SRC.S2.R1.RENEW_Y","SRC.RU.B9.12"],"rationale":"Frozen fictional R1.RENEW_Y input from the assumptions register.","policy_ids":[],"checked_on":"2026-10-12","verify":false,"owner":"Model author","refresh_trigger":"New model release"},"valid_from":"2027-01-01","valid_to":null},{"id":"R1.STORE_SHARE","label":"Share of R1 billing through app stores","section":"R1","kind":"scalar","unit":"fraction","base":0.4,"scenario_rules":{"upside":{"mode":"inherit"},"downside":{"mode":"inherit"}},"minimum":0,"maximum":1,"reducer":"NA","evidence":{"provenance":"IA","source_ids":["SRC.S2.R1.STORE_SHARE"],"rationale":"Frozen fictional R1.STORE_SHARE input from the assumptions register.","policy_ids":["P04"],"checked_on":"2026-10-12","verify":false,"owner":"Model author","refresh_trigger":"New model release"},"valid_from":"2027-01-01","valid_to":null},{"id":"R1.STORE_FEE","label":"App-store commission (blended)","section":"R1","kind":"scalar","unit":"fraction","base":0.15,"scenario_rules":{"upside":{"mode":"inherit"},"downside":{"mode":"inherit"}},"minimum":0,"maximum":1,"reducer":"NA","evidence":{"provenance":"IA","source_ids":["SRC.S2.R1.STORE_FEE","SRC.RU.B6.13","SRC.RU.B6.19"],"rationale":"Frozen fictional R1.STORE_FEE input from the assumptions register.","policy_ids":["P04"],"checked_on":"2026-10-12","verify":true,"owner":"Model author","refresh_trigger":"New model release"},"valid_from":"2027-01-01","valid_to":null},{"id":"R1.STORE_LAG","label":"Store payout lag","section":"R1","kind":"scalar","unit":"months","base":1,"scenario_rules":{"upside":{"mode":"inherit"},"downside":{"mode":"inherit"}},"minimum":0,"maximum":null,"reducer":"NA","evidence":{"provenance":"IA","source_ids":["SRC.S2.R1.STORE_LAG"],"rationale":"Frozen fictional R1.STORE_LAG input from the assumptions register.","policy_ids":["P04"],"checked_on":"2026-10-12","verify":false,"owner":"Model author","refresh_trigger":"New model release"},"valid_from":"2027-01-01","valid_to":null},{"id":"R1.REFUNDS","label":"Refunds","section":"R1","kind":"scalar","unit":"EUR","base":0,"scenario_rules":{"upside":{"mode":"inherit"},"downside":{"mode":"inherit"}},"minimum":0,"maximum":null,"reducer":"NA","evidence":{"provenance":"EC","source_ids":["SRC.S2.R1.REFUNDS"],"rationale":"Frozen fictional R1.REFUNDS input from the assumptions register.","policy_ids":[],"checked_on":"2026-10-12","verify":false,"owner":"Model author","refresh_trigger":"New model release"},"valid_from":"2027-01-01","valid_to":null},{"id":"R2.PRICE","label":"Average copy fee per copied trader per month (incl. VAT; traders choose €9.99–49.99)","section":"R2","kind":"scalar","unit":"EUR","base":19.99,"scenario_rules":{"upside":{"mode":"absolute","value":24.99},"downside":{"mode":"absolute","value":14.99}},"minimum":0,"maximum":null,"reducer":"NA","evidence":{"provenance":"IA","source_ids":["SRC.S2.R2.PRICE","SRC.MP.C10","SRC.MP.C12"],"rationale":"Frozen fictional R2.PRICE input from the assumptions register. Recalibrated to realistic levels by the owner's decision of 13.10.2026, after an independent model review.","policy_ids":["P03"],"checked_on":"2026-10-13","verify":false,"owner":"Model author","refresh_trigger":"New model release"},"valid_from":"2027-01-01","valid_to":null},{"id":"R2.TRADER_SHARE","label":"Share of the net copy fee paid to the lead trader (signal-provider fee)","section":"R2","kind":"scalar","unit":"fraction","base":0.5,"scenario_rules":{"upside":{"mode":"absolute","value":0.5},"downside":{"mode":"absolute","value":0.5}},"minimum":0,"maximum":1,"reducer":"NA","evidence":{"provenance":"IA","source_ids":["SRC.S2.R2.TRADER_SHARE","SRC.RU.B9.21","SRC.RU.B9.20"],"rationale":"Frozen fictional R2.TRADER_SHARE input from the assumptions register.","policy_ids":["P03"],"checked_on":"2026-10-12","verify":true,"owner":"Model author","refresh_trigger":"New model release"},"valid_from":"2027-01-01","valid_to":null},{"id":"R2.CONV","label":"Eligible active non-copiers who start copying per month","section":"R2","kind":"scalar","unit":"fraction","base":0.025,"scenario_rules":{"upside":{"mode":"absolute","value":0.03},"downside":{"mode":"absolute","value":0.02}},"minimum":0,"maximum":1,"reducer":"NA","evidence":{"provenance":"IA","source_ids":["SRC.S2.R2.CONV"],"rationale":"Frozen fictional R2.CONV input from the assumptions register. Recalibrated to realistic levels by the owner's decision of 13.10.2026, after an independent model review.","policy_ids":["P03"],"checked_on":"2026-10-13","verify":false,"owner":"Model author","refresh_trigger":"New model release"},"valid_from":"2027-01-01","valid_to":null},{"id":"R2.CHURN","label":"Copier churn","section":"R2","kind":"scalar","unit":"fraction","base":0.06,"scenario_rules":{"upside":{"mode":"absolute","value":0.05},"downside":{"mode":"absolute","value":0.08}},"minimum":0,"maximum":1,"reducer":"NA","evidence":{"provenance":"IA","source_ids":["SRC.S2.R2.CHURN"],"rationale":"Frozen fictional R2.CHURN input from the assumptions register.","policy_ids":["P03"],"checked_on":"2026-10-12","verify":false,"owner":"Model author","refresh_trigger":"New model release"},"valid_from":"2027-01-01","valid_to":null},{"id":"R2.REL","label":"Copied traders per copier","section":"R2","kind":"scalar","unit":"count","base":1.3,"scenario_rules":{"upside":{"mode":"inherit"},"downside":{"mode":"inherit"}},"minimum":0,"maximum":null,"reducer":"NA","evidence":{"provenance":"IA","source_ids":["SRC.S2.R2.REL"],"rationale":"Frozen fictional R2.REL input from the assumptions register. Recalibrated to realistic levels by the owner's decision of 13.10.2026, after an independent model review.","policy_ids":["P03"],"checked_on":"2026-10-13","verify":false,"owner":"Model author","refresh_trigger":"New model release"},"valid_from":"2027-01-01","valid_to":null},{"id":"R2.PAYOUT_LAG","label":"Lead-trader payout","section":"R2","kind":"scalar","unit":"months","base":1,"scenario_rules":{"upside":{"mode":"inherit"},"downside":{"mode":"inherit"}},"minimum":0,"maximum":null,"reducer":"NA","evidence":{"provenance":"EC","source_ids":["SRC.S2.R2.PAYOUT_LAG"],"rationale":"Frozen fictional R2.PAYOUT_LAG input from the assumptions register.","policy_ids":["P03"],"checked_on":"2026-10-12","verify":false,"owner":"Model author","refresh_trigger":"New model release"},"valid_from":"2027-01-01","valid_to":null},{"id":"R2.AUC_ALLOC","label":"Average capital allocated per copy relationship (memo only, at the exchange)","section":"R2","kind":"scalar","unit":"EUR","base":2000,"scenario_rules":{"upside":{"mode":"inherit"},"downside":{"mode":"inherit"}},"minimum":0,"maximum":null,"reducer":"NA","evidence":{"provenance":"IA","source_ids":["SRC.S2.R2.AUC_ALLOC"],"rationale":"Frozen fictional R2.AUC_ALLOC input from the assumptions register.","policy_ids":["P03"],"checked_on":"2026-10-12","verify":false,"owner":"Model author","refresh_trigger":"New model release"},"valid_from":"2027-01-01","valid_to":null},{"id":"R3.SWITCH","label":"Rebates on licensed copy and transmitted orders","section":"R3","kind":"switch","unit":"boolean","base":false,"scenario_rules":{"upside":{"mode":"inherit"},"downside":{"mode":"inherit"}},"minimum":null,"maximum":null,"reducer":"NA","evidence":{"provenance":"VF","source_ids":["SRC.S2.R3.SWITCH","SRC.RU.A1.5.1"],"rationale":"Frozen fictional R3.SWITCH input from the assumptions register.","policy_ids":["P06"],"checked_on":"2026-10-12","verify":true,"owner":"Model author","refresh_trigger":"New model release"},"valid_from":"2027-01-01","valid_to":null},{"id":"R3.AFFIL","label":"Affiliate commissions on self-directed users (outside MiCA services)","section":"R3","kind":"switch","unit":"boolean","base":false,"scenario_rules":{"upside":{"mode":"inherit"},"downside":{"mode":"inherit"}},"minimum":null,"maximum":null,"reducer":"NA","evidence":{"provenance":"IA","source_ids":["SRC.S2.R3.AFFIL","SRC.RU.A1.5.5","SRC.RU.B8.20","SRC.RU.B8.18"],"rationale":"Frozen fictional R3.AFFIL input from the assumptions register.","policy_ids":["P06"],"checked_on":"2026-10-12","verify":true,"owner":"Model author","refresh_trigger":"New model release"},"valid_from":"2027-01-01","valid_to":null},{"id":"R7.NEW","label":"New clients per month","section":"R7","kind":"profile","unit":"clients","base":[0,0,0,0,0,0,0,0,0,0,0,0,0,0,0,0,0,0,0,0,0,0,0,0,1,1,1,1,1,1,1,1,1,1,1,1,2,2,2,2,2,2,2,2,2,2,2,2,3,3,3,3,3,3,3,3,3,3,3,3],"scenario_rules":{"upside":{"mode":"multiplier","amount":1.25},"downside":{"mode":"multiplier","amount":0.5}},"minimum":0,"maximum":null,"reducer":"SUM","evidence":{"provenance":"IA","source_ids":["SRC.S2.R7.NEW"],"rationale":"Frozen fictional R7.NEW input from the assumptions register.","policy_ids":[],"checked_on":"2026-10-12","verify":false,"owner":"Model author","refresh_trigger":"New model release"},"valid_from":"2027-01-01","valid_to":null},{"id":"R7.CHURN","label":"Client churn","section":"R7","kind":"scalar","unit":"fraction","base":0.02,"scenario_rules":{"upside":{"mode":"inherit"},"downside":{"mode":"inherit"}},"minimum":0,"maximum":1,"reducer":"NA","evidence":{"provenance":"IA","source_ids":["SRC.S2.R7.CHURN"],"rationale":"Frozen fictional R7.CHURN input from the assumptions register.","policy_ids":[],"checked_on":"2026-10-12","verify":false,"owner":"Model author","refresh_trigger":"New model release"},"valid_from":"2027-01-01","valid_to":null},{"id":"R7.SEATS","label":"Seats per client","section":"R7","kind":"scalar","unit":"seats","base":15,"scenario_rules":{"upside":{"mode":"inherit"},"downside":{"mode":"inherit"}},"minimum":0,"maximum":null,"reducer":"NA","evidence":{"provenance":"IA","source_ids":["SRC.S2.R7.SEATS"],"rationale":"Frozen fictional R7.SEATS input from the assumptions register.","policy_ids":[],"checked_on":"2026-10-12","verify":false,"owner":"Model author","refresh_trigger":"New model release"},"valid_from":"2027-01-01","valid_to":null},{"id":"R7.PRICE","label":"Price per seat per month (net)","section":"R7","kind":"scalar","unit":"EUR_per_seat","base":150,"scenario_rules":{"upside":{"mode":"absolute","value":170},"downside":{"mode":"absolute","value":120}},"minimum":0,"maximum":null,"reducer":"NA","evidence":{"provenance":"IA","source_ids":["SRC.S2.R7.PRICE"],"rationale":"Frozen fictional R7.PRICE input from the assumptions register.","policy_ids":[],"checked_on":"2026-10-12","verify":false,"owner":"Model author","refresh_trigger":"New model release"},"valid_from":"2027-01-01","valid_to":null},{"id":"R7.ONBOARD","label":"Onboarding fee (recognised over 12 months)","section":"R7","kind":"scalar","unit":"EUR","base":2000,"scenario_rules":{"upside":{"mode":"inherit"},"downside":{"mode":"inherit"}},"minimum":0,"maximum":null,"reducer":"NA","evidence":{"provenance":"IA","source_ids":["SRC.S2.R7.ONBOARD"],"rationale":"Frozen fictional R7.ONBOARD input from the assumptions register.","policy_ids":[],"checked_on":"2026-10-12","verify":false,"owner":"Model author","refresh_trigger":"New model release"},"valid_from":"2027-01-01","valid_to":null},{"id":"R7.DSO","label":"Payment terms","section":"R7","kind":"scalar","unit":"days","base":30,"scenario_rules":{"upside":{"mode":"inherit"},"downside":{"mode":"inherit"}},"minimum":0,"maximum":null,"reducer":"NA","evidence":{"provenance":"IA","source_ids":["SRC.S2.R7.DSO"],"rationale":"Frozen fictional R7.DSO input from the assumptions register.","policy_ids":[],"checked_on":"2026-10-12","verify":false,"owner":"Model author","refresh_trigger":"New model release"},"valid_from":"2027-01-01","valid_to":null},{"id":"R7.SPLIT.DE","label":"B2B client location: share in Germany","section":"R7","kind":"scalar","unit":"fraction","base":0.8,"scenario_rules":{"upside":{"mode":"inherit"},"downside":{"mode":"inherit"}},"minimum":0,"maximum":1,"reducer":"NA","evidence":{"provenance":"IA","source_ids":["SRC.S2.R7.SPLIT"],"rationale":"Frozen fictional R7.SPLIT.DE input from the assumptions register.","policy_ids":[],"checked_on":"2026-10-12","verify":false,"owner":"Model author","refresh_trigger":"New model release"},"valid_from":"2027-01-01","valid_to":null},{"id":"R7.SPLIT.AT","label":"B2B client location: share in Austria","section":"R7","kind":"scalar","unit":"fraction","base":0.2,"scenario_rules":{"upside":{"mode":"inherit"},"downside":{"mode":"inherit"}},"minimum":0,"maximum":1,"reducer":"NA","evidence":{"provenance":"IA","source_ids":["SRC.S2.R7.SPLIT"],"rationale":"Frozen fictional R7.SPLIT.AT input from the assumptions register.","policy_ids":[],"checked_on":"2026-10-12","verify":false,"owner":"Model author","refresh_trigger":"New model release"},"valid_from":"2027-01-01","valid_to":null},{"id":"COGS.WEB_PCT","label":"Card processing, percentage part","section":"COGS","kind":"scalar","unit":"fraction","base":0.015,"scenario_rules":{"upside":{"mode":"inherit"},"downside":{"mode":"inherit"}},"minimum":0,"maximum":1,"reducer":"NA","evidence":{"provenance":"VF","source_ids":["SRC.S2.COGS.WEB_PCT","SRC.RU.B6.1"],"rationale":"Frozen fictional COGS.WEB_PCT input from the assumptions register.","policy_ids":[],"checked_on":"2026-10-12","verify":false,"owner":"Model author","refresh_trigger":"New model release"},"valid_from":"2027-01-01","valid_to":null},{"id":"COGS.WEB_FIX","label":"Card processing, fixed part","section":"COGS","kind":"scalar","unit":"EUR_per_charge","base":0.25,"scenario_rules":{"upside":{"mode":"inherit"},"downside":{"mode":"inherit"}},"minimum":0,"maximum":null,"reducer":"NA","evidence":{"provenance":"VF","source_ids":["SRC.S2.COGS.WEB_FIX","SRC.RU.B6.1"],"rationale":"Frozen fictional COGS.WEB_FIX input from the assumptions register.","policy_ids":[],"checked_on":"2026-10-12","verify":false,"owner":"Model author","refresh_trigger":"New model release"},"valid_from":"2027-01-01","valid_to":null},{"id":"COGS.BILLING","label":"Subscription billing","section":"COGS","kind":"scalar","unit":"fraction","base":0.007,"scenario_rules":{"upside":{"mode":"inherit"},"downside":{"mode":"inherit"}},"minimum":0,"maximum":1,"reducer":"NA","evidence":{"provenance":"VF","source_ids":["SRC.S2.COGS.BILLING","SRC.RU.B6.8"],"rationale":"Frozen fictional COGS.BILLING input from the assumptions register.","policy_ids":[],"checked_on":"2026-10-12","verify":false,"owner":"Model author","refresh_trigger":"New model release"},"valid_from":"2027-01-01","valid_to":null},{"id":"COGS.PAYOUT.ACCOUNT","label":"Lead-trader payouts: monthly fee per active payout account","section":"COGS","kind":"scalar","unit":"EUR_per_person","base":2,"scenario_rules":{"upside":{"mode":"inherit"},"downside":{"mode":"inherit"}},"minimum":0,"maximum":null,"reducer":"NA","evidence":{"provenance":"VF","source_ids":["SRC.S2.COGS.PAYOUT","SRC.RU.B6.10","SRC.S5.R-015"],"rationale":"Frozen fictional COGS.PAYOUT.ACCOUNT input from the assumptions register.","policy_ids":[],"checked_on":"2026-10-12","verify":false,"owner":"Model author","refresh_trigger":"New model release"},"valid_from":"2027-01-01","valid_to":null},{"id":"COGS.PAYOUT.PCT","label":"Lead-trader payouts: percentage fee on payout volume","section":"COGS","kind":"scalar","unit":"fraction","base":0.0025,"scenario_rules":{"upside":{"mode":"inherit"},"downside":{"mode":"inherit"}},"minimum":0,"maximum":1,"reducer":"NA","evidence":{"provenance":"VF","source_ids":["SRC.S2.COGS.PAYOUT","SRC.RU.B6.10","SRC.S5.R-015"],"rationale":"Frozen fictional COGS.PAYOUT.PCT input from the assumptions register.","policy_ids":[],"checked_on":"2026-10-12","verify":false,"owner":"Model author","refresh_trigger":"New model release"},"valid_from":"2027-01-01","valid_to":null},{"id":"COGS.PAYOUT.FIX","label":"Lead-trader payouts: fixed fee per payout","section":"COGS","kind":"scalar","unit":"EUR_per_charge","base":0.1,"scenario_rules":{"upside":{"mode":"inherit"},"downside":{"mode":"inherit"}},"minimum":0,"maximum":null,"reducer":"NA","evidence":{"provenance":"VF","source_ids":["SRC.S2.COGS.PAYOUT","SRC.RU.B6.10","SRC.S5.R-015"],"rationale":"Frozen fictional COGS.PAYOUT.FIX input from the assumptions register.","policy_ids":[],"checked_on":"2026-10-12","verify":false,"owner":"Model author","refresh_trigger":"New model release"},"valid_from":"2027-01-01","valid_to":null},{"id":"COGS.PAYOUT.ROUTING","label":"Lead-trader payouts: routing fee on payout volume","section":"COGS","kind":"scalar","unit":"fraction","base":0.0025,"scenario_rules":{"upside":{"mode":"inherit"},"downside":{"mode":"inherit"}},"minimum":0,"maximum":1,"reducer":"NA","evidence":{"provenance":"VF","source_ids":["SRC.S2.COGS.PAYOUT","SRC.RU.B6.10","SRC.S5.R-015"],"rationale":"Frozen fictional COGS.PAYOUT.ROUTING input from the assumptions register.","policy_ids":[],"checked_on":"2026-10-12","verify":false,"owner":"Model author","refresh_trigger":"New model release"},"valid_from":"2027-01-01","valid_to":null},{"id":"COGS.KYC.UNIT_USD","label":"Identity check (KYC) per verification, USD (new copiers and new paid lead traders, deduplicated)","section":"COGS","kind":"scalar","unit":"USD_per_check","base":1.85,"scenario_rules":{"upside":{"mode":"inherit"},"downside":{"mode":"inherit"}},"minimum":0,"maximum":null,"reducer":"NA","evidence":{"provenance":"VF","source_ids":["SRC.S2.COGS.KYC","SRC.RU.B5.2"],"rationale":"Frozen fictional COGS.KYC.UNIT_USD input from the assumptions register.","policy_ids":[],"checked_on":"2026-10-12","verify":false,"owner":"Model author","refresh_trigger":"New model release"},"valid_from":"2027-01-01","valid_to":null},{"id":"COGS.KYC.MIN_USD","label":"Identity checks (KYC): monthly minimum fee, USD","section":"COGS","kind":"scalar","unit":"USD","base":299,"scenario_rules":{"upside":{"mode":"inherit"},"downside":{"mode":"inherit"}},"minimum":0,"maximum":null,"reducer":"NA","evidence":{"provenance":"VF","source_ids":["SRC.S2.COGS.KYC","SRC.RU.B5.2"],"rationale":"Frozen fictional COGS.KYC.MIN_USD input from the assumptions register.","policy_ids":[],"checked_on":"2026-10-12","verify":false,"owner":"Model author","refresh_trigger":"New model release"},"valid_from":"2027-01-01","valid_to":null},{"id":"COGS.CLOUD.BASE","label":"Hosting: fixed base per month","section":"COGS","kind":"scalar","unit":"EUR_per_month","base":1500,"scenario_rules":{"upside":{"mode":"inherit"},"downside":{"mode":"inherit"}},"minimum":0,"maximum":null,"reducer":"NA","evidence":{"provenance":"IA","source_ids":["SRC.S2.COGS.CLOUD"],"rationale":"Frozen fictional COGS.CLOUD.BASE input from the assumptions register.","policy_ids":[],"checked_on":"2026-10-12","verify":false,"owner":"Model author","refresh_trigger":"New model release"},"valid_from":"2027-01-01","valid_to":null},{"id":"COGS.CLOUD.VARIABLE","label":"Hosting: variable cost per monthly active user","section":"COGS","kind":"scalar","unit":"EUR_per_user","base":0.1,"scenario_rules":{"upside":{"mode":"inherit"},"downside":{"mode":"inherit"}},"minimum":0,"maximum":null,"reducer":"NA","evidence":{"provenance":"IA","source_ids":["SRC.S2.COGS.CLOUD"],"rationale":"Frozen fictional COGS.CLOUD.VARIABLE input from the assumptions register.","policy_ids":[],"checked_on":"2026-10-12","verify":false,"owner":"Model author","refresh_trigger":"New model release"},"valid_from":"2027-01-01","valid_to":null},{"id":"COGS.CLOUD.START_MONTH","label":"Hosting: month the fixed base starts","section":"COGS","kind":"date_month","unit":"month_index","base":4,"scenario_rules":{"upside":{"mode":"inherit"},"downside":{"mode":"inherit"}},"minimum":1,"maximum":60,"reducer":"NA","evidence":{"provenance":"IA","source_ids":["SRC.S2.COGS.CLOUD"],"rationale":"Frozen fictional COGS.CLOUD.START_MONTH input from the assumptions register.","policy_ids":[],"checked_on":"2026-10-12","verify":false,"owner":"Model author","refresh_trigger":"New model release"},"valid_from":"2027-01-01","valid_to":null},{"id":"COGS.SUPPORT.CONTACTS_PER_1000","label":"Outsourced first-line support: contacts per 1,000 monthly active users","section":"COGS","kind":"scalar","unit":"count","base":25,"scenario_rules":{"upside":{"mode":"inherit"},"downside":{"mode":"inherit"}},"minimum":0,"maximum":null,"reducer":"NA","evidence":{"provenance":"IA","source_ids":["SRC.S2.COGS.SUPPORT"],"rationale":"Frozen fictional COGS.SUPPORT.CONTACTS_PER_1000 input from the assumptions register.","policy_ids":[],"checked_on":"2026-10-12","verify":false,"owner":"Model author","refresh_trigger":"New model release"},"valid_from":"2027-01-01","valid_to":null},{"id":"COGS.SUPPORT.PRICE","label":"Outsourced first-line support: price per contact","section":"COGS","kind":"scalar","unit":"EUR_per_charge","base":4,"scenario_rules":{"upside":{"mode":"inherit"},"downside":{"mode":"inherit"}},"minimum":0,"maximum":null,"reducer":"NA","evidence":{"provenance":"IA","source_ids":["SRC.S2.COGS.SUPPORT"],"rationale":"Frozen fictional COGS.SUPPORT.PRICE input from the assumptions register.","policy_ids":[],"checked_on":"2026-10-12","verify":false,"owner":"Model author","refresh_trigger":"New model release"},"valid_from":"2027-01-01","valid_to":null},{"id":"COGS.CHARGEBACK.RATE","label":"Card disputes: share of web card volume disputed","section":"COGS","kind":"scalar","unit":"fraction","base":0.003,"scenario_rules":{"upside":{"mode":"inherit"},"downside":{"mode":"inherit"}},"minimum":0,"maximum":1,"reducer":"NA","evidence":{"provenance":"IA","source_ids":["SRC.S2.COGS.CHARGEBACK"],"rationale":"Frozen fictional COGS.CHARGEBACK.RATE input from the assumptions register.","policy_ids":[],"checked_on":"2026-10-12","verify":false,"owner":"Model author","refresh_trigger":"New model release"},"valid_from":"2027-01-01","valid_to":null},{"id":"COGS.CHARGEBACK.FIX","label":"Card disputes: fee per dispute","section":"COGS","kind":"scalar","unit":"EUR_per_charge","base":20,"scenario_rules":{"upside":{"mode":"inherit"},"downside":{"mode":"inherit"}},"minimum":0,"maximum":null,"reducer":"NA","evidence":{"provenance":"IA","source_ids":["SRC.S2.COGS.CHARGEBACK"],"rationale":"Frozen fictional COGS.CHARGEBACK.FIX input from the assumptions register.","policy_ids":[],"checked_on":"2026-10-12","verify":false,"owner":"Model author","refresh_trigger":"New model release"},"valid_from":"2027-01-01","valid_to":null},{"id":"COGS.FRAUD","label":"Fraud losses","section":"COGS","kind":"scalar","unit":"fraction","base":0.002,"scenario_rules":{"upside":{"mode":"inherit"},"downside":{"mode":"inherit"}},"minimum":0,"maximum":1,"reducer":"NA","evidence":{"provenance":"IA","source_ids":["SRC.S2.COGS.FRAUD"],"rationale":"Frozen fictional COGS.FRAUD input from the assumptions register.","policy_ids":[],"checked_on":"2026-10-12","verify":false,"owner":"Model author","refresh_trigger":"New model release"},"valid_from":"2027-01-01","valid_to":null},{"id":"COGS.MDATA","label":"Market data","section":"COGS","kind":"profile","unit":"USD","base":[0,0,0,499,499,499,499,499,499,499,499,499,999,999,999,999,999,999,999,999,999,999,999,999,999,999,999,999,999,999,999,999,999,999,999,999,999,999,999,999,999,999,999,999,999,999,999,999,999,999,999,999,999,999,999,999,999,999,999,999],"scenario_rules":{"upside":{"mode":"inherit"},"downside":{"mode":"inherit"}},"minimum":0,"maximum":null,"reducer":"END","evidence":{"provenance":"VF","source_ids":["SRC.S2.COGS.MDATA","SRC.RU.B7.5"],"rationale":"Frozen fictional COGS.MDATA input from the assumptions register.","policy_ids":[],"checked_on":"2026-10-12","verify":false,"owner":"Model author","refresh_trigger":"New model release"},"valid_from":"2027-01-01","valid_to":null},{"id":"PPL.RV","label":"Pension total (employer half)","section":"PPL","kind":"table_ref","unit":"fraction","base":"TBL.PPL.RV","scenario_rules":{"upside":{"mode":"inherit"},"downside":{"mode":"inherit"}},"minimum":null,"maximum":null,"reducer":"NA","evidence":{"provenance":"FC","source_ids":["SRC.S2.PPL.RV","SRC.GC.2b.RV"],"rationale":"Assumptions register and calculation rule R-023: DRV forecast total rate 18.6% in 2027 and 19.9% from 2028; employer half. Frozen forecast, not a claim of enacted future rates.","policy_ids":["P07"],"checked_on":"2026-10-12","verify":true,"owner":"Model author","refresh_trigger":"November/December 2026 payroll publications; subsequent annual publications or status decision"},"valid_from":"2027-01-01","valid_to":null},{"id":"PPL.AV","label":"Unemployment total","section":"PPL","kind":"scalar","unit":"fraction","base":0.026,"scenario_rules":{"upside":{"mode":"inherit"},"downside":{"mode":"inherit"}},"minimum":0,"maximum":1,"reducer":"NA","evidence":{"provenance":"IA","source_ids":["SRC.S2.PPL.AV","SRC.GC.2a.A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decision"},"valid_from":"2027-01-01","valid_to":null},{"id":"PPL.KV.GENERAL","label":"Health insurance: general contribution rate (total)","section":"PPL","kind":"scalar","unit":"fraction","base":0.146,"scenario_rules":{"upside":{"mode":"inherit"},"downside":{"mode":"inherit"}},"minimum":0,"maximum":1,"reducer":"NA","evidence":{"provenance":"IA","source_ids":["SRC.S2.PPL.KV","SRC.GC.2a.K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decision"},"valid_from":"2027-01-01","valid_to":null},{"id":"PPL.KV.ADDITIONAL","label":"Health insurance: average additional contribution rate (total)","section":"PPL","kind":"scalar","unit":"fraction","base":0.031,"scenario_rules":{"upside":{"mode":"inherit"},"downside":{"mode":"inherit"}},"minimum":0,"maximum":1,"reducer":"NA","evidence":{"provenance":"IA","source_ids":["SRC.S2.PPL.KV","SRC.GC.2b.KV_ADD"],"rationale":"Assumptions register and calculation rule R-023: carry the reported benchmark into the 2027-2031 fictional plan. Future rates are placeholders, refreshed on November/December 2026 payroll publications.","policy_ids":["P07"],"checked_on":"2026-10-12","verify":false,"owner":"Model author","refresh_trigger":"November/December 2026 payroll publication"},"valid_from":"2027-01-01","valid_to":null},{"id":"PPL.PV","label":"Care total (employer 1.8%)","section":"PPL","kind":"scalar","unit":"fraction","base":0.036,"scenario_rules":{"upside":{"mode":"inherit"},"downside":{"mode":"inherit"}},"minimum":0,"maximum":1,"reducer":"NA","evidence":{"provenance":"IA","source_ids":["SRC.S2.PPL.PV","SRC.GC.2a.P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decision"},"valid_from":"2027-01-01","valid_to":null},{"id":"PPL.CEIL_RV","label":"Pension/unemployment ceiling","section":"PPL","kind":"table_ref","unit":"EUR_per_month","base":"TBL.PPL.CEIL_RV","scenario_rules":{"upside":{"mode":"inherit"},"downside":{"mode":"inherit"}},"minimum":null,"maximum":null,"reducer":"NA","evidence":{"provenance":"FC","source_ids":["SRC.S2.PPL.CEIL_RV","SRC.GC.2b.CEIL_RV"],"rationale":"Assumptions register and calculation rule R-023: 2027 cabinet benchmark 8850 EUR/month; forecast later years at 4% annual growth. Provisional 2027 benchmark and all future values require late-2026 refresh.","policy_ids":["P07"],"checked_on":"2026-10-12","verify":true,"owner":"Model author","refresh_trigger":"November/December 2026 payroll publications; subsequent annual publications or status decision"},"valid_from":"2027-01-01","valid_to":null},{"id":"PPL.CEIL_KV","label":"Health/care ceiling","section":"PPL","kind":"table_ref","unit":"EUR_per_month","base":"TBL.PPL.CEIL_KV","scenario_rules":{"upside":{"mode":"inherit"},"downside":{"mode":"inherit"}},"minimum":null,"maximum":null,"reducer":"NA","evidence":{"provenance":"FC","source_ids":["SRC.S2.PPL.CEIL_KV","SRC.GC.2b.CEIL_KV"],"rationale":"Assumptions register and calculation rule R-023: 2027 cabinet benchmark 6375 EUR/month; forecast later years at 4% annual growth. Provisional 2027 benchmark and all future values require late-2026 refresh.","policy_ids":["P07"],"checked_on":"2026-10-12","verify":true,"owner":"Model author","refresh_trigger":"November/December 2026 payroll publications; subsequent annual publications or status decision"},"valid_from":"2027-01-01","valid_to":null},{"id":"PPL.U1","label":"Sick-pay levy (only while ≤ 30 employees)","section":"PPL","kind":"scalar","unit":"fraction","base":0.021,"scenario_rules":{"upside":{"mode":"inherit"},"downside":{"mode":"inherit"}},"minimum":0,"maximum":1,"reducer":"NA","evidence":{"provenance":"IA","source_ids":["SRC.S2.PPL.U1","SRC.GC.2a.U1"],"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decision"},"valid_from":"2027-01-01","valid_to":null},{"id":"PPL.U2","label":"Maternity levy","section":"PPL","kind":"scalar","unit":"fraction","base":0.0044,"scenario_rules":{"upside":{"mode":"inherit"},"downside":{"mode":"inherit"}},"minimum":0,"maximum":1,"reducer":"NA","evidence":{"provenance":"IA","source_ids":["SRC.S2.PPL.U2","SRC.GC.2a.U2"],"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decision"},"valid_from":"2027-01-01","valid_to":null},{"id":"PPL.INSOLV","label":"Insolvency levy","section":"PPL","kind":"scalar","unit":"fraction","base":0.0015,"scenario_rules":{"upside":{"mode":"inherit"},"downside":{"mode":"inherit"}},"minimum":0,"maximum":1,"reducer":"NA","evidence":{"provenance":"IA","source_ids":["SRC.S2.PPL.INSOLV","SRC.GC.2a.INSOL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decision"},"valid_from":"2027-01-01","valid_to":null},{"id":"PPL.BG","label":"Accident insurance","section":"PPL","kind":"scalar","unit":"fraction","base":0.003,"scenario_rules":{"upside":{"mode":"inherit"},"downside":{"mode":"inherit"}},"minimum":0,"maximum":1,"reducer":"NA","evidence":{"provenance":"IA","source_ids":["SRC.S2.PPL.BG","SRC.GC.2a.BG"],"rationale":"Assumptions register and calculation rule R-023: carry the reported benchmark into the 2027-2031 fictional plan. Future rates are placeholders, refreshed on November/December 2026 payroll publications.","policy_ids":["P07"],"checked_on":"2026-10-12","verify":false,"owner":"Model author","refresh_trigger":"November/December 2026 payroll publication"},"valid_from":"2027-01-01","valid_to":null},{"id":"PPL.RAISE","label":"Salary increase each January","section":"PPL","kind":"scalar","unit":"fraction","base":0.035,"scenario_rules":{"upside":{"mode":"inherit"},"downside":{"mode":"inherit"}},"minimum":0,"maximum":1,"reducer":"NA","evidence":{"provenance":"IA","source_ids":["SRC.S2.PPL.RAISE","SRC.GC.SECTION_1"],"rationale":"Payroll placeholder from the assumptions register; refresh on the late-2026 publication.","policy_ids":["P07"],"checked_on":"2026-10-12","verify":false,"owner":"Model author","refresh_trigger":"November/December 2026 payroll publication"},"valid_from":"2027-01-01","valid_to":null},{"id":"PPL.RECRUIT.AGENCY_SHARE","label":"Recruiting: share of hires through an agency","section":"PPL","kind":"scalar","unit":"fraction","base":0.4,"scenario_rules":{"upside":{"mode":"inherit"},"downside":{"mode":"inherit"}},"minimum":0,"maximum":1,"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publication"},"valid_from":"2027-01-01","valid_to":null},{"id":"PPL.RECRUIT.AGENCY_RATE","label":"Recruiting: agency fee as a share of annual salary","section":"PPL","kind":"scalar","unit":"fraction","base":0.25,"scenario_rules":{"upside":{"mode":"inherit"},"downside":{"mode":"inherit"}},"minimum":0,"maximum":1,"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publication"},"valid_from":"2027-01-01","valid_to":null},{"id":"PPL.RECRUIT.DIRECT","label":"Recruiting: cost per direct hire","section":"PPL","kind":"scalar","unit":"EUR_per_person","base":500,"scenario_rules":{"upside":{"mode":"inherit"},"downside":{"mode":"inherit"}},"minimum":0,"maximum":null,"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publication"},"valid_from":"2027-01-01","valid_to":null},{"id":"PPL.EQUIP","label":"IT equipment per hire (capex; 3-year depreciation; replaced after 48 months)","section":"PPL","kind":"scalar","unit":"EUR_per_person","base":2500,"scenario_rules":{"upside":{"mode":"inherit"},"downside":{"mode":"inherit"}},"minimum":0,"maximum":null,"reducer":"NA","evidence":{"provenance":"IA","source_ids":["SRC.S2.PPL.EQUIP","SRC.GC.SECTION_5"],"rationale":"Payroll placeholder from the assumptions register; refresh on the late-2026 publication.","policy_ids":["P07"],"checked_on":"2026-10-12","verify":false,"owner":"Model author","refresh_trigger":"November/December 2026 payroll publication"},"valid_from":"2027-01-01","valid_to":null},{"id":"PPL.SW","label":"Employee software and AI tools per active FTE","section":"PPL","kind":"scalar","unit":"EUR_per_month","base":450,"scenario_rules":{"upside":{"mode":"inherit"},"downside":{"mode":"inherit"}},"minimum":0,"maximum":null,"reducer":"NA","evidence":{"provenance":"IA","source_ids":["SRC.S2.PPL.SW","SRC.GC.SECTION_5"],"rationale":"Payroll placeholder from the assumptions register; refresh on the late-2026 publication. Lean AI-enabled team (owner decision of 13.10.2026).","policy_ids":["P07"],"checked_on":"2026-10-13","verify":false,"owner":"Model author","refresh_trigger":"November/December 2026 payroll publication"},"valid_from":"2027-01-01","valid_to":null},{"id":"PPL.BONUS","label":"Bonuses and sales commission","section":"PPL","kind":"scalar","unit":"EUR","base":0,"scenario_rules":{"upside":{"mode":"inherit"},"downside":{"mode":"inherit"}},"minimum":0,"maximum":null,"reducer":"NA","evidence":{"provenance":"EC","source_ids":["SRC.S2.PPL.BONUS"],"rationale":"Payroll placeholder from the assumptions register; refresh on the late-2026 publication.","policy_ids":["P07"],"checked_on":"2026-10-12","verify":false,"owner":"Model author","refresh_trigger":"November/December 2026 payroll publication"},"valid_from":"2027-01-01","valid_to":null},{"id":"OPX.DESK","label":"Coworking (while FTE ≤ 30)","section":"OPX","kind":"scalar","unit":"EUR_per_person","base":299,"scenario_rules":{"upside":{"mode":"inherit"},"downside":{"mode":"inherit"}},"minimum":0,"maximum":null,"reducer":"NA","evidence":{"provenance":"IA","source_ids":["SRC.S2.OPX.DESK","SRC.GC.SECTION_5"],"rationale":"Frozen fictional OPX.DESK input from the assumptions register.","policy_ids":[],"checked_on":"2026-10-12","verify":false,"owner":"Model author","refresh_trigger":"New model release"},"valid_from":"2027-01-01","valid_to":null},{"id":"OPX.OFFICE","label":"Own office (FTE &gt; 30)","section":"OPX","kind":"scalar","unit":"EUR_per_person","base":590,"scenario_rules":{"upside":{"mode":"inherit"},"downside":{"mode":"inherit"}},"minimum":0,"maximum":null,"reducer":"NA","evidence":{"provenance":"IA","source_ids":["SRC.S2.OPX.OFFICE","SRC.GC.SECTION_5"],"rationale":"Frozen fictional OPX.OFFICE input from the assumptions register.","policy_ids":[],"checked_on":"2026-10-12","verify":false,"owner":"Model author","refresh_trigger":"New model release"},"valid_from":"2027-01-01","valid_to":null},{"id":"OPX.FITOUT","label":"Office fit-out (capex, 5-year depreciation)","section":"OPX","kind":"scalar","unit":"EUR","base":30000,"scenario_rules":{"upside":{"mode":"inherit"},"downside":{"mode":"inherit"}},"minimum":0,"maximum":null,"reducer":"NA","evidence":{"provenance":"IA","source_ids":["SRC.S2.OPX.FITOUT"],"rationale":"Frozen fictional OPX.FITOUT input from the assumptions register.","policy_ids":["P05"],"checked_on":"2026-10-12","verify":false,"owner":"Model author","refresh_trigger":"New model release"},"valid_from":"2027-01-01","valid_to":null},{"id":"OPX.CONTEST","label":"Lead-trader contests","section":"OPX","kind":"scalar","unit":"EUR","base":5000,"scenario_rules":{"upside":{"mode":"inherit"},"downside":{"mode":"inherit"}},"minimum":0,"maximum":null,"reducer":"NA","evidence":{"provenance":"IA","source_ids":["SRC.S2.OPX.CONTEST"],"rationale":"Frozen fictional OPX.CONTEST input from the assumptions register.","policy_ids":[],"checked_on":"2026-10-12","verify":false,"owner":"Model author","refresh_trigger":"New model release"},"valid_from":"2027-01-01","valid_to":null},{"id":"OPX.REFERRAL","label":"Referral bonuses","section":"OPX","kind":"scalar","unit":"EUR","base":20,"scenario_rules":{"upside":{"mode":"inherit"},"downside":{"mode":"inherit"}},"minimum":0,"maximum":null,"reducer":"NA","evidence":{"provenance":"IA","source_ids":["SRC.S2.OPX.REFERRAL"],"rationale":"Frozen fictional OPX.REFERRAL input from the assumptions register.","policy_ids":[],"checked_on":"2026-10-12","verify":false,"owner":"Model author","refresh_trigger":"New model release"},"valid_from":"2027-01-01","valid_to":null},{"id":"OPX.PAYROLL","label":"Payroll service","section":"OPX","kind":"scalar","unit":"EUR_per_person","base":25,"scenario_rules":{"upside":{"mode":"inherit"},"downside":{"mode":"inherit"}},"minimum":0,"maximum":null,"reducer":"NA","evidence":{"provenance":"IA","source_ids":["SRC.S2.OPX.PAYROLL","SRC.GC.SECTION_6"],"rationale":"Frozen fictional OPX.PAYROLL input from the assumptions register.","policy_ids":[],"checked_on":"2026-10-12","verify":false,"owner":"Model author","refresh_trigger":"New model release"},"valid_from":"2027-01-01","valid_to":null},{"id":"OPX.FOUNDING","label":"Founding (notary + register)","section":"OPX","kind":"scalar","unit":"EUR","base":1200,"scenario_rules":{"upside":{"mode":"inherit"},"downside":{"mode":"inherit"}},"minimum":0,"maximum":null,"reducer":"NA","evidence":{"provenance":"IA","source_ids":["SRC.S2.OPX.FOUNDING","SRC.GC.SECTION_6"],"rationale":"Frozen fictional OPX.FOUNDING input from the assumptions register.","policy_ids":["P05"],"checked_on":"2026-10-12","verify":true,"owner":"Model author","refresh_trigger":"New model release"},"valid_from":"2027-01-01","valid_to":null},{"id":"OPX.IHK","label":"IHK + transparency register + filing","section":"OPX","kind":"scalar","unit":"EUR","base":110,"scenario_rules":{"upside":{"mode":"inherit"},"downside":{"mode":"inherit"}},"minimum":0,"maximum":null,"reducer":"NA","evidence":{"provenance":"IA","source_ids":["SRC.S2.OPX.IHK","SRC.GC.SECTION_6"],"rationale":"Frozen fictional OPX.IHK input from the assumptions register.","policy_ids":[],"checked_on":"2026-10-12","verify":false,"owner":"Model author","refresh_trigger":"New model release"},"valid_from":"2027-01-01","valid_to":null},{"id":"OPX.INS_PRE","label":"Insurance before licence (D&amp;O, cyber, liability; crypto loading ×1.5)","section":"OPX","kind":"scalar","unit":"EUR","base":15000,"scenario_rules":{"upside":{"mode":"inherit"},"downside":{"mode":"inherit"}},"minimum":0,"maximum":null,"reducer":"NA","evidence":{"provenance":"IA","source_ids":["SRC.S2.OPX.INS_PRE","SRC.GC.SECTION_6"],"rationale":"Frozen fictional OPX.INS_PRE input from the assumptions register.","policy_ids":[],"checked_on":"2026-10-12","verify":false,"owner":"Model author","refresh_trigger":"New model release"},"valid_from":"2027-01-01","valid_to":null},{"id":"OPX.MISC","label":"Travel, bank, misc.","section":"OPX","kind":"scalar","unit":"EUR","base":4000,"scenario_rules":{"upside":{"mode":"inherit"},"downside":{"mode":"inherit"}},"minimum":0,"maximum":null,"reducer":"NA","evidence":{"provenance":"IA","source_ids":["SRC.S2.OPX.MISC"],"rationale":"Frozen fictional OPX.MISC input from the assumptions register.","policy_ids":[],"checked_on":"2026-10-12","verify":false,"owner":"Model author","refresh_trigger":"New model release"},"valid_from":"2027-01-01","valid_to":null},{"id":"OPX.CONTINGENCY","label":"Contingency","section":"OPX","kind":"scalar","unit":"fraction","base":0.05,"scenario_rules":{"upside":{"mode":"inherit"},"downside":{"mode":"inherit"}},"minimum":0,"maximum":1,"reducer":"NA","evidence":{"provenance":"IA","source_ids":["SRC.S2.OPX.CONTINGENCY"],"rationale":"Frozen fictional OPX.CONTINGENCY input from the assumptions register.","policy_ids":[],"checked_on":"2026-10-12","verify":false,"owner":"Model author","refresh_trigger":"New model release"},"valid_from":"2027-01-01","valid_to":null},{"id":"OPX.BRAND","label":"Brand / PR","section":"OPX","kind":"profile","unit":"EUR_per_month","base":[0,0,0,0,0,0,0,0,0,5000,5000,5000,10000,10000,10000,10000,10000,10000,10000,10000,10000,10000,10000,10000,20000,20000,20000,20000,20000,20000,20000,20000,20000,20000,20000,20000,25000,25000,25000,25000,25000,25000,25000,25000,25000,25000,25000,25000,25000,25000,25000,25000,25000,25000,25000,25000,25000,25000,25000,25000],"scenario_rules":{"upside":{"mode":"inherit"},"downside":{"mode":"inherit"}},"minimum":0,"maximum":null,"reducer":"SUM","evidence":{"provenance":"IA","source_ids":["SRC.S2.OPX.BRAND"],"rationale":"Frozen fictional OPX.BRAND input from the assumptions register.","policy_ids":[],"checked_on":"2026-10-12","verify":false,"owner":"Model author","refresh_trigger":"New model release"},"valid_from":"2027-01-01","valid_to":null},{"id":"OPX.BOOKKEEP","label":"Bookkeeping, payroll administration and fractional CFO/HR services","section":"OPX","kind":"profile","unit":"EUR_per_month","base":[500,500,500,500,500,500,500,500,500,500,500,500,4000,4000,4000,4000,4000,4000,4000,4000,4000,4000,4000,4000,4500,4500,4500,4500,4500,4500,4500,4500,4500,4500,4500,4500,4500,4500,4500,4500,4500,4500,4500,4500,4500,4500,4500,4500,4500,4500,4500,4500,4500,4500,4500,4500,4500,4500,4500,4500],"scenario_rules":{"upside":{"mode":"inherit"},"downside":{"mode":"inherit"}},"minimum":0,"maximum":null,"reducer":"SUM","evidence":{"provenance":"IA","source_ids":["SRC.S2.OPX.BOOKKEEP","SRC.GC.SECTION_6"],"rationale":"Frozen fictional OPX.BOOKKEEP input from the assumptions register. Lean AI-enabled team (owner decision of 13.10.2026).","policy_ids":[],"checked_on":"2026-10-13","verify":false,"owner":"Model author","refresh_trigger":"New model release"},"valid_from":"2027-01-01","valid_to":null},{"id":"OPX.ACCOUNTS","label":"Annual statements and tax returns","section":"OPX","kind":"profile","unit":"EUR_per_month","base":[0,0,0,0,0,0,0,0,0,0,0,4500,0,0,0,0,0,0,0,0,0,0,0,9000,0,0,0,0,0,0,0,0,0,0,0,9000,0,0,0,0,0,0,0,0,0,0,0,9000,0,0,0,0,0,0,0,0,0,0,0,9000],"scenario_rules":{"upside":{"mode":"inherit"},"downside":{"mode":"inherit"}},"minimum":0,"maximum":null,"reducer":"SUM","evidence":{"provenance":"IA","source_ids":["SRC.S2.OPX.ACCOUNTS","SRC.GC.SECTION_6","SRC.S5.R-026"],"rationale":"Calculation rule R-026: December net expense by service year (4500 in 2027, 9000 later); invoice and payment in the following March, including the post-horizon payable.","policy_ids":[],"checked_on":"2026-10-12","verify":false,"owner":"Model author","refresh_trigger":"New model release"},"valid_from":"2027-01-01","valid_to":null},{"id":"OPX.ROUND_COSTS.SEED","label":"Seed round: notary and legal costs","section":"OPX","kind":"scalar","unit":"EUR","base":38500,"scenario_rules":{"upside":{"mode":"inherit"},"downside":{"mode":"inherit"}},"minimum":0,"maximum":null,"reducer":"NA","evidence":{"provenance":"IA","source_ids":["SRC.S2.OPX.ROUND_COSTS","SRC.GC.SECTION_6"],"rationale":"Frozen fictional OPX.ROUND_COSTS.SEED input from the assumptions register.","policy_ids":[],"checked_on":"2026-10-12","verify":false,"owner":"Model author","refresh_trigger":"New model release"},"valid_from":"2027-01-01","valid_to":null},{"id":"OPX.ROUND_COSTS.A","label":"Series A: notary and legal costs","section":"OPX","kind":"scalar","unit":"EUR","base":110000,"scenario_rules":{"upside":{"mode":"inherit"},"downside":{"mode":"inherit"}},"minimum":0,"maximum":null,"reducer":"NA","evidence":{"provenance":"IA","source_ids":["SRC.S2.OPX.ROUND_COSTS","SRC.GC.SECTION_6"],"rationale":"Frozen fictional OPX.ROUND_COSTS.A input from the assumptions register.","policy_ids":[],"checked_on":"2026-10-12","verify":false,"owner":"Model author","refresh_trigger":"New model release"},"valid_from":"2027-01-01","valid_to":null},{"id":"REG.LEGAL_APP","label":"Legal and regulatory advisers for the application","section":"REG","kind":"scalar","unit":"EUR","base":120000,"scenario_rules":{"upside":{"mode":"inherit"},"downside":{"mode":"inherit"}},"minimum":0,"maximum":null,"reducer":"NA","evidence":{"provenance":"IA","source_ids":["SRC.S2.REG.LEGAL_APP","SRC.RU.A3.20"],"rationale":"Frozen fictional REG.LEGAL_APP input from the assumptions register.","policy_ids":["P02"],"checked_on":"2026-10-12","verify":true,"owner":"Model author","refresh_trigger":"New model release"},"valid_from":"2027-01-01","valid_to":null},{"id":"REG.BAFIN_FEE","label":"BaFin authorisation fee (time-based)","section":"REG","kind":"scalar","unit":"EUR","base":25000,"scenario_rules":{"upside":{"mode":"absolute","value":10000},"downside":{"mode":"absolute","value":60000}},"minimum":0,"maximum":null,"reducer":"NA","evidence":{"provenance":"IA","source_ids":["SRC.S2.REG.BAFIN_FEE","SRC.RU.A3.10","SRC.RU.A3.13"],"rationale":"Frozen fictional REG.BAFIN_FEE input from the assumptions register.","policy_ids":["P02"],"checked_on":"2026-10-12","verify":true,"owner":"Model author","refresh_trigger":"New model release"},"valid_from":"2027-01-01","valid_to":null},{"id":"REG.DORA_SETUP","label":"DORA framework set-up","section":"REG","kind":"scalar","unit":"EUR","base":100000,"scenario_rules":{"upside":{"mode":"inherit"},"downside":{"mode":"inherit"}},"minimum":0,"maximum":null,"reducer":"NA","evidence":{"provenance":"IA","source_ids":["SRC.S2.REG.DORA_SETUP","SRC.RU.A4.13","SRC.RU.A4.16"],"rationale":"Frozen fictional REG.DORA_SETUP input from the assumptions register.","policy_ids":["P02"],"checked_on":"2026-10-12","verify":true,"owner":"Model author","refresh_trigger":"New model release"},"valid_from":"2027-01-01","valid_to":null},{"id":"REG.LEVY","label":"BaFin levy","section":"REG","kind":"scalar","unit":"EUR_per_year","base":6500,"scenario_rules":{"upside":{"mode":"inherit"},"downside":{"mode":"inherit"}},"minimum":0,"maximum":null,"reducer":"NA","evidence":{"provenance":"IA","source_ids":["SRC.S2.REG.LEVY","SRC.RU.A3.15"],"rationale":"Frozen fictional REG.LEVY input from the assumptions register.","policy_ids":["P02"],"checked_on":"2026-10-12","verify":true,"owner":"Model author","refresh_trigger":"New model release"},"valid_from":"2027-01-01","valid_to":null},{"id":"REG.AUDIT","label":"Statutory and regulatory audit (KMAG: large-company accounts for CASPs)","section":"REG","kind":"scalar","unit":"EUR_per_year","base":80000,"scenario_rules":{"upside":{"mode":"absolute","value":40000},"downside":{"mode":"absolute","value":204000}},"minimum":0,"maximum":null,"reducer":"NA","evidence":{"provenance":"IA","source_ids":["SRC.S2.REG.AUDIT","SRC.RU.A4.18","SRC.RU.A4.19"],"rationale":"Frozen fictional REG.AUDIT input from the assumptions register.","policy_ids":["P02"],"checked_on":"2026-10-12","verify":true,"owner":"Model author","refresh_trigger":"New model release"},"valid_from":"2027-01-01","valid_to":null},{"id":"REG.INT_AUDIT","label":"Outsourced internal audit","section":"REG","kind":"scalar","unit":"EUR_per_year","base":35000,"scenario_rules":{"upside":{"mode":"inherit"},"downside":{"mode":"inherit"}},"minimum":0,"maximum":null,"reducer":"NA","evidence":{"provenance":"IA","source_ids":["SRC.S2.REG.INT_AUDIT","SRC.RU.A4.3"],"rationale":"Frozen fictional REG.INT_AUDIT input from the assumptions register.","policy_ids":["P02"],"checked_on":"2026-10-12","verify":true,"owner":"Model author","refresh_trigger":"New model release"},"valid_from":"2027-01-01","valid_to":null},{"id":"REG.LEGAL_RUN","label":"Ongoing legal","section":"REG","kind":"scalar","unit":"EUR_per_year","base":75000,"scenario_rules":{"upside":{"mode":"inherit"},"downside":{"mode":"inherit"}},"minimum":0,"maximum":null,"reducer":"NA","evidence":{"provenance":"IA","source_ids":["SRC.S2.REG.LEGAL_RUN"],"rationale":"Frozen fictional REG.LEGAL_RUN input from the assumptions register.","policy_ids":["P02"],"checked_on":"2026-10-12","verify":true,"owner":"Model author","refresh_trigger":"New model release"},"valid_from":"2027-01-01","valid_to":null},{"id":"REG.DORA_TEST","label":"Penetration and resilience testing","section":"REG","kind":"scalar","unit":"EUR_per_year","base":30000,"scenario_rules":{"upside":{"mode":"inherit"},"downside":{"mode":"inherit"}},"minimum":0,"maximum":null,"reducer":"NA","evidence":{"provenance":"IA","source_ids":["SRC.S2.REG.DORA_TEST","SRC.RU.A4.16"],"rationale":"Frozen fictional REG.DORA_TEST input from the assumptions register.","policy_ids":["P02"],"checked_on":"2026-10-12","verify":true,"owner":"Model author","refresh_trigger":"New model release"},"valid_from":"2027-01-01","valid_to":null},{"id":"REG.SURVEIL","label":"Market-abuse surveillance tools","section":"REG","kind":"scalar","unit":"EUR_per_year","base":40000,"scenario_rules":{"upside":{"mode":"inherit"},"downside":{"mode":"inherit"}},"minimum":0,"maximum":null,"reducer":"NA","evidence":{"provenance":"IA","source_ids":["SRC.S2.REG.SURVEIL","SRC.RU.A4.12"],"rationale":"Frozen fictional REG.SURVEIL input from the assumptions register.","policy_ids":["P02"],"checked_on":"2026-10-12","verify":true,"owner":"Model author","refresh_trigger":"New model release"},"valid_from":"2027-01-01","valid_to":null},{"id":"REG.INSURANCE","label":"Insurance (professional indemnity, D&amp;O, cyber)","section":"REG","kind":"scalar","unit":"EUR_per_year","base":40000,"scenario_rules":{"upside":{"mode":"inherit"},"downside":{"mode":"inherit"}},"minimum":0,"maximum":null,"reducer":"NA","evidence":{"provenance":"IA","source_ids":["SRC.S2.REG.INSURANCE"],"rationale":"Frozen fictional REG.INSURANCE input from the assumptions register.","policy_ids":["P02"],"checked_on":"2026-10-12","verify":true,"owner":"Model author","refresh_trigger":"New model release"},"valid_from":"2027-01-01","valid_to":null},{"id":"REG.CLASS_FLOOR","label":"Minimum capital, Class 1","section":"REG","kind":"scalar","unit":"EUR","base":50000,"scenario_rules":{"upside":{"mode":"inherit"},"downside":{"mode":"inherit"}},"minimum":0,"maximum":null,"reducer":"NA","evidence":{"provenance":"VF","source_ids":["SRC.S2.REG.CLASS_FLOOR","SRC.RU.A2.1"],"rationale":"Frozen fictional REG.CLASS_FLOOR input from the assumptions register.","policy_ids":["P02"],"checked_on":"2026-10-12","verify":true,"owner":"Model author","refresh_trigger":"New model release"},"valid_from":"2027-01-01","valid_to":null},{"id":"REG.OH_FACTOR","label":"Share of the reference year's total expenses","section":"REG","kind":"scalar","unit":"fraction","base":0.25,"scenario_rules":{"upside":{"mode":"inherit"},"downside":{"mode":"inherit"}},"minimum":0,"maximum":1,"reducer":"NA","evidence":{"provenance":"VF","source_ids":["SRC.S2.REG.OH_FACTOR","SRC.RU.A2.5","SRC.RU.A2.8"],"rationale":"Frozen fictional REG.OH_FACTOR input from the assumptions register.","policy_ids":["P02"],"checked_on":"2026-10-12","verify":true,"owner":"Model author","refresh_trigger":"New model release"},"valid_from":"2027-01-01","valid_to":null},{"id":"REG.BUFFER","label":"Management buffer above the requirement","section":"REG","kind":"scalar","unit":"fraction","base":0.2,"scenario_rules":{"upside":{"mode":"inherit"},"downside":{"mode":"inherit"}},"minimum":0,"maximum":1,"reducer":"NA","evidence":{"provenance":"IA","source_ids":["SRC.S2.REG.BUFFER"],"rationale":"Frozen fictional REG.BUFFER input from the assumptions register.","policy_ids":["P02"],"checked_on":"2026-10-12","verify":true,"owner":"Model author","refresh_trigger":"New model release"},"valid_from":"2027-01-01","valid_to":null},{"id":"REG.QH_LEAD","label":"Lead time for a new ≥ 10% investor after the licence","section":"REG","kind":"scalar","unit":"months","base":4,"scenario_rules":{"upside":{"mode":"inherit"},"downside":{"mode":"inherit"}},"minimum":0,"maximum":null,"reducer":"NA","evidence":{"provenance":"IA","source_ids":["SRC.S2.REG.QH_LEAD","SRC.RU.A4.25"],"rationale":"Frozen fictional REG.QH_LEAD input from the assumptions register.","policy_ids":["P02"],"checked_on":"2026-10-12","verify":true,"owner":"Model author","refresh_trigger":"New model release"},"valid_from":"2027-01-01","valid_to":null},{"id":"REG.FIRST_YEAR","label":"First 12 months after the licence","section":"REG","kind":"table_ref","unit":"text","base":"TBL.REG.FIRST_YEAR","scenario_rules":{"upside":{"mode":"inherit"},"downside":{"mode":"inherit"}},"minimum":null,"maximum":null,"reducer":"NA","evidence":{"provenance":"IA","source_ids":["SRC.S2.REG.FIRST_YEAR","SRC.RU.A2.6"],"rationale":"Derived from 25% of first twelve projected months, not an independent value.","policy_ids":["P02"],"checked_on":"2026-10-12","verify":true,"owner":"Model author","refresh_trigger":"New model release"},"valid_from":"2027-01-01","valid_to":null},{"id":"REG.DEDUCT.A","label":"Own-funds expense base, deduction (a): profit-dependent staff bonuses","section":"REG","kind":"scalar","unit":"EUR","base":0,"scenario_rules":{"upside":{"mode":"inherit"},"downside":{"mode":"inherit"}},"minimum":0,"maximum":null,"reducer":"NA","evidence":{"provenance":"EC","source_ids":["SRC.S2.REG.DEDUCT","SRC.RU.A2.7"],"rationale":"Frozen fictional REG.DEDUCT.A input from the assumptions register.","policy_ids":["P02"],"checked_on":"2026-10-12","verify":true,"owner":"Model author","refresh_trigger":"New model release"},"valid_from":"2027-01-01","valid_to":null},{"id":"REG.DEDUCT.B","label":"Own-funds expense base, deduction (b): staff, director and partner profit shares","section":"REG","kind":"scalar","unit":"EUR","base":0,"scenario_rules":{"upside":{"mode":"inherit"},"downside":{"mode":"inherit"}},"minimum":0,"maximum":null,"reducer":"NA","evidence":{"provenance":"EC","source_ids":["SRC.S2.REG.DEDUCT","SRC.RU.A2.7"],"rationale":"Frozen fictional REG.DEDUCT.B input from the assumptions register.","policy_ids":["P02"],"checked_on":"2026-10-12","verify":true,"owner":"Model author","refresh_trigger":"New model release"},"valid_from":"2027-01-01","valid_to":null},{"id":"REG.DEDUCT.C","label":"Own-funds expense base, deduction (c): other profit appropriations and discretionary pay","section":"REG","kind":"scalar","unit":"EUR","base":0,"scenario_rules":{"upside":{"mode":"inherit"},"downside":{"mode":"inherit"}},"minimum":0,"maximum":null,"reducer":"NA","evidence":{"provenance":"EC","source_ids":["SRC.S2.REG.DEDUCT","SRC.RU.A2.7"],"rationale":"Frozen fictional REG.DEDUCT.C input from the assumptions register.","policy_ids":["P02"],"checked_on":"2026-10-12","verify":true,"owner":"Model author","refresh_trigger":"New model release"},"valid_from":"2027-01-01","valid_to":null},{"id":"REG.DEDUCT.D","label":"Own-funds expense base, deduction (d): non-recurring expenses from non-ordinary activities","section":"REG","kind":"scalar","unit":"EUR","base":0,"scenario_rules":{"upside":{"mode":"inherit"},"downside":{"mode":"inherit"}},"minimum":0,"maximum":null,"reducer":"NA","evidence":{"provenance":"EC","source_ids":["SRC.S2.REG.DEDUCT","SRC.RU.A2.7"],"rationale":"Frozen fictional REG.DEDUCT.D input from the assumptions register.","policy_ids":["P02"],"checked_on":"2026-10-12","verify":true,"owner":"Model author","refresh_trigger":"New model release"},"valid_from":"2027-01-01","valid_to":null},{"id":"TAX.KST","label":"Corporate income tax by year","section":"TAX","kind":"table_ref","unit":"fraction","base":"TBL.TAX.KST","scenario_rules":{"upside":{"mode":"inherit"},"downside":{"mode":"inherit"}},"minimum":null,"maximum":null,"reducer":"NA","evidence":{"provenance":"VF","source_ids":["SRC.S2.TAX.KST","SRC.GC.3.KST"],"rationale":"Frozen fictional TAX.KST input from the assumptions register.","policy_ids":["P08"],"checked_on":"2026-10-12","verify":true,"owner":"Model author","refresh_trigger":"New model release"},"valid_from":"2027-01-01","valid_to":null},{"id":"TAX.LOSS_Q_KST","label":"KSt share above the threshold","section":"TAX","kind":"table_ref","unit":"fraction","base":"TBL.TAX.LOSS_Q_KST","scenario_rules":{"upside":{"mode":"inherit"},"downside":{"mode":"inherit"}},"minimum":null,"maximum":null,"reducer":"NA","evidence":{"provenance":"VF","source_ids":["SRC.S2.TAX.LOSS_Q_KST","SRC.GC.3.LOSS_K"],"rationale":"Frozen fictional TAX.LOSS_Q_KST input from the assumptions register.","policy_ids":["P08"],"checked_on":"2026-10-12","verify":true,"owner":"Model author","refresh_trigger":"New model release"},"valid_from":"2027-01-01","valid_to":null},{"id":"TAX.SOLI","label":"Solidarity surcharge","section":"TAX","kind":"scalar","unit":"fraction","base":0.055,"scenario_rules":{"upside":{"mode":"inherit"},"downside":{"mode":"inherit"}},"minimum":0,"maximum":1,"reducer":"NA","evidence":{"provenance":"VF","source_ids":["SRC.S2.TAX.SOLI","SRC.GC.3.SOLI"],"rationale":"Frozen fictional TAX.SOLI input from the assumptions register.","policy_ids":["P08"],"checked_on":"2026-10-12","verify":true,"owner":"Model author","refresh_trigger":"New model release"},"valid_from":"2027-01-01","valid_to":null},{"id":"TAX.GEWST.BASE_RATE","label":"Trade tax: base rate (Steuermesszahl)","section":"TAX","kind":"scalar","unit":"fraction","base":0.035,"scenario_rules":{"upside":{"mode":"inherit"},"downside":{"mode":"inherit"}},"minimum":0,"maximum":1,"reducer":"NA","evidence":{"provenance":"VF","source_ids":["SRC.S2.TAX.GEWST","SRC.GC.3.BASE_RATE"],"rationale":"Frozen fictional TAX.GEWST.BASE_RATE input from the assumptions register.","policy_ids":["P08"],"checked_on":"2026-10-12","verify":true,"owner":"Model author","refresh_trigger":"New model release"},"valid_from":"2027-01-01","valid_to":null},{"id":"TAX.GEWST.HEBESATZ","label":"Trade tax: municipal multiplier (Hebesatz), %","section":"TAX","kind":"scalar","unit":"percentage_points","base":410,"scenario_rules":{"upside":{"mode":"inherit"},"downside":{"mode":"inherit"}},"minimum":0,"maximum":null,"reducer":"NA","evidence":{"provenance":"VF","source_ids":["SRC.S2.TAX.GEWST","SRC.GC.3.HEBESATZ"],"rationale":"Frozen fictional TAX.GEWST.HEBESATZ input from the assumptions register.","policy_ids":["P08"],"checked_on":"2026-10-12","verify":true,"owner":"Model author","refresh_trigger":"New model release"},"valid_from":"2027-01-01","valid_to":null},{"id":"TAX.LOSS_T","label":"Unrestricted loss offset","section":"TAX","kind":"scalar","unit":"EUR","base":1000000,"scenario_rules":{"upside":{"mode":"inherit"},"downside":{"mode":"inherit"}},"minimum":0,"maximum":null,"reducer":"NA","evidence":{"provenance":"VF","source_ids":["SRC.S2.TAX.LOSS_T","SRC.GC.3.LOSS_THRESHOLD"],"rationale":"Frozen fictional TAX.LOSS_T input from the assumptions register.","policy_ids":["P08"],"checked_on":"2026-10-12","verify":true,"owner":"Model author","refresh_trigger":"New model release"},"valid_from":"2027-01-01","valid_to":null},{"id":"TAX.LOSS_Q_GEW","label":"GewSt share above the threshold","section":"TAX","kind":"scalar","unit":"fraction","base":0.6,"scenario_rules":{"upside":{"mode":"inherit"},"downside":{"mode":"inherit"}},"minimum":0,"maximum":1,"reducer":"NA","evidence":{"provenance":"VF","source_ids":["SRC.S2.TAX.LOSS_Q_GEW","SRC.GC.3.LOSS_G"],"rationale":"Frozen fictional TAX.LOSS_Q_GEW input from the assumptions register.","policy_ids":["P08"],"checked_on":"2026-10-12","verify":true,"owner":"Model author","refresh_trigger":"New model release"},"valid_from":"2027-01-01","valid_to":null},{"id":"TAX.ADDBACK.FACTOR","label":"Trade-tax add-backs: add-back factor","section":"TAX","kind":"scalar","unit":"fraction","base":0.25,"scenario_rules":{"upside":{"mode":"inherit"},"downside":{"mode":"inherit"}},"minimum":0,"maximum":1,"reducer":"NA","evidence":{"provenance":"VF","source_ids":["SRC.S2.TAX.ADDBACK","SRC.GC.3.ADDBACK"],"rationale":"Frozen fictional TAX.ADDBACK.FACTOR input from the assumptions register.","policy_ids":["P08"],"checked_on":"2026-10-12","verify":true,"owner":"Model author","refresh_trigger":"New model release"},"valid_from":"2027-01-01","valid_to":null},{"id":"TAX.ADDBACK.ALLOWANCE","label":"Trade-tax add-backs: annual allowance","section":"TAX","kind":"scalar","unit":"EUR","base":200000,"scenario_rules":{"upside":{"mode":"inherit"},"downside":{"mode":"inherit"}},"minimum":0,"maximum":null,"reducer":"NA","evidence":{"provenance":"VF","source_ids":["SRC.S2.TAX.ADDBACK","SRC.GC.3.ADDBACK"],"rationale":"Frozen fictional TAX.ADDBACK.ALLOWANCE input from the assumptions register.","policy_ids":["P08"],"checked_on":"2026-10-12","verify":true,"owner":"Model author","refresh_trigger":"New model release"},"valid_from":"2027-01-01","valid_to":null},{"id":"TAX.ADDBACK.PROPERTY","label":"Trade-tax add-backs: share of property rent","section":"TAX","kind":"scalar","unit":"fraction","base":0.5,"scenario_rules":{"upside":{"mode":"inherit"},"downside":{"mode":"inherit"}},"minimum":0,"maximum":1,"reducer":"NA","evidence":{"provenance":"VF","source_ids":["SRC.S2.TAX.ADDBACK","SRC.GC.3.ADDBACK"],"rationale":"Frozen fictional TAX.ADDBACK.PROPERTY input from the assumptions register.","policy_ids":["P08"],"checked_on":"2026-10-12","verify":true,"owner":"Model author","refresh_trigger":"New model release"},"valid_from":"2027-01-01","valid_to":null},{"id":"TAX.ADDBACK.MOVABLE","label":"Trade-tax add-backs: share of movable-asset rent","section":"TAX","kind":"scalar","unit":"fraction","base":0.2,"scenario_rules":{"upside":{"mode":"inherit"},"downside":{"mode":"inherit"}},"minimum":0,"maximum":1,"reducer":"NA","evidence":{"provenance":"VF","source_ids":["SRC.S2.TAX.ADDBACK","SRC.GC.3.ADDBACK"],"rationale":"Frozen fictional TAX.ADDBACK.MOVABLE input from the assumptions register.","policy_ids":["P08"],"checked_on":"2026-10-12","verify":true,"owner":"Model author","refresh_trigger":"New model release"},"valid_from":"2027-01-01","valid_to":null},{"id":"TAX.ADDBACK.LICENCE","label":"Trade-tax add-backs: share of licence fees","section":"TAX","kind":"scalar","unit":"fraction","base":0.25,"scenario_rules":{"upside":{"mode":"inherit"},"downside":{"mode":"inherit"}},"minimum":0,"maximum":1,"reducer":"NA","evidence":{"provenance":"VF","source_ids":["SRC.S2.TAX.ADDBACK","SRC.GC.3.ADDBACK"],"rationale":"Frozen fictional TAX.ADDBACK.LICENCE input from the assumptions register.","policy_ids":["P08"],"checked_on":"2026-10-12","verify":true,"owner":"Model author","refresh_trigger":"New model release"},"valid_from":"2027-01-01","valid_to":null},{"id":"VAT.DE","label":"B2C VAT rate, Germany","section":"VAT","kind":"scalar","unit":"fraction","base":0.19,"scenario_rules":{"upside":{"mode":"inherit"},"downside":{"mode":"inherit"}},"minimum":0,"maximum":1,"reducer":"NA","evidence":{"provenance":"VF","source_ids":["SRC.S2.VAT.DE","SRC.GC.4.VAT_DE"],"rationale":"Frozen fictional VAT.DE input from the assumptions register.","policy_ids":["P05"],"checked_on":"2026-10-12","verify":true,"owner":"Model author","refresh_trigger":"New model release"},"valid_from":"2027-01-01","valid_to":null},{"id":"VAT.AT","label":"B2C VAT rate, Austria","section":"VAT","kind":"scalar","unit":"fraction","base":0.2,"scenario_rules":{"upside":{"mode":"inherit"},"downside":{"mode":"inherit"}},"minimum":0,"maximum":1,"reducer":"NA","evidence":{"provenance":"VF","source_ids":["SRC.S2.VAT.AT"],"rationale":"Frozen fictional VAT.AT input from the assumptions register.","policy_ids":["P05"],"checked_on":"2026-10-12","verify":true,"owner":"Model author","refresh_trigger":"New model release"},"valid_from":"2027-01-01","valid_to":null},{"id":"VAT.RECOVERY","label":"Input-VAT recovery","section":"VAT","kind":"scalar","unit":"fraction","base":1,"scenario_rules":{"upside":{"mode":"inherit"},"downside":{"mode":"inherit"}},"minimum":0,"maximum":1,"reducer":"NA","evidence":{"provenance":"IA","source_ids":["SRC.S2.VAT.RECOVERY"],"rationale":"Frozen fictional VAT.RECOVERY input from the assumptions register.","policy_ids":["P05"],"checked_on":"2026-10-12","verify":true,"owner":"Model author","refresh_trigger":"New model release"},"valid_from":"2027-01-01","valid_to":null},{"id":"TAX.PREPAY","label":"Tax advances","section":"TAX","kind":"scalar","unit":"text","base":"assessment_calendar","scenario_rules":{"upside":{"mode":"inherit"},"downside":{"mode":"inherit"}},"minimum":null,"maximum":null,"reducer":"NA","evidence":{"provenance":"EC","source_ids":["SRC.S2.TAX.PREPAY","SRC.GC.3.PREPAY"],"rationale":"Frozen fictional TAX.PREPAY input from the assumptions register.","policy_ids":["P08"],"checked_on":"2026-10-12","verify":true,"owner":"Model author","refresh_trigger":"New model release"},"valid_from":"2027-01-01","valid_to":null},{"id":"TAX.8C","label":"Loss forfeiture on &gt; 50% ownership change","section":"TAX","kind":"scalar","unit":"text","base":"warning_only","scenario_rules":{"upside":{"mode":"inherit"},"downside":{"mode":"inherit"}},"minimum":null,"maximum":null,"reducer":"NA","evidence":{"provenance":"EC","source_ids":["SRC.S2.TAX.8C","SRC.GC.3.OWNERSHIP"],"rationale":"Frozen fictional TAX.8C input from the assumptions register.","policy_ids":["P08"],"checked_on":"2026-10-12","verify":true,"owner":"Model author","refresh_trigger":"New model release"},"valid_from":"2027-01-01","valid_to":null},{"id":"VAT.R2","label":"Copy fees","section":"VAT","kind":"scalar","unit":"text","base":"destination_taxable","scenario_rules":{"upside":{"mode":"inherit"},"downside":{"mode":"inherit"}},"minimum":null,"maximum":null,"reducer":"NA","evidence":{"provenance":"IA","source_ids":["SRC.S2.VAT.R2","SRC.GC.4.VAT_R2"],"rationale":"Frozen fictional VAT.R2 input from the assumptions register.","policy_ids":["P05"],"checked_on":"2026-10-12","verify":true,"owner":"Model author","refresh_trigger":"New model release"},"valid_from":"2027-01-01","valid_to":null},{"id":"VAT.FILING","label":"VAT returns","section":"VAT","kind":"scalar","unit":"text","base":"monthly_next_month","scenario_rules":{"upside":{"mode":"inherit"},"downside":{"mode":"inherit"}},"minimum":null,"maximum":null,"reducer":"NA","evidence":{"provenance":"IA","source_ids":["SRC.S2.VAT.FILING","SRC.GC.4.FILING"],"rationale":"Frozen fictional VAT.FILING input from the assumptions register.","policy_ids":["P05"],"checked_on":"2026-10-12","verify":true,"owner":"Model author","refresh_trigger":"New model release"},"valid_from":"2027-01-01","valid_to":null},{"id":"FUND.SHARE_CAP","label":"Share capital at M1","section":"FUND","kind":"scalar","unit":"EUR","base":25000,"scenario_rules":{"upside":{"mode":"inherit"},"downside":{"mode":"inherit"}},"minimum":0,"maximum":null,"reducer":"NA","evidence":{"provenance":"IA","source_ids":["SRC.S2.FUND.SHARE_CAP","SRC.GC.SECTION_6"],"rationale":"Frozen fictional FUND.SHARE_CAP input from the assumptions register.","policy_ids":["P09"],"checked_on":"2026-10-12","verify":true,"owner":"Model author","refresh_trigger":"New model release"},"valid_from":"2027-01-01","valid_to":null},{"id":"FUND.CONV.PRINCIPAL","label":"Pre-seed convertible note (M1): principal","section":"FUND","kind":"scalar","unit":"EUR","base":1000000,"scenario_rules":{"upside":{"mode":"inherit"},"downside":{"mode":"inherit"}},"minimum":0,"maximum":null,"reducer":"NA","evidence":{"provenance":"IA","source_ids":["SRC.S2.FUND.CONV","SRC.GC.SECTION_7"],"rationale":"Frozen fictional FUND.CONV.PRINCIPAL input from the assumptions register.","policy_ids":["P09"],"checked_on":"2026-10-12","verify":true,"owner":"Model author","refresh_trigger":"New model release"},"valid_from":"2027-01-01","valid_to":null},{"id":"FUND.CONV.RATE","label":"Pre-seed convertible note (M1): annual interest rate","section":"FUND","kind":"scalar","unit":"fraction","base":0.05,"scenario_rules":{"upside":{"mode":"inherit"},"downside":{"mode":"inherit"}},"minimum":0,"maximum":1,"reducer":"NA","evidence":{"provenance":"IA","source_ids":["SRC.S2.FUND.CONV","SRC.GC.SECTION_7"],"rationale":"Frozen fictional FUND.CONV.RATE input from the assumptions register.","policy_ids":["P09"],"checked_on":"2026-10-12","verify":true,"owner":"Model author","refresh_trigger":"New model release"},"valid_from":"2027-01-01","valid_to":null},{"id":"FUND.CONV.START_MONTH","label":"Pre-seed convertible note (M1): start month","section":"FUND","kind":"date_month","unit":"month_index","base":1,"scenario_rules":{"upside":{"mode":"inherit"},"downside":{"mode":"inherit"}},"minimum":1,"maximum":60,"reducer":"NA","evidence":{"provenance":"IA","source_ids":["SRC.S2.FUND.CONV","SRC.GC.SECTION_7"],"rationale":"Frozen fictional FUND.CONV.START_MONTH input from the assumptions register.","policy_ids":["P09"],"checked_on":"2026-10-12","verify":true,"owner":"Model author","refresh_trigger":"New model release"},"valid_from":"2027-01-01","valid_to":null},{"id":"FUND.CONV.MATURITY_MONTH","label":"Pre-seed convertible note (M1): maturity month","section":"FUND","kind":"date_month","unit":"month_index","base":19,"scenario_rules":{"upside":{"mode":"inherit"},"downside":{"mode":"inherit"}},"minimum":1,"maximum":60,"reducer":"NA","evidence":{"provenance":"IA","source_ids":["SRC.S2.FUND.CONV","SRC.GC.SECTION_7"],"rationale":"Frozen fictional FUND.CONV.MATURITY_MONTH input from the assumptions register.","policy_ids":["P09"],"checked_on":"2026-10-12","verify":true,"owner":"Model author","refresh_trigger":"New model release"},"valid_from":"2027-01-01","valid_to":null},{"id":"FUND.CONV.DISCOUNT","label":"Pre-seed convertible note (M1): conversion discount","section":"FUND","kind":"scalar","unit":"fraction","base":0.2,"scenario_rules":{"upside":{"mode":"inherit"},"downside":{"mode":"inherit"}},"minimum":0,"maximum":1,"reducer":"NA","evidence":{"provenance":"IA","source_ids":["SRC.S2.FUND.CONV","SRC.GC.SECTION_7"],"rationale":"Frozen fictional FUND.CONV.DISCOUNT input from the assumptions register.","policy_ids":["P09"],"checked_on":"2026-10-12","verify":true,"owner":"Model author","refresh_trigger":"New model release"},"valid_from":"2027-01-01","valid_to":null},{"id":"FUND.CONV.CAP","label":"Pre-seed convertible note (M1): valuation cap","section":"FUND","kind":"scalar","unit":"EUR","base":5000000,"scenario_rules":{"upside":{"mode":"inherit"},"downside":{"mode":"inherit"}},"minimum":0,"maximum":null,"reducer":"NA","evidence":{"provenance":"IA","source_ids":["SRC.S2.FUND.CONV","SRC.GC.SECTION_7"],"rationale":"Frozen fictional FUND.CONV.CAP input from the assumptions register.","policy_ids":["P09"],"checked_on":"2026-10-12","verify":true,"owner":"Model author","refresh_trigger":"New model release"},"valid_from":"2027-01-01","valid_to":null},{"id":"FUND.CONV.QUALIFIED_MIN","label":"Pre-seed convertible note (M1): minimum qualified financing","section":"FUND","kind":"scalar","unit":"EUR","base":1000000,"scenario_rules":{"upside":{"mode":"inherit"},"downside":{"mode":"inherit"}},"minimum":0,"maximum":null,"reducer":"NA","evidence":{"provenance":"IA","source_ids":["SRC.S2.FUND.CONV","SRC.GC.SECTION_7"],"rationale":"Frozen fictional FUND.CONV.QUALIFIED_MIN input from the assumptions register.","policy_ids":["P09"],"checked_on":"2026-10-12","verify":true,"owner":"Model author","refresh_trigger":"New model release"},"valid_from":"2027-01-01","valid_to":null},{"id":"FUND.SEED.AMOUNT","label":"Seed round: amount","section":"FUND","kind":"scalar","unit":"EUR","base":4000000,"scenario_rules":{"upside":{"mode":"inherit"},"downside":{"mode":"inherit"}},"minimum":0,"maximum":null,"reducer":"NA","evidence":{"provenance":"IA","source_ids":["SRC.S2.FUND.SEED","SRC.GC.SECTION_7"],"rationale":"Frozen fictional FUND.SEED.AMOUNT input from the assumptions register.","policy_ids":["P09"],"checked_on":"2026-10-12","verify":true,"owner":"Model author","refresh_trigger":"New model release"},"valid_from":"2027-01-01","valid_to":null},{"id":"FUND.SEED.PRE_MONEY","label":"Seed round: pre-money valuation","section":"FUND","kind":"scalar","unit":"EUR","base":8000000,"scenario_rules":{"upside":{"mode":"inherit"},"downside":{"mode":"inherit"}},"minimum":0,"maximum":null,"reducer":"NA","evidence":{"provenance":"IA","source_ids":["SRC.S2.FUND.SEED","SRC.GC.SECTION_7"],"rationale":"Frozen fictional FUND.SEED.PRE_MONEY input from the assumptions register.","policy_ids":["P09"],"checked_on":"2026-10-12","verify":true,"owner":"Model author","refresh_trigger":"New model release"},"valid_from":"2027-01-01","valid_to":null},{"id":"FUND.SEED.MONTH","label":"Seed round: month","section":"FUND","kind":"date_month","unit":"month_index","base":8,"scenario_rules":{"upside":{"mode":"inherit"},"downside":{"mode":"inherit"}},"minimum":1,"maximum":60,"reducer":"NA","evidence":{"provenance":"IA","source_ids":["SRC.S2.FUND.SEED","SRC.GC.SECTION_7"],"rationale":"Frozen fictional FUND.SEED.MONTH input from the assumptions register.","policy_ids":["P09"],"checked_on":"2026-10-12","verify":true,"owner":"Model author","refresh_trigger":"New model release"},"valid_from":"2027-01-01","valid_to":null},{"id":"FUND.A.AMOUNT","label":"Series A: amount","section":"FUND","kind":"scalar","unit":"EUR","base":12000000,"scenario_rules":{"upside":{"mode":"inherit"},"downside":{"mode":"inherit"}},"minimum":0,"maximum":null,"reducer":"NA","evidence":{"provenance":"IA","source_ids":["SRC.S2.FUND.A","SRC.GC.SECTION_7"],"rationale":"Frozen fictional FUND.A.AMOUNT input from the assumptions register.","policy_ids":["P09"],"checked_on":"2026-10-12","verify":true,"owner":"Model author","refresh_trigger":"New model release"},"valid_from":"2027-01-01","valid_to":null},{"id":"FUND.A.PRE_MONEY","label":"Series A: pre-money valuation","section":"FUND","kind":"scalar","unit":"EUR","base":20000000,"scenario_rules":{"upside":{"mode":"inherit"},"downside":{"mode":"inherit"}},"minimum":0,"maximum":null,"reducer":"NA","evidence":{"provenance":"IA","source_ids":["SRC.S2.FUND.A","SRC.GC.SECTION_7"],"rationale":"Frozen fictional FUND.A.PRE_MONEY input from the assumptions register.","policy_ids":["P09"],"checked_on":"2026-10-12","verify":true,"owner":"Model author","refresh_trigger":"New model release"},"valid_from":"2027-01-01","valid_to":null},{"id":"FUND.A.MONTH","label":"Series A: month","section":"FUND","kind":"date_month","unit":"month_index","base":19,"scenario_rules":{"upside":{"mode":"inherit"},"downside":{"mode":"inherit"}},"minimum":1,"maximum":60,"reducer":"NA","evidence":{"provenance":"IA","source_ids":["SRC.S2.FUND.A","SRC.GC.SECTION_7"],"rationale":"Frozen fictional FUND.A.MONTH input from the assumptions register.","policy_ids":["P09"],"checked_on":"2026-10-12","verify":true,"owner":"Model author","refresh_trigger":"New model release"},"valid_from":"2027-01-01","valid_to":null},{"id":"FUND.VSOP.SEED","label":"Employee option pool after the Seed round (memo dilution)","section":"FUND","kind":"scalar","unit":"fraction","base":0.1,"scenario_rules":{"upside":{"mode":"inherit"},"downside":{"mode":"inherit"}},"minimum":0,"maximum":1,"reducer":"NA","evidence":{"provenance":"IA","source_ids":["SRC.S2.FUND.VSOP","SRC.GC.SECTION_7"],"rationale":"Frozen fictional FUND.VSOP.SEED input from the assumptions register.","policy_ids":["P09"],"checked_on":"2026-10-12","verify":true,"owner":"Model author","refresh_trigger":"New model release"},"valid_from":"2027-01-01","valid_to":null},{"id":"FUND.VSOP.A","label":"Employee option pool after Series A (memo dilution)","section":"FUND","kind":"scalar","unit":"fraction","base":0.12,"scenario_rules":{"upside":{"mode":"inherit"},"downside":{"mode":"inherit"}},"minimum":0,"maximum":1,"reducer":"NA","evidence":{"provenance":"IA","source_ids":["SRC.S2.FUND.VSOP","SRC.GC.SECTION_7"],"rationale":"Frozen fictional FUND.VSOP.A input from the assumptions register.","policy_ids":["P09"],"checked_on":"2026-10-12","verify":true,"owner":"Model author","refresh_trigger":"New model release"},"valid_from":"2027-01-01","valid_to":null},{"id":"FUND.CASH_BUF.MULTIPLIER","label":"Cash-buffer target: multiple of average monthly net burn","section":"FUND","kind":"scalar","unit":"multiplier","base":6,"scenario_rules":{"upside":{"mode":"inherit"},"downside":{"mode":"inherit"}},"minimum":0,"maximum":null,"reducer":"NA","evidence":{"provenance":"IA","source_ids":["SRC.S2.FUND.CASH_BUF"],"rationale":"Frozen fictional FUND.CASH_BUF.MULTIPLIER input from the assumptions register.","policy_ids":["P09"],"checked_on":"2026-10-12","verify":true,"owner":"Model author","refresh_trigger":"New model release"},"valid_from":"2027-01-01","valid_to":null},{"id":"FUND.CASH_BUF.FORWARD_MONTHS","label":"Cash-buffer target: forward months averaged","section":"FUND","kind":"scalar","unit":"months","base":3,"scenario_rules":{"upside":{"mode":"inherit"},"downside":{"mode":"inherit"}},"minimum":0,"maximum":null,"reducer":"NA","evidence":{"provenance":"IA","source_ids":["SRC.S2.FUND.CASH_BUF"],"rationale":"Frozen fictional FUND.CASH_BUF.FORWARD_MONTHS input from the assumptions register.","policy_ids":["P09"],"checked_on":"2026-10-12","verify":true,"owner":"Model author","refresh_trigger":"New model release"},"valid_from":"2027-01-01","valid_to":null},{"id":"FUND.DEP_RATE","label":"Interest on positive cash","section":"FUND","kind":"scalar","unit":"fraction","base":0.015,"scenario_rules":{"upside":{"mode":"inherit"},"downside":{"mode":"inherit"}},"minimum":0,"maximum":1,"reducer":"NA","evidence":{"provenance":"IA","source_ids":["SRC.S2.FUND.DEP_RATE"],"rationale":"Frozen fictional FUND.DEP_RATE input from the assumptions register.","policy_ids":["P09"],"checked_on":"2026-10-12","verify":true,"owner":"Model author","refresh_trigger":"New model release"},"valid_from":"2027-01-01","valid_to":null},{"id":"VAL.EXIT_MONTH","label":"Indicative exit: month of the illustrative exit","section":"FUND","kind":"date_month","unit":"month_index","base":60,"scenario_rules":{"upside":{"mode":"inherit"},"downside":{"mode":"inherit"}},"minimum":13,"maximum":60,"reducer":"NA","evidence":{"provenance":"IA","source_ids":["SRC.S5.R-037"],"rationale":"Illustrative exit month for the indicative valuation (owner decision of 13.10.2026); not a forecast or valuation opinion.","policy_ids":[],"checked_on":"2026-10-13","verify":false,"owner":"Model author","refresh_trigger":"New model release"},"valid_from":"2027-01-01","valid_to":null},{"id":"VAL.EXIT_MULTIPLE","label":"Indicative exit: multiple of the recurring revenue run-rate","section":"FUND","kind":"scalar","unit":"multiplier","base":4,"scenario_rules":{"upside":{"mode":"inherit"},"downside":{"mode":"inherit"}},"minimum":0,"maximum":20,"reducer":"NA","evidence":{"provenance":"IA","source_ids":["SRC.S5.R-037"],"rationale":"Illustrative exit multiple on the recurring revenue run-rate (owner decision of 13.10.2026); users set their own.","policy_ids":[],"checked_on":"2026-10-13","verify":false,"owner":"Model author","refresh_trigger":"New model release"},"valid_from":"2027-01-01","valid_to":null},{"id":"FUND.B.AMOUNT","label":"Series B: amount (optional round, used when the Series B switch is 1)","section":"FUND","kind":"scalar","unit":"EUR","base":15000000,"scenario_rules":{"upside":{"mode":"inherit"},"downside":{"mode":"inherit"}},"minimum":0,"maximum":null,"reducer":"NA","evidence":{"provenance":"IA","source_ids":["SRC.CR01","SRC.S5.R-037"],"rationale":"Owner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release"},"valid_from":"2027-01-01","valid_to":null},{"id":"FUND.B.PRE_MONEY","label":"Series B: pre-money valuation (optional round, used when the Series B switch is 1)","section":"FUND","kind":"scalar","unit":"EUR","base":60000000,"scenario_rules":{"upside":{"mode":"inherit"},"downside":{"mode":"inherit"}},"minimum":0,"maximum":null,"reducer":"NA","evidence":{"provenance":"IA","source_ids":["SRC.CR01","SRC.S5.R-037"],"rationale":"Owner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release"},"valid_from":"2027-01-01","valid_to":null},{"id":"FUND.B.MONTH","label":"Series B: month (optional round, used when the Series B switch is 1)","section":"FUND","kind":"date_month","unit":"month_index","base":46,"scenario_rules":{"upside":{"mode":"inherit"},"downside":{"mode":"inherit"}},"minimum":1,"maximum":60,"reducer":"NA","evidence":{"provenance":"IA","source_ids":["SRC.CR01","SRC.S5.R-037"],"rationale":"Owner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release"},"valid_from":"2027-01-01","valid_to":null},{"id":"FUND.B.SIGN_MONTH","label":"Series B: signing month (optional round, used when the Series B switch is 1)","section":"FUND","kind":"date_month","unit":"month_index","base":42,"scenario_rules":{"upside":{"mode":"inherit"},"downside":{"mode":"inherit"}},"minimum":1,"maximum":60,"reducer":"NA","evidence":{"provenance":"IA","source_ids":["SRC.CR01","SRC.S5.R-037"],"rationale":"Owner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event.","policy_ids":["P02","P09"],"checked_on":"2026-10-13","verify":true,"owner":"Model author","refresh_trigger":"New model release"},"valid_from":"2027-01-01","valid_to":null},{"id":"FUND.B.POOL_TARGET","label":"Series B: employee option pool target (optional round, used when the Series B switch is 1)","section":"FUND","kind":"scalar","unit":"fraction","base":0.14,"scenario_rules":{"upside":{"mode":"inherit"},"downside":{"mode":"inherit"}},"minimum":0,"maximum":1,"reducer":"NA","evidence":{"provenance":"IA","source_ids":["SRC.CR01","SRC.S5.R-037"],"rationale":"Owner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release"},"valid_from":"2027-01-01","valid_to":null},{"id":"FUND.B.NOTARY","label":"Series B: notary costs (optional round, used when the Series B switch is 1)","section":"FUND","kind":"scalar","unit":"EUR","base":25000,"scenario_rules":{"upside":{"mode":"inherit"},"downside":{"mode":"inherit"}},"minimum":0,"maximum":null,"reducer":"NA","evidence":{"provenance":"IA","source_ids":["SRC.CR01","SRC.S5.R-026"],"rationale":"Owner decision of 12.10.2026: illustrative Series B terms, identical in all scenarios. The owner decision of 13.10.2026 removed the Series B event from the shipped plan; these inputs apply only if a user adds a SERIES_B funding event.","policy_ids":["P05","P09"],"checked_on":"2026-10-13","verify":true,"owner":"Model author","refresh_trigger":"New model release"},"valid_from":"2027-01-01","valid_to":null},{"id":"FUND.B.LEGAL","label":"Series B: legal costs (optional round, used when the Series B switch is 1)","section":"FUND","kind":"scalar","unit":"EUR","base":120000,"scenario_rules":{"upside":{"mode":"inherit"},"downside":{"mode":"inherit"}},"minimum":0,"maximum":null,"reducer":"NA","evidence":{"provenance":"IA","source_ids":["SRC.CR01","SRC.S5.R-026"],"rationale":"Owner decision of 12.10.2026: illustrative Series B terms, identical in all scenarios. The owner decision of 13.10.2026 removed the Series B event from the shipped plan; these inputs apply only if a user adds a SERIES_B funding event.","policy_ids":["P05","P09"],"checked_on":"2026-10-13","verify":true,"owner":"Model author","refresh_trigger":"New model release"},"valid_from":"2027-01-01","valid_to":null},{"id":"FUND.GRANT","label":"GründungsBONUS Plus","section":"FUND","kind":"switch","unit":"boolean","base":false,"scenario_rules":{"upside":{"mode":"inherit"},"downside":{"mode":"inherit"}},"minimum":null,"maximum":null,"reducer":"NA","evidence":{"provenance":"IA","source_ids":["SRC.S2.FUND.GRANT","SRC.GC.SECTION_7"],"rationale":"Frozen fictional FUND.GRANT input from the assumptions register.","policy_ids":[],"checked_on":"2026-10-12","verify":false,"owner":"Model author","refresh_trigger":"New model release"},"valid_from":"2027-01-01","valid_to":null},{"id":"WC.DPO","label":"Supplier payment terms (non-people opex, COGS)","section":"WC","kind":"scalar","unit":"days","base":30,"scenario_rules":{"upside":{"mode":"inherit"},"downside":{"mode":"inherit"}},"minimum":0,"maximum":null,"reducer":"NA","evidence":{"provenance":"IA","source_ids":["SRC.S2.WC.DPO"],"rationale":"Frozen fictional WC.DPO input from the assumptions register.","policy_ids":[],"checked_on":"2026-10-12","verify":false,"owner":"Model author","refresh_trigger":"New model release"},"valid_from":"2027-01-01","valid_to":null},{"id":"WC.PAYROLL","label":"Salaries and contributions","section":"WC","kind":"scalar","unit":"months","base":0,"scenario_rules":{"upside":{"mode":"inherit"},"downside":{"mode":"inherit"}},"minimum":0,"maximum":null,"reducer":"NA","evidence":{"provenance":"EC","source_ids":["SRC.S2.WC.PAYROLL"],"rationale":"Frozen fictional WC.PAYROLL input from the assumptions register.","policy_ids":[],"checked_on":"2026-10-12","verify":false,"owner":"Model author","refresh_trigger":"New model release"},"valid_from":"2027-01-01","valid_to":null},{"id":"WC.STORE","label":"Store payouts","section":"WC","kind":"scalar","unit":"months","base":1,"scenario_rules":{"upside":{"mode":"inherit"},"downside":{"mode":"inherit"}},"minimum":0,"maximum":null,"reducer":"NA","evidence":{"provenance":"IA","source_ids":["SRC.S2.WC.STORE"],"rationale":"Frozen fictional WC.STORE input from the assumptions register.","policy_ids":[],"checked_on":"2026-10-12","verify":false,"owner":"Model author","refresh_trigger":"New model release"},"valid_from":"2027-01-01","valid_to":null},{"id":"WC.STRIPE","label":"Card settlement","section":"WC","kind":"scalar","unit":"months","base":0,"scenario_rules":{"upside":{"mode":"inherit"},"downside":{"mode":"inherit"}},"minimum":0,"maximum":null,"reducer":"NA","evidence":{"provenance":"IA","source_ids":["SRC.S2.WC.STRIPE"],"rationale":"Frozen fictional WC.STRIPE input from the assumptions register.","policy_ids":[],"checked_on":"2026-10-12","verify":false,"owner":"Model author","refresh_trigger":"New model release"},"valid_from":"2027-01-01","valid_to":null},{"id":"WC.TRADER","label":"Lead-trader payouts","section":"WC","kind":"scalar","unit":"months","base":1,"scenario_rules":{"upside":{"mode":"inherit"},"downside":{"mode":"inherit"}},"minimum":0,"maximum":null,"reducer":"NA","evidence":{"provenance":"EC","source_ids":["SRC.S2.WC.TRADER"],"rationale":"Frozen fictional WC.TRADER input from the assumptions register.","policy_ids":[],"checked_on":"2026-10-12","verify":false,"owner":"Model author","refresh_trigger":"New model release"},"valid_from":"2027-01-01","valid_to":null},{"id":"X.TRADER_CHURN","label":"Monthly lead-trader churn","section":"X","kind":"scalar","unit":"fraction","base":0.05,"scenario_rules":{"upside":{"mode":"inherit"},"downside":{"mode":"inherit"}},"minimum":0,"maximum":1,"reducer":"NA","evidence":{"provenance":"IA","source_ids":["SRC.T03","SRC.S5.R-050"],"rationale":"Supplementary frozen model input X.TRADER_CHURN, defined by the calculation rules.","policy_ids":[],"checked_on":"2026-10-12","verify":false,"owner":"Model author","refresh_trigger":"New model release"},"valid_from":"2027-01-01","valid_to":null},{"id":"X.LTV_RATE","label":"Annual discount rate for LTV","section":"X","kind":"scalar","unit":"fraction","base":0.12,"scenario_rules":{"upside":{"mode":"inherit"},"downside":{"mode":"inherit"}},"minimum":0,"maximum":1,"reducer":"NA","evidence":{"provenance":"IA","source_ids":["SRC.T03","SRC.S5.R-050"],"rationale":"Supplementary frozen model input X.LTV_RATE, defined by the calculation rules.","policy_ids":[],"checked_on":"2026-10-12","verify":false,"owner":"Model author","refresh_trigger":"New model release"},"valid_from":"2027-01-01","valid_to":null},{"id":"X.LTV_MONTHS","label":"LTV horizon in months","section":"X","kind":"scalar","unit":"months","base":36,"scenario_rules":{"upside":{"mode":"inherit"},"downside":{"mode":"inherit"}},"minimum":0,"maximum":null,"reducer":"NA","evidence":{"provenance":"EC","source_ids":["SRC.T03","SRC.S5.R-050"],"rationale":"Supplementary frozen model input X.LTV_MONTHS, defined by the calculation rules.","policy_ids":[],"checked_on":"2026-10-12","verify":false,"owner":"Model author","refresh_trigger":"New model release"},"valid_from":"2027-01-01","valid_to":null},{"id":"X.CUTOFF","label":"Actuals cut-off date","section":"X","kind":"scalar","unit":"date","base":"2027-06-30","scenario_rules":{"upside":{"mode":"inherit"},"downside":{"mode":"inherit"}},"minimum":null,"maximum":null,"reducer":"NA","evidence":{"provenance":"EC","source_ids":["SRC.T03","SRC.S5.R-050"],"rationale":"Supplementary frozen model input X.CUTOFF, defined by the calculation rules.","policy_ids":[],"checked_on":"2026-10-12","verify":false,"owner":"Model author","refresh_trigger":"New model release"},"valid_from":"2027-01-01","valid_to":null},{"id":"X.TRADER_SMALL_SHARE","label":"Share of lead traders treated as VAT small businesses","section":"X","kind":"scalar","unit":"fraction","base":1,"scenario_rules":{"upside":{"mode":"inherit"},"downside":{"mode":"inherit"}},"minimum":0,"maximum":1,"reducer":"NA","evidence":{"provenance":"IA","source_ids":["SRC.T03","SRC.S5.R-050"],"rationale":"Supplementary frozen model input X.TRADER_SMALL_SHARE, defined by the calculation rules.","policy_ids":["P03"],"checked_on":"2026-10-12","verify":true,"owner":"Model author","refresh_trigger":"New model release"},"valid_from":"2027-01-01","valid_to":null},{"id":"X.STORE_PLATFORM_SHARE","label":"App-store split between platforms","section":"X","kind":"table_ref","unit":"text","base":"TBL.STORE_PLATFORM_SHARE","scenario_rules":{"upside":{"mode":"inherit"},"downside":{"mode":"inherit"}},"minimum":null,"maximum":null,"reducer":"NA","evidence":{"provenance":"IA","source_ids":["SRC.T03","SRC.S5.R-050"],"rationale":"Supplementary frozen model input X.STORE_PLATFORM_SHARE, defined by the calculation rules.","policy_ids":["P04"],"checked_on":"2026-10-12","verify":true,"owner":"Model author","refresh_trigger":"New model release"},"valid_from":"2027-01-01","valid_to":null},{"id":"X.R3_VOLUME","label":"R3 eligible self-directed volume per month (R3 stays off)","section":"X","kind":"profile","unit":"EUR","base":[0,0,0,0,0,0,0,0,0,0,0,0,0,0,0,0,0,0,0,0,0,0,0,0,0,0,0,0,0,0,0,0,0,0,0,0,0,0,0,0,0,0,0,0,0,0,0,0,0,0,0,0,0,0,0,0,0,0,0,0],"scenario_rules":{"upside":{"mode":"inherit"},"downside":{"mode":"inherit"}},"minimum":0,"maximum":null,"reducer":"SUM","evidence":{"provenance":"IA","source_ids":["SRC.T03","SRC.S5.R-050"],"rationale":"Supplementary frozen model input X.R3_VOLUME, defined by the calculation rules.","policy_ids":["P06"],"checked_on":"2026-10-12","verify":true,"owner":"Model author","refresh_trigger":"New model release"},"valid_from":"2027-01-01","valid_to":null},{"id":"X.R3_FEE_BPS","label":"R3 affiliate fee in basis points (R3 stays off)","section":"X","kind":"scalar","unit":"bps","base":10,"scenario_rules":{"upside":{"mode":"inherit"},"downside":{"mode":"inherit"}},"minimum":0,"maximum":null,"reducer":"NA","evidence":{"provenance":"IA","source_ids":["SRC.T03","SRC.S5.R-050"],"rationale":"Supplementary frozen model input X.R3_FEE_BPS, defined by the calculation rules.","policy_ids":["P06"],"checked_on":"2026-10-12","verify":true,"owner":"Model author","refresh_trigger":"New model release"},"valid_from":"2027-01-01","valid_to":null},{"id":"X.R3_SHARE","label":"R3 share of affiliate revenue (R3 stays off)","section":"X","kind":"scalar","unit":"fraction","base":0.2,"scenario_rules":{"upside":{"mode":"inherit"},"downside":{"mode":"inherit"}},"minimum":0,"maximum":1,"reducer":"NA","evidence":{"provenance":"IA","source_ids":["SRC.T03","SRC.S5.R-050"],"rationale":"Supplementary frozen model input X.R3_SHARE, defined by the calculation rules.","policy_ids":["P06"],"checked_on":"2026-10-12","verify":true,"owner":"Model author","refresh_trigger":"New model release"},"valid_from":"2027-01-01","valid_to":null},{"id":"X.FOUNDING_REGISTER_GROSS","label":"Commercial-register fee at founding, gross","section":"X","kind":"scalar","unit":"EUR","base":225,"scenario_rules":{"upside":{"mode":"inherit"},"downside":{"mode":"inherit"}},"minimum":0,"maximum":null,"reducer":"NA","evidence":{"provenance":"IA","source_ids":["SRC.T03","SRC.S5.R-050"],"rationale":"Supplementary frozen model input X.FOUNDING_REGISTER_GROSS, defined by the calculation rules.","policy_ids":["P05"],"checked_on":"2026-10-12","verify":true,"owner":"Model author","refresh_trigger":"New model release"},"valid_from":"2027-01-01","valid_to":null},{"id":"X.TAX_BRIDGE_K","label":"Corporation-tax bridge adjustment per month","section":"X","kind":"profile","unit":"EUR","base":[0,0,0,0,0,0,0,0,0,0,0,0,0,0,0,0,0,0,0,0,0,0,0,0,0,0,0,0,0,0,0,0,0,0,0,0,0,0,0,0,0,0,0,0,0,0,0,0,0,0,0,0,0,0,0,0,0,0,0,0],"scenario_rules":{"upside":{"mode":"inherit"},"downside":{"mode":"inherit"}},"minimum":null,"maximum":null,"reducer":"SUM","evidence":{"provenance":"EC","source_ids":["SRC.T03","SRC.S5.R-050"],"rationale":"Supplementary frozen model input X.TAX_BRIDGE_K, defined by the calculation rules.","policy_ids":["P08"],"checked_on":"2026-10-12","verify":true,"owner":"Model author","refresh_trigger":"New model release"},"valid_from":"2027-01-01","valid_to":null},{"id":"X.TAX_BRIDGE_G","label":"Trade-tax bridge adjustment per month","section":"X","kind":"profile","unit":"EUR","base":[0,0,0,0,0,0,0,0,0,0,0,0,0,0,0,0,0,0,0,0,0,0,0,0,0,0,0,0,0,0,0,0,0,0,0,0,0,0,0,0,0,0,0,0,0,0,0,0,0,0,0,0,0,0,0,0,0,0,0,0],"scenario_rules":{"upside":{"mode":"inherit"},"downside":{"mode":"inherit"}},"minimum":null,"maximum":null,"reducer":"SUM","evidence":{"provenance":"EC","source_ids":["SRC.T03","SRC.S5.R-050"],"rationale":"Supplementary frozen model input X.TAX_BRIDGE_G, defined by the calculation rules.","policy_ids":["P08"],"checked_on":"2026-10-12","verify":true,"owner":"Model author","refresh_trigger":"New model release"},"valid_from":"2027-01-01","valid_to":null},{"id":"X.STREAM_MODE","label":"Revenue stream mode (present, stop new or absent); R3 stays off through its own switch","section":"X","kind":"table_ref","unit":"text","base":"X.STREAM_MODE","scenario_rules":{"upside":{"mode":"inherit"},"downside":{"mode":"inherit"}},"minimum":null,"maximum":null,"reducer":"NA","evidence":{"provenance":"EC","source_ids":["SRC.T03","SRC.S5.R-050","SRC.T04"],"rationale":"Design rule: one value per stream; stop_new requires a month from 1 to 60, other modes leave the separate stop table empty.","policy_ids":[],"checked_on":"2026-10-12","verify":false,"owner":"Model author","refresh_trigger":"New model release"},"valid_from":"2027-01-01","valid_to":null},{"id":"X.STOP_MONTH","label":"Revenue stream stop month","section":"X","kind":"table_ref","unit":"month_index","base":"X.STOP_MONTH","scenario_rules":{"upside":{"mode":"inherit"},"downside":{"mode":"inherit"}},"minimum":null,"maximum":null,"reducer":"NA","evidence":{"provenance":"EC","source_ids":["SRC.T03","SRC.S5.R-050","SRC.T04"],"rationale":"Design rule: one value per stream; stop_new requires a month from 1 to 60, other modes leave the separate stop table empty.","policy_ids":[],"checked_on":"2026-10-12","verify":false,"owner":"Model author","refresh_trigger":"New model release"},"valid_from":"2027-01-01","valid_to":null},{"id":"X.DEPR_IT","label":"IT equipment depreciation life in months","section":"X","kind":"scalar","unit":"months","base":36,"scenario_rules":{"upside":{"mode":"inherit"},"downside":{"mode":"inherit"}},"minimum":0,"maximum":null,"reducer":"NA","evidence":{"provenance":"IA","source_ids":["SRC.T03","SRC.S5.R-050"],"rationale":"Supplementary frozen model input X.DEPR_IT, defined by the calculation rules.","policy_ids":["P08"],"checked_on":"2026-10-12","verify":true,"owner":"Model author","refresh_trigger":"New model release"},"valid_from":"2027-01-01","valid_to":null},{"id":"X.REPLACE_IT","label":"IT equipment replacement cycle in months","section":"X","kind":"scalar","unit":"months","base":48,"scenario_rules":{"upside":{"mode":"inherit"},"downside":{"mode":"inherit"}},"minimum":0,"maximum":null,"reducer":"NA","evidence":{"provenance":"IA","source_ids":["SRC.T03","SRC.S5.R-050"],"rationale":"Supplementary frozen model input X.REPLACE_IT, defined by the calculation rules.","policy_ids":["P08"],"checked_on":"2026-10-12","verify":true,"owner":"Model author","refresh_trigger":"New model release"},"valid_from":"2027-01-01","valid_to":null},{"id":"X.DEPR_FITOUT","label":"Office fit-out depreciation life in months","section":"X","kind":"scalar","unit":"months","base":60,"scenario_rules":{"upside":{"mode":"inherit"},"downside":{"mode":"inherit"}},"minimum":0,"maximum":null,"reducer":"NA","evidence":{"provenance":"IA","source_ids":["SRC.T03","SRC.S5.R-050"],"rationale":"Supplementary frozen model input X.DEPR_FITOUT, defined by the calculation rules.","policy_ids":["P08"],"checked_on":"2026-10-12","verify":true,"owner":"Model author","refresh_trigger":"New model release"},"valid_from":"2027-01-01","valid_to":null},{"id":"X.DEPOSITS","label":"Rent and other deposits","section":"X","kind":"scalar","unit":"EUR","base":0,"scenario_rules":{"upside":{"mode":"inherit"},"downside":{"mode":"inherit"}},"minimum":0,"maximum":null,"reducer":"NA","evidence":{"provenance":"EC","source_ids":["SRC.T03","SRC.S5.R-050"],"rationale":"Supplementary frozen model input X.DEPOSITS, defined by the calculation rules.","policy_ids":[],"checked_on":"2026-10-12","verify":false,"owner":"Model author","refresh_trigger":"New model release"},"valid_from":"2027-01-01","valid_to":null},{"id":"X.INTANGIBLES","label":"Intangible assets","section":"X","kind":"scalar","unit":"EUR","base":0,"scenario_rules":{"upside":{"mode":"inherit"},"downside":{"mode":"inherit"}},"minimum":0,"maximum":null,"reducer":"NA","evidence":{"provenance":"EC","source_ids":["SRC.T03","SRC.S5.R-050"],"rationale":"Supplementary frozen model input X.INTANGIBLES, defined by the calculation rules.","policy_ids":[],"checked_on":"2026-10-12","verify":false,"owner":"Model author","refresh_trigger":"New model release"},"valid_from":"2027-01-01","valid_to":null},{"id":"X.DTA","label":"Deferred tax assets","section":"X","kind":"scalar","unit":"EUR","base":0,"scenario_rules":{"upside":{"mode":"inherit"},"downside":{"mode":"inherit"}},"minimum":0,"maximum":null,"reducer":"NA","evidence":{"provenance":"EC","source_ids":["SRC.T03","SRC.S5.R-050"],"rationale":"Supplementary frozen model input X.DTA, defined by the calculation rules.","policy_ids":[],"checked_on":"2026-10-12","verify":false,"owner":"Model author","refresh_trigger":"New model release"},"valid_from":"2027-01-01","valid_to":null},{"id":"X.DIVIDENDS","label":"Dividends","section":"X","kind":"scalar","unit":"EUR","base":0,"scenario_rules":{"upside":{"mode":"inherit"},"downside":{"mode":"inherit"}},"minimum":0,"maximum":null,"reducer":"NA","evidence":{"provenance":"EC","source_ids":["SRC.T03","SRC.S5.R-050"],"rationale":"Supplementary frozen model input X.DIVIDENDS, defined by the calculation rules.","policy_ids":[],"checked_on":"2026-10-12","verify":false,"owner":"Model author","refresh_trigger":"New model release"},"valid_from":"2027-01-01","valid_to":null}],"tables":[{"table_id":"TBL.AT_ACCESS","columns":[{"id":"offset","unit":"months","value_type":"number"}],"rows":[{"row_id":"DE","values":{"offset":0}},{"row_id":"AT","values":{"offset":1}}]},{"table_id":"TBL.REG.FIRST_YEAR","columns":[{"id":"method","unit":"text","value_type":"string"}],"rows":[{"row_id":"rule","values":{"method":"Calculation rule R-040"}}]},{"table_id":"TBL.TAX.KST","columns":[{"id":"rate","unit":"fraction","value_type":"number"}],"rows":[{"row_id":"2027","values":{"rate":0.15}},{"row_id":"2028","values":{"rate":0.14}},{"row_id":"2029","values":{"rate":0.13}},{"row_id":"2030","values":{"rate":0.12}},{"row_id":"2031","values":{"rate":0.11}}]},{"table_id":"TBL.TAX.LOSS_Q_KST","columns":[{"id":"rate","unit":"fraction","value_type":"number"}],"rows":[{"row_id":"2027","values":{"rate":0.7}},{"row_id":"2028","values":{"rate":0.6}},{"row_id":"2029","values":{"rate":0.6}},{"row_id":"2030","values":{"rate":0.6}},{"row_id":"2031","values":{"rate":0.6}}]},{"table_id":"TBL.STORE_PLATFORM_SHARE","columns":[{"id":"share","unit":"fraction","value_type":"number"}],"rows":[{"row_id":"Apple","values":{"share":0.5}},{"row_id":"Google","values":{"share":0.5}}]},{"table_id":"TBL.RET.CURVE","columns":[{"id":"active_share","unit":"fraction","value_type":"number"}],"rows":[{"row_id":"a00","values":{"active_share":1}},{"row_id":"a01","values":{"active_share":0.7}},{"row_id":"a02","values":{"active_share":0.6}},{"row_id":"a03","values":{"active_share":0.55}},{"row_id":"a04","values":{"active_share":0.5}},{"row_id":"a05","values":{"active_share":0.47}},{"row_id":"a06","values":{"active_share":0.45}},{"row_id":"a07","values":{"active_share":0.43}},{"row_id":"a08","values":{"active_share":0.41}},{"row_id":"a09","values":{"active_share":0.39}},{"row_id":"a10","values":{"active_share":0.38}},{"row_id":"a11","values":{"active_share":0.37}},{"row_id":"a12","values":{"active_share":0.36}},{"row_id":"a13","values":{"active_share":0.3575}},{"row_id":"a14","values":{"active_share":0.355}},{"row_id":"a15","values":{"active_share":0.3525}},{"row_id":"a16","values":{"active_share":0.35}},{"row_id":"a17","values":{"active_share":0.3475}},{"row_id":"a18","values":{"active_share":0.345}},{"row_id":"a19","values":{"active_share":0.3425}},{"row_id":"a20","values":{"active_share":0.34}},{"row_id":"a21","values":{"active_share":0.3375}},{"row_id":"a22","values":{"active_share":0.335}},{"row_id":"a23","values":{"active_share":0.3325}},{"row_id":"a24","values":{"active_share":0.33}},{"row_id":"a25","values":{"active_share":0.3245}},{"row_id":"a26","values":{"active_share":0.319}},{"row_id":"a27","values":{"active_share":0.3135}},{"row_id":"a28","values":{"active_share":0.308}},{"row_id":"a29","values":{"active_share":0.305}},{"row_id":"a30","values":{"active_share":0.302}},{"row_id":"a31","values":{"active_share":0.299}},{"row_id":"a32","values":{"active_share":0.296}},{"row_id":"a33","values":{"active_share":0.293}},{"row_id":"a34","values":{"active_share":0.29}},{"row_id":"a35","values":{"active_share":0.287}},{"row_id":"a36","values":{"active_share":0.284}},{"row_id":"a37","values":{"active_share":0.281}},{"row_id":"a38","values":{"active_share":0.278}},{"row_id":"a39","values":{"active_share":0.275}},{"row_id":"a40","values":{"active_share":0.272}},{"row_id":"a41","values":{"active_share":0.269}},{"row_id":"a42","values":{"active_share":0.266}},{"row_id":"a43","values":{"active_share":0.263}},{"row_id":"a44","values":{"active_share":0.26}},{"row_id":"a45","values":{"active_share":0.257}},{"row_id":"a46","values":{"active_share":0.254}},{"row_id":"a47","values":{"active_share":0.251}},{"row_id":"a48","values":{"active_share":0.248}},{"row_id":"a49","values":{"active_share":0.245}},{"row_id":"a50","values":{"active_share":0.242}},{"row_id":"a51","values":{"active_share":0.239}},{"row_id":"a52","values":{"active_share":0.236}},{"row_id":"a53","values":{"active_share":0.233}},{"row_id":"a54","values":{"active_share":0.23}},{"row_id":"a55","values":{"active_share":0.227}},{"row_id":"a56","values":{"active_share":0.224}},{"row_id":"a57","values":{"active_share":0.221}},{"row_id":"a58","values":{"active_share":0.218}},{"row_id":"a59","values":{"active_share":0.215}}]},{"table_id":"TBL.PPL.RV","columns":[{"id":"total_rate","unit":"fraction","value_type":"number"}],"rows":[{"row_id":"2027","values":{"total_rate":0.186}},{"row_id":"2028","values":{"total_rate":0.199}},{"row_id":"2029","values":{"total_rate":0.199}},{"row_id":"2030","values":{"total_rate":0.199}},{"row_id":"2031","values":{"total_rate":0.199}}]},{"table_id":"TBL.PPL.CEIL_RV","columns":[{"id":"ceiling","unit":"EUR_per_month","value_type":"number"}],"rows":[{"row_id":"2027","values":{"ceiling":8850}},{"row_id":"2028","values":{"ceiling":9204}},{"row_id":"2029","values":{"ceiling":9572.16}},{"row_id":"2030","values":{"ceiling":9955.0464}},{"row_id":"2031","values":{"ceiling":10353.248256}}]},{"table_id":"TBL.PPL.CEIL_KV","columns":[{"id":"ceiling","unit":"EUR_per_month","value_type":"number"}],"rows":[{"row_id":"2027","values":{"ceiling":6375}},{"row_id":"2028","values":{"ceiling":6630}},{"row_id":"2029","values":{"ceiling":6895.2}},{"row_id":"2030","values":{"ceiling":7171.008}},{"row_id":"2031","values":{"ceiling":7457.84832}}]},{"table_id":"X.STREAM_MODE","columns":[{"id":"value","unit":"text","value_type":"string"}],"rows":[{"row_id":"R1","values":{"value":"present"}},{"row_id":"R2","values":{"value":"present"}},{"row_id":"R3","values":{"value":"present"}},{"row_id":"R7","values":{"value":"present"}}]},{"table_id":"X.STOP_MONTH","columns":[{"id":"value","unit":"month_index","value_type":"number_or_null"}],"rows":[{"row_id":"R1","values":{"value":null}},{"row_id":"R2","values":{"value":null}},{"row_id":"R3","values":{"value":null}},{"row_id":"R7","values":{"value":null}}]}],"funding_events":[{"event_id":"INITIAL.P01","event_type":"initial_equity","month":1,"cash_eur":12500,"pre_money_eur":null,"holder_id":"FOUNDER_P01","related_group_id":"GROUP.FOUNDER_P01","commitment_status":"planned","commitment_date":null,"signing_month":null,"mapping_id":"MAP.EQUITY.INITIAL"},{"event_id":"INITIAL.P02","event_type":"initial_equity","month":1,"cash_eur":12500,"pre_money_eur":null,"holder_id":"FOUNDER_P02","related_group_id":"GROUP.FOUNDER_P02","commitment_status":"planned","commitment_date":null,"signing_month":null,"mapping_id":"MAP.EQUITY.INITIAL"},{"event_id":"NOTE","event_type":"note","month":1,"cash_eur":1000000,"pre_money_eur":null,"holder_id":"NOTEHOLDER","related_group_id":"GROUP.NOTEHOLDER","commitment_status":"planned","commitment_date":null,"signing_month":null,"mapping_id":"MAP.NOTE.FUND"},{"event_id":"SEED","event_type":"seed","month":8,"cash_eur":4000000,"pre_money_eur":8000000,"holder_id":"SEED_INVESTOR","related_group_id":"GROUP.SEED_INVESTOR","commitment_status":"planned","commitment_date":null,"signing_month":null,"mapping_id":"MAP.EQUITY.SEED"},{"event_id":"SERIES_A","event_type":"series_a","month":19,"cash_eur":12000000,"pre_money_eur":20000000,"holder_id":"A_INVESTOR","related_group_id":"GROUP.A_INVESTOR","commitment_status":"planned","commitment_date":null,"signing_month":15,"mapping_id":"MAP.EQUITY.SERIES_A"}],"as_of_date":"2027-06-30"},"headcount":{"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13.10.2026","data_version":"CR02-2026-10-13-v1","version":"budget","scenario":"all","currency":"EUR","model_start":"2027-01-01","horizon_months":60,"cutoff_date":null,"frozen_on":"2026-10-13","fictional":true},"people":[{"person_id":"P01","title":"CEO, founder, managing director","cost_centre":"MGMT","country":"DE","start_month":1,"end_month":null,"fte":1,"founder":true,"salary_base_year":2026,"annual_salary_eur_2026":63000,"annual_raise_fraction":0.035,"sv_status":"exempt_managing_shareholder","recruiting":"none","equipment_eur":2500,"software_eur_month":450,"salary_events":[{"event_id":"P01.SEED","trigger":{"type":"funding_event","event_id":"SEED"},"annual_salary_eur_2026":85000},{"event_id":"P01.A","trigger":{"type":"funding_event","event_id":"SERIES_A"},"annual_salary_eur_2026":115000}],"status_events":[{"event_id":"P01.EMPLOYEE","trigger":{"type":"funding_event","event_id":"SERIES_A"},"sv_status":"employee"}],"fte_events":[],"classification":{"recurrence":"recurring","commitment":"committed","behaviour":"fixed"},"mapping_ids":["MAP.PAYROLL.SALARY.MGMT","MAP.PAYROLL.RV.MGMT","MAP.PAYROLL.AV.MGMT","MAP.PAYROLL.KV.MGMT","MAP.PAYROLL.PV.MGMT","MAP.PAYROLL.U1.MGMT","MAP.PAYROLL.U2.MGMT","MAP.PAYROLL.INSOLV.MGMT","MAP.PAYROLL.BG.MGMT","MAP.CAPEX.PPL.EQUIP.MGMT","MAP.COST.RC.PPL.SW.MGMT","MAP.COST.PPL.RECRUIT.MGMT","MAP.DEPR.IT.MGMT"],"evidence":{"provenance":"IA","source_ids":["SRC.S2.P01","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contract"}},{"person_id":"P02","title":"CTO, founder, managing director","cost_centre":"ENG","country":"DE","start_month":1,"end_month":null,"fte":1,"founder":true,"salary_base_year":2026,"annual_salary_eur_2026":63000,"annual_raise_fraction":0.035,"sv_status":"exempt_managing_shareholder","recruiting":"none","equipment_eur":2500,"software_eur_month":450,"salary_events":[{"event_id":"P02.SEED","trigger":{"type":"funding_event","event_id":"SEED"},"annual_salary_eur_2026":85000},{"event_id":"P02.A","trigger":{"type":"funding_event","event_id":"SERIES_A"},"annual_salary_eur_2026":115000}],"status_events":[{"event_id":"P02.EMPLOYEE","trigger":{"type":"funding_event","event_id":"SERIES_A"},"sv_status":"employee"}],"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02","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contract"}},{"person_id":"P03","title":"Senior backend engineer","cost_centre":"ENG","country":"DE","start_month":1,"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contract"}},{"person_id":"P04","title":"Senior backend engineer","cost_centre":"ENG","country":"DE","start_month":2,"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04","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contract"}},{"person_id":"P05","title":"Mobile engineer","cost_centre":"ENG","country":"DE","start_month":3,"end_month":null,"fte":1,"founder":false,"salary_base_year":2026,"annual_salary_eur_2026":80000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05","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contract"}},{"person_id":"P06","title":"Head of compliance","cost_centre":"COMP","country":"DE","start_month":4,"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06","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contract"}},{"person_id":"P07","title":"Product designer","cost_centre":"PROD","country":"DE","start_month":4,"end_month":null,"fte":1,"founder":false,"salary_base_year":2026,"annual_salary_eur_2026":70000,"annual_raise_fraction":0.035,"sv_status":"employee","recruiting":"blended","equipment_eur":2500,"software_eur_month":450,"salary_events":[],"status_events":[],"fte_events":[],"classification":{"recurrence":"recurring","commitment":"committed","behaviour":"fixed"},"mapping_ids":["MAP.PAYROLL.SALARY.PROD","MAP.PAYROLL.RV.PROD","MAP.PAYROLL.AV.PROD","MAP.PAYROLL.KV.PROD","MAP.PAYROLL.PV.PROD","MAP.PAYROLL.U1.PROD","MAP.PAYROLL.U2.PROD","MAP.PAYROLL.INSOLV.PROD","MAP.PAYROLL.BG.PROD","MAP.CAPEX.PPL.EQUIP.PROD","MAP.COST.RC.PPL.SW.PROD","MAP.COST.PPL.RECRUIT.PROD","MAP.DEPR.IT.PROD"],"evidence":{"provenance":"IA","source_ids":["SRC.S2.P07","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contract"}},{"person_id":"P08","title":"Frontend engineer","cost_centre":"ENG","country":"DE","start_month":5,"end_month":null,"fte":1,"founder":false,"salary_base_year":2026,"annual_salary_eur_2026":80000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08","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contract"}},{"person_id":"P10","title":"Performance-marketing manager","cost_centre":"MKT","country":"DE","start_month":8,"end_month":null,"fte":1,"founder":false,"salary_base_year":2026,"annual_salary_eur_2026":60000,"annual_raise_fraction":0.035,"sv_status":"employee","recruiting":"blended","equipment_eur":2500,"software_eur_month":450,"salary_events":[],"status_events":[],"fte_events":[],"classification":{"recurrence":"recurring","commitment":"committed","behaviour":"fixed"},"mapping_ids":["MAP.PAYROLL.SALARY.MKT","MAP.PAYROLL.RV.MKT","MAP.PAYROLL.AV.MKT","MAP.PAYROLL.KV.MKT","MAP.PAYROLL.PV.MKT","MAP.PAYROLL.U1.MKT","MAP.PAYROLL.U2.MKT","MAP.PAYROLL.INSOLV.MKT","MAP.PAYROLL.BG.MKT","MAP.CAPEX.PPL.EQUIP.MKT","MAP.COST.RC.PPL.SW.MKT","MAP.COST.PPL.RECRUIT.MKT","MAP.DEPR.IT.MKT"],"evidence":{"provenance":"IA","source_ids":["SRC.S2.P10","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contract"}},{"person_id":"P11","title":"Community and trader-relations manager","cost_centre":"MKT","country":"DE","start_month":8,"end_month":null,"fte":1,"founder":false,"salary_base_year":2026,"annual_salary_eur_2026":50000,"annual_raise_fraction":0.035,"sv_status":"employee","recruiting":"blended","equipment_eur":2500,"software_eur_month":450,"salary_events":[],"status_events":[],"fte_events":[],"classification":{"recurrence":"recurring","commitment":"committed","behaviour":"fixed"},"mapping_ids":["MAP.PAYROLL.SALARY.MKT","MAP.PAYROLL.RV.MKT","MAP.PAYROLL.AV.MKT","MAP.PAYROLL.KV.MKT","MAP.PAYROLL.PV.MKT","MAP.PAYROLL.U1.MKT","MAP.PAYROLL.U2.MKT","MAP.PAYROLL.INSOLV.MKT","MAP.PAYROLL.BG.MKT","MAP.CAPEX.PPL.EQUIP.MKT","MAP.COST.RC.PPL.SW.MKT","MAP.COST.PPL.RECRUIT.MKT","MAP.DEPR.IT.MKT"],"evidence":{"provenance":"IA","source_ids":["SRC.S2.P11","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contract"}},{"person_id":"P12","title":"AML officer","cost_centre":"COMP","country":"DE","start_month":9,"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12","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contract"}},{"person_id":"P13","title":"DevOps / SRE","cost_centre":"ENG","country":"DE","start_month":9,"end_month":null,"fte":1,"founder":false,"salary_base_year":2026,"annual_salary_eur_2026":82000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13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contract"}},{"person_id":"P14","title":"Customer-support lead","cost_centre":"SUP","country":"DE","start_month":10,"end_month":null,"fte":1,"founder":false,"salary_base_year":2026,"annual_salary_eur_2026":45000,"annual_raise_fraction":0.035,"sv_status":"employee","recruiting":"blended","equipment_eur":2500,"software_eur_month":450,"salary_events":[],"status_events":[],"fte_events":[],"classification":{"recurrence":"recurring","commitment":"committed","behaviour":"fixed"},"mapping_ids":["MAP.PAYROLL.SALARY.SUP","MAP.PAYROLL.RV.SUP","MAP.PAYROLL.AV.SUP","MAP.PAYROLL.KV.SUP","MAP.PAYROLL.PV.SUP","MAP.PAYROLL.U1.SUP","MAP.PAYROLL.U2.SUP","MAP.PAYROLL.INSOLV.SUP","MAP.PAYROLL.BG.SUP","MAP.CAPEX.PPL.EQUIP.SUP","MAP.COST.RC.PPL.SW.SUP","MAP.COST.PPL.RECRUIT.SUP","MAP.DEPR.IT.SUP"],"evidence":{"provenance":"IA","source_ids":["SRC.S2.P14","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contract"}},{"person_id":"P17","title":"Finance manager","cost_centre":"FIN","country":"DE","start_month":13,"end_month":null,"fte":1,"founder":false,"salary_base_year":2026,"annual_salary_eur_2026":70000,"annual_raise_fraction":0.035,"sv_status":"employee","recruiting":"blended","equipment_eur":2500,"software_eur_month":450,"salary_events":[],"status_events":[],"fte_events":[],"classification":{"recurrence":"recurring","commitment":"committed","behaviour":"fixed"},"mapping_ids":["MAP.PAYROLL.SALARY.FIN","MAP.PAYROLL.RV.FIN","MAP.PAYROLL.AV.FIN","MAP.PAYROLL.KV.FIN","MAP.PAYROLL.PV.FIN","MAP.PAYROLL.U1.FIN","MAP.PAYROLL.U2.FIN","MAP.PAYROLL.INSOLV.FIN","MAP.PAYROLL.BG.FIN","MAP.CAPEX.PPL.EQUIP.FIN","MAP.COST.RC.PPL.SW.FIN","MAP.COST.PPL.RECRUIT.FIN","MAP.DEPR.IT.FIN"],"evidence":{"provenance":"IA","source_ids":["SRC.S2.P17","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contract"}},{"person_id":"P23","title":"Risk manager","cost_centre":"COMP","country":"DE","start_month":19,"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23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contract"}},{"person_id":"P25","title":"B2B sales manager","cost_centre":"SALES","country":"DE","start_month":24,"end_month":null,"fte":1,"founder":false,"salary_base_year":2026,"annual_salary_eur_2026":65000,"annual_raise_fraction":0.035,"sv_status":"employee","recruiting":"blended","equipment_eur":2500,"software_eur_month":450,"salary_events":[],"status_events":[],"fte_events":[],"classification":{"recurrence":"recurring","commitment":"committed","behaviour":"fixed"},"mapping_ids":["MAP.PAYROLL.SALARY.SALES","MAP.PAYROLL.RV.SALES","MAP.PAYROLL.AV.SALES","MAP.PAYROLL.KV.SALES","MAP.PAYROLL.PV.SALES","MAP.PAYROLL.U1.SALES","MAP.PAYROLL.U2.SALES","MAP.PAYROLL.INSOLV.SALES","MAP.PAYROLL.BG.SALES","MAP.CAPEX.PPL.EQUIP.SALES","MAP.COST.RC.PPL.SW.SALES","MAP.COST.PPL.RECRUIT.SALES","MAP.DEPR.IT.SALES"],"evidence":{"provenance":"IA","source_ids":["SRC.S2.P25","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contract"}}]},"opex_lines":{"meta":{"schema_version":"Kit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13.10.2026","data_version":"CR02-2026-10-13-v1","version":"budget","scenario":"all","currency":"EUR","model_start":"2027-01-01","horizon_months":60,"cutoff_date":null,"frozen_on":"2026-10-13","fictional":true},"lines":[{"line_id":"OPX.DESK","label":"Coworking while current FTE is at most 30","owner_schedule":"Opex","output_row_id":"OPX.DESK","nature":"operating_expense","cost_centre":"CORP","account_id":"GL.OPEX.OPX.DESK","mapping_id":"MAP.COST.OPX.DESK","vendor_id":"UNKNOWN_FORECAST","stream":"CORPORATE","driver":"SCHEDULE","amount_input_id":"OPX.DESK","unit":"EUR_per_person","price_basis":"net","start_month":1,"end_month":null,"activation":"calendar","annual_indexation_fraction":0,"tax_code":"DE_IN19","invoice_rule":"service_month","payment_rule":"next_month","classification":{"recurrence":"recurring","commitment":"committed","behaviour":"fixed"},"gewst_class":"property_rent","prudential_deduction_category":"none","contingency_included":true,"evidence":{"provenance":"IA","source_ids":["SRC.S2.OPX.DESK","SRC.GC.SECTION_5","SRC.S5.R-025"],"rationale":"All scenarios inherit this cost line and resolve OPX.DESK through its explicit scenario rule. Calculation rule R-025 supplies the complete formula, units and timing. This inventory never adds a second posting to its named owner.","policy_ids":["P05"],"checked_on":"2026-10-12","verify":true,"owner":"Model author","refresh_trigger":"New model release"}},{"line_id":"OPX.OFFICE","label":"Office at 590 EUR per current FTE above 30","owner_schedule":"Opex","output_row_id":"OPX.OFFICE","nature":"operating_expense","cost_centre":"CORP","account_id":"GL.OPEX.OPX.OFFICE","mapping_id":"MAP.COST.OPX.OFFICE","vendor_id":"UNKNOWN_FORECAST","stream":"CORPORATE","driver":"PER_FTE","amount_input_id":"OPX.OFFICE","unit":"EUR_per_person","price_basis":"net","start_month":1,"end_month":null,"activation":"fte_gt_30","annual_indexation_fraction":0,"tax_code":"DE_IN19","invoice_rule":"service_month","payment_rule":"next_month","classification":{"recurrence":"recurring","commitment":"committed","behaviour":"fixed"},"gewst_class":"property_rent","prudential_deduction_category":"none","contingency_included":true,"evidence":{"provenance":"IA","source_ids":["SRC.S2.OPX.OFFICE","SRC.GC.SECTION_5","SRC.S5.R-025"],"rationale":"All scenarios inherit this cost line and resolve OPX.OFFICE through its explicit scenario rule. Calculation rule R-025 supplies the complete formula, units and timing. This inventory never adds a second posting to its named owner.","policy_ids":["P05"],"checked_on":"2026-10-12","verify":true,"owner":"Model author","refresh_trigger":"New model release"}},{"line_id":"OPX.FITOUT","label":"One fit-out when FTE first exceeds 30","owner_schedule":"Capex","output_row_id":"CAP.FITOUT_ADDITIONS","nature":"capex","cost_centre":"CORP","account_id":"GL.ASSET.FITOUT","mapping_id":"MAP.CAPEX.OPX.FITOUT","vendor_id":"UNKNOWN_FORECAST","stream":"CORPORATE","driver":"SCHEDULE","amount_input_id":"OPX.FITOUT","unit":"EUR","price_basis":"net","start_month":1,"end_month":null,"activation":"fte_gt_30","annual_indexation_fraction":0,"tax_code":"DE_IN19","invoice_rule":"event_month","payment_rule":"next_month","classification":{"recurrence":"one_off","commitment":"committed","behaviour":"fixed"},"gewst_class":"none","prudential_deduction_category":"none","contingency_included":false,"evidence":{"provenance":"IA","source_ids":["SRC.S2.OPX.FITOUT","SRC.S5.R-029"],"rationale":"All scenarios inherit this cost line and resolve OPX.FITOUT through its explicit scenario rule. Calculation rule R-029 supplies the complete formula, units and timing. This inventory never adds a second posting to its named owner.","policy_ids":["P05"],"checked_on":"2026-10-12","verify":true,"owner":"Model author","refresh_trigger":"New model release"}},{"line_id":"OPX.BRAND","label":"Brand and public relations by calendar month","owner_schedule":"Opex","output_row_id":"OPX.BRAND","nature":"operating_expense","cost_centre":"MKT","account_id":"GL.OPEX.OPX.BRAND","mapping_id":"MAP.COST.OPX.BRAND","vendor_id":"UNKNOWN_FORECAST","stream":"CORPORATE","driver":"PROFILE","amount_input_id":"OPX.BRAND","unit":"EUR_per_month","price_basis":"net","start_month":1,"end_month":null,"activation":"launch","annual_indexation_fraction":0,"tax_code":"DE_IN19","invoice_rule":"service_month","payment_rule":"next_month","classification":{"recurrence":"recurring","commitment":"discretionary","behaviour":"fixed"},"gewst_class":"none","prudential_deduction_category":"none","contingency_included":false,"evidence":{"provenance":"IA","source_ids":["SRC.S2.OPX.BRAND","SRC.S5.R-025"],"rationale":"All scenarios inherit this cost line and resolve OPX.BRAND through its explicit scenario rule. Calculation rule R-025 supplies the complete formula, units and timing. This inventory never adds a second posting to its named owner.","policy_ids":["P05"],"checked_on":"2026-10-12","verify":true,"owner":"Model author","refresh_trigger":"New model release"}},{"line_id":"OPX.CONTEST","label":"Community lead-trader contests","owner_schedule":"Opex","output_row_id":"OPX.CONTEST","nature":"operating_expense","cost_centre":"MKT","account_id":"GL.OPEX.OPX.CONTEST","mapping_id":"MAP.COST.OPX.CONTEST","vendor_id":"UNKNOWN_FORECAST","stream":"CORPORATE","driver":"FIXED","amount_input_id":"OPX.CONTEST","unit":"EUR","price_basis":"net","start_month":1,"end_month":null,"activation":"launch","annual_indexation_fraction":0,"tax_code":"NONE","invoice_rule":"service_month","payment_rule":"next_month","classification":{"recurrence":"recurring","commitment":"discretionary","behaviour":"fixed"},"gewst_class":"none","prudential_deduction_category":"none","contingency_included":false,"evidence":{"provenance":"IA","source_ids":["SRC.S2.OPX.CONTEST","SRC.S5.R-025"],"rationale":"All scenarios inherit this cost line and resolve OPX.CONTEST through its explicit scenario rule. Calculation rule R-025 supplies the complete formula, units and timing. This inventory never adds a second posting to its named owner.","policy_ids":["P05"],"checked_on":"2026-10-12","verify":true,"owner":"Model author","refresh_trigger":"New model release"}},{"line_id":"OPX.REFERRAL","label":"Referral bonuses, both sides","owner_schedule":"Opex","output_row_id":"OPX.REFERRAL","nature":"operating_expense","cost_centre":"MKT","account_id":"GL.OPEX.OPX.REFERRAL","mapping_id":"MAP.COST.OPX.REFERRAL","vendor_id":"UNKNOWN_FORECAST","stream":"CORPORATE","driver":"SCHEDULE","amount_input_id":"OPX.REFERRAL","unit":"EUR","price_basis":"net","start_month":1,"end_month":null,"activation":"launch","annual_indexation_fraction":0,"tax_code":"NONE","invoice_rule":"service_month","payment_rule":"next_month","classification":{"recurrence":"recurring","commitment":"discretionary","behaviour":"variable"},"gewst_class":"none","prudential_deduction_category":"none","contingency_included":false,"evidence":{"provenance":"IA","source_ids":["SRC.S2.OPX.REFERRAL","SRC.S5.R-025"],"rationale":"All scenarios inherit this cost line and resolve OPX.REFERRAL through its explicit scenario rule. Calculation rule R-025 supplies the complete formula, units and timing. This inventory never adds a second posting to its named owner.","policy_ids":["P05"],"checked_on":"2026-10-12","verify":true,"owner":"Model author","refresh_trigger":"New model release"}},{"line_id":"OPX.BOOKKEEP","label":"Bookkeeping, payroll administration and fractional CFO/HR services","owner_schedule":"Opex","output_row_id":"OPX.BOOKKEEP","nature":"operating_expense","cost_centre":"FIN","account_id":"GL.OPEX.OPX.BOOKKEEP","mapping_id":"MAP.COST.OPX.BOOKKEEP","vendor_id":"UNKNOWN_FORECAST","stream":"CORPORATE","driver":"PROFILE","amount_input_id":"OPX.BOOKKEEP","unit":"EUR_per_month","price_basis":"net","start_month":1,"end_month":null,"activation":"calendar","annual_indexation_fraction":0,"tax_code":"DE_IN19","invoice_rule":"service_month","payment_rule":"next_month","classification":{"recurrence":"recurring","commitment":"committed","behaviour":"fixed"},"gewst_class":"none","prudential_deduction_category":"none","contingency_included":true,"evidence":{"provenance":"IA","source_ids":["SRC.S2.OPX.BOOKKEEP","SRC.GC.SECTION_6","SRC.S5.R-025"],"rationale":"All scenarios inherit this cost line and resolve OPX.BOOKKEEP through its explicit scenario rule. Calculation rule R-025 supplies the complete formula, units and timing. This inventory never adds a second posting to its named owner.","policy_ids":["P05"],"checked_on":"2026-10-12","verify":true,"owner":"Model author","refresh_trigger":"New model release"}},{"line_id":"OPX.PAYROLL","label":"Payroll service per current FTE","owner_schedule":"Opex","output_row_id":"OPX.PAYROLL","nature":"operating_expense","cost_centre":"FIN","account_id":"GL.OPEX.OPX.PAYROLL","mapping_id":"MAP.COST.OPX.PAYROLL","vendor_id":"UNKNOWN_FORECAST","stream":"CORPORATE","driver":"PER_FTE","amount_input_id":"OPX.PAYROLL","unit":"EUR_per_person","price_basis":"net","start_month":1,"end_month":null,"activation":"calendar","annual_indexation_fraction":0,"tax_code":"DE_IN19","invoice_rule":"service_month","payment_rule":"next_month","classification":{"recurrence":"recurring","commitment":"committed","behaviour":"fixed"},"gewst_class":"none","prudential_deduction_category":"none","contingency_included":true,"evidence":{"provenance":"IA","source_ids":["SRC.S2.OPX.PAYROLL","SRC.GC.SECTION_6","SRC.S5.R-025"],"rationale":"All scenarios inherit this cost line and resolve OPX.PAYROLL through its explicit scenario rule. Calculation rule R-025 supplies the complete formula, units and timing. This inventory never adds a second posting to its named owner.","policy_ids":["P05"],"checked_on":"2026-10-12","verify":true,"owner":"Model author","refresh_trigger":"New model release"}},{"line_id":"OPX.ACCOUNTS","label":"December accounts accrual; following March invoice/payment","owner_schedule":"Opex","output_row_id":"OPX.ACCOUNTS","nature":"operating_expense","cost_centre":"FIN","account_id":"GL.OPEX.OPX.ACCOUNTS","mapping_id":"MAP.ACCOUNTS.ACCRUE","vendor_id":"UNKNOWN_FORECAST","stream":"CORPORATE","driver":"SCHEDULE","amount_input_id":"OPX.ACCOUNTS","unit":"EUR_per_month","price_basis":"net","start_month":1,"end_month":null,"activation":"calendar","annual_indexation_fraction":0,"tax_code":"DE_IN19","invoice_rule":"march_after_december","payment_rule":"march_after_december","classification":{"recurrence":"recurring","commitment":"committed","behaviour":"fixed"},"gewst_class":"none","prudential_deduction_category":"none","contingency_included":true,"evidence":{"provenance":"IA","source_ids":["SRC.S2.OPX.ACCOUNTS","SRC.GC.SECTION_6","SRC.S5.R-026"],"rationale":"All scenarios inherit this cost line and resolve OPX.ACCOUNTS through its explicit scenario rule. Calculation rule R-026 supplies the complete formula, units and timing. This inventory never adds a second posting to its named owner.","policy_ids":["P05"],"checked_on":"2026-10-12","verify":true,"owner":"Model author","refresh_trigger":"New model release"}},{"line_id":"OPX.FOUNDING.REGISTER","label":"Founding register fee component","owner_schedule":"Opex","output_row_id":"OPX.FOUNDING.REGISTER","nature":"operating_expense","cost_centre":"FIN","account_id":"GL.OPEX.OPX.FOUNDING.REGISTER","mapping_id":"MAP.COST.OPX.FOUNDING.REGISTER","vendor_id":"UNKNOWN_FORECAST","stream":"CORPORATE","driver":"SCHEDULE","amount_input_id":"X.FOUNDING_REGISTER_GROSS","unit":"EUR","price_basis":"net","start_month":1,"end_month":1,"activation":"calendar","annual_indexation_fraction":0,"tax_code":"NONE","invoice_rule":"event_month","payment_rule":"next_month","classification":{"recurrence":"one_off","commitment":"committed","behaviour":"fixed"},"gewst_class":"none","prudential_deduction_category":"none","contingency_included":true,"evidence":{"provenance":"IA","source_ids":["SRC.T03","SRC.S5.R-050","SRC.S5.R-026"],"rationale":"All scenarios inherit this cost line and resolve X.FOUNDING_REGISTER_GROSS through its explicit scenario rule. Calculation rule R-026 supplies the complete formula, units and timing. This inventory never adds a second posting to its named owner.","policy_ids":["P05"],"checked_on":"2026-10-12","verify":true,"owner":"Model author","refresh_trigger":"New model release"}},{"line_id":"OPX.FOUNDING.NOTARY","label":"Founding notary: total founding gross less register","owner_schedule":"Opex","output_row_id":"OPX.FOUNDING.NOTARY","nature":"operating_expense","cost_centre":"FIN","account_id":"GL.OPEX.OPX.FOUNDING.NOTARY","mapping_id":"MAP.COST.OPX.FOUNDING.NOTARY","vendor_id":"UNKNOWN_FORECAST","stream":"CORPORATE","driver":"SCHEDULE","amount_input_id":"OPX.FOUNDING","unit":"EUR","price_basis":"gross","start_month":1,"end_month":1,"activation":"calendar","annual_indexation_fraction":0,"tax_code":"DE_IN19","invoice_rule":"event_month","payment_rule":"next_month","classification":{"recurrence":"one_off","commitment":"committed","behaviour":"fixed"},"gewst_class":"none","prudential_deduction_category":"none","contingency_included":true,"evidence":{"provenance":"IA","source_ids":["SRC.S2.OPX.FOUNDING","SRC.GC.SECTION_6","SRC.S5.R-026"],"rationale":"All scenarios inherit this cost line and resolve OPX.FOUNDING through its explicit scenario rule. Calculation rule R-026 supplies the complete formula, units and timing. This inventory never adds a second posting to its named owner.","policy_ids":["P05"],"checked_on":"2026-10-12","verify":true,"owner":"Model author","refresh_trigger":"New model release"}},{"line_id":"OPX.IHK","label":"Annual chamber, filing and register allowance / 12","owner_schedule":"Opex","output_row_id":"OPX.IHK","nature":"operating_expense","cost_centre":"CORP","account_id":"GL.OPEX.OPX.IHK","mapping_id":"MAP.COST.OPX.IHK","vendor_id":"UNKNOWN_FORECAST","stream":"CORPORATE","driver":"SCHEDULE","amount_input_id":"OPX.IHK","unit":"EUR","price_basis":"net","start_month":1,"end_month":null,"activation":"calendar","annual_indexation_fraction":0,"tax_code":"NONE","invoice_rule":"service_month","payment_rule":"next_month","classification":{"recurrence":"recurring","commitment":"committed","behaviour":"fixed"},"gewst_class":"none","prudential_deduction_category":"none","contingency_included":true,"evidence":{"provenance":"IA","source_ids":["SRC.S2.OPX.IHK","SRC.GC.SECTION_6","SRC.S5.R-025"],"rationale":"All scenarios inherit this cost line and resolve OPX.IHK through its explicit scenario rule. Calculation rule R-025 supplies the complete formula, units and timing. This inventory never adds a second posting to its named owner.","policy_ids":["P05"],"checked_on":"2026-10-12","verify":true,"owner":"Model author","refresh_trigger":"New model release"}},{"line_id":"OPX.INS_PRE","label":"Pre-licence insurance until month before resolved licence","owner_schedule":"Opex","output_row_id":"OPX.INS_PRE","nature":"operating_expense","cost_centre":"CORP","account_id":"GL.OPEX.OPX.INS_PRE","mapping_id":"MAP.COST.OPX.INS_PRE","vendor_id":"UNKNOWN_FORECAST","stream":"CORPORATE","driver":"SCHEDULE","amount_input_id":"OPX.INS_PRE","unit":"EUR","price_basis":"net","start_month":1,"end_month":null,"activation":"calendar","annual_indexation_fraction":0,"tax_code":"NONE","invoice_rule":"service_month","payment_rule":"next_month","classification":{"recurrence":"recurring","commitment":"committed","behaviour":"fixed"},"gewst_class":"none","prudential_deduction_category":"none","contingency_included":true,"evidence":{"provenance":"IA","source_ids":["SRC.S2.OPX.INS_PRE","SRC.GC.SECTION_6","SRC.S5.R-025"],"rationale":"All scenarios inherit this cost line and resolve OPX.INS_PRE through its explicit scenario rule. Calculation rule R-025 supplies the complete formula, units and timing. This inventory never adds a second posting to its named owner.","policy_ids":["P05"],"checked_on":"2026-10-12","verify":true,"owner":"Model author","refresh_trigger":"New model release"}},{"line_id":"OPX.ROUND_COSTS.SEED","label":"SEED round legal and notary costs","owner_schedule":"Opex","output_row_id":"OPX.ROUND_COSTS.SEED","nature":"operating_expense","cost_centre":"FIN","account_id":"GL.OPEX.OPX.ROUND_COSTS.SEED","mapping_id":"MAP.COST.OPX.ROUND_COSTS.SEED","vendor_id":"UNKNOWN_FORECAST","stream":"CORPORATE","driver":"SCHEDULE","amount_input_id":"OPX.ROUND_COSTS.SEED","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S2.OPX.ROUND_COSTS","SRC.GC.SECTION_6","SRC.S5.R-026"],"rationale":"All scenarios inherit this cost line and resolve OPX.ROUND_COSTS.SEED through its explicit scenario rule. Calculation rule R-026 supplies the complete formula, units and timing. This inventory never adds a second posting to its named owner.","policy_ids":["P05"],"checked_on":"2026-10-12","verify":true,"owner":"Model author","refresh_trigger":"New model release"}},{"line_id":"OPX.ROUND_COSTS.A","label":"A round legal and notary costs","owner_schedule":"Opex","output_row_id":"OPX.ROUND_COSTS.A","nature":"operating_expense","cost_centre":"FIN","account_id":"GL.OPEX.OPX.ROUND_COSTS.A","mapping_id":"MAP.COST.OPX.ROUND_COSTS.A","vendor_id":"UNKNOWN_FORECAST","stream":"CORPORATE","driver":"SCHEDULE","amount_input_id":"OPX.ROUND_COSTS.A","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S2.OPX.ROUND_COSTS","SRC.GC.SECTION_6","SRC.S5.R-026"],"rationale":"All scenarios inherit this cost line and resolve OPX.ROUND_COSTS.A through its explicit scenario rule. Calculation rule R-026 supplies the complete formula, units and timing. This inventory never adds a second posting to its named owner.","policy_ids":["P05"],"checked_on":"2026-10-12","verify":true,"owner":"Model author","refresh_trigger":"New model release"}},{"line_id":"OPX.MISC","label":"Travel, bank and miscellaneous costs","owner_schedule":"Opex","output_row_id":"OPX.MISC","nature":"operating_expense","cost_centre":"CORP","account_id":"GL.OPEX.OPX.MISC","mapping_id":"MAP.COST.OPX.MISC","vendor_id":"UNKNOWN_FORECAST","stream":"CORPORATE","driver":"FIXED","amount_input_id":"OPX.MISC","unit":"EUR","price_basis":"net","start_month":1,"end_month":null,"activation":"calendar","annual_indexation_fraction":0,"tax_code":"DE_IN19","invoice_rule":"service_month","payment_rule":"next_month","classification":{"recurrence":"recurring","commitment":"discretionary","behaviour":"fixed"},"gewst_class":"none","prudential_deduction_category":"none","contingency_included":true,"evidence":{"provenance":"IA","source_ids":["SRC.S2.OPX.MISC","SRC.S5.R-025"],"rationale":"All scenarios inherit this cost line and resolve OPX.MISC through its explicit scenario rule. Calculation rule R-025 supplies the complete formula, units and timing. This inventory never adds a second posting to its named owner.","policy_ids":["P05"],"checked_on":"2026-10-12","verify":true,"owner":"Model author","refresh_trigger":"New model release"}},{"line_id":"OPX.CONTINGENCY","label":"Five percent of the eligible Opex base (calculation rule R-028)","owner_schedule":"Opex","output_row_id":"OPX.CONTINGENCY","nature":"operating_expense","cost_centre":"CORP","account_id":"GL.OPEX.OPX.CONTINGENCY","mapping_id":"MAP.COST.OPX.CONTINGENCY","vendor_id":"UNKNOWN_FORECAST","stream":"CORPORATE","driver":"SCHEDULE","amount_input_id":"OPX.CONTINGENCY","unit":"fraction","price_basis":"net","start_month":1,"end_month":null,"activation":"calendar","annual_indexation_fraction":0,"tax_code":"DE_IN19","invoice_rule":"service_month","payment_rule":"next_month","classification":{"recurrence":"recurring","commitment":"discretionary","behaviour":"variable"},"gewst_class":"none","prudential_deduction_category":"none","contingency_included":false,"evidence":{"provenance":"IA","source_ids":["SRC.S2.OPX.CONTINGENCY","SRC.S5.R-028"],"rationale":"All scenarios inherit this cost line and resolve OPX.CONTINGENCY through its explicit scenario rule. Calculation rule R-028 supplies the complete formula, units and timing. This inventory never adds a second posting to its named owner.","policy_ids":["P05"],"checked_on":"2026-10-12","verify":true,"owner":"Model author","refresh_trigger":"New model release"}},{"line_id":"ACQ.SPEND","label":"Performance marketing","owner_schedule":"Opex","output_row_id":"OPX.MARKETING","nature":"operating_expense","cost_centre":"MKT","account_id":"GL.OPEX.ACQ.SPEND","mapping_id":"MAP.COST.ACQ.SPEND","vendor_id":"UNKNOWN_FORECAST","stream":"CORPORATE","driver":"PROFILE","amount_input_id":"ACQ.SPEND","unit":"EUR_per_month","price_basis":"net","start_month":1,"end_month":null,"activation":"calendar","annual_indexation_fraction":0,"tax_code":"DE_IN19","invoice_rule":"service_month","payment_rule":"next_month","classification":{"recurrence":"recurring","commitment":"discretionary","behaviour":"variable"},"gewst_class":"none","prudential_deduction_category":"none","contingency_included":false,"evidence":{"provenance":"IA","source_ids":["SRC.S2.ACQ.SPEND","SRC.S5.R-025"],"rationale":"All scenarios inherit this cost line and resolve ACQ.SPEND through its explicit scenario rule. Calculation rule R-025 supplies the complete formula, units and timing. This inventory never adds a second posting to its named owner.","policy_ids":["P05"],"checked_on":"2026-10-12","verify":true,"owner":"Model author","refresh_trigger":"New model release"}},{"line_id":"PPL.SW","label":"Employee software and AI tools per active FTE","owner_schedule":"Opex","output_row_id":"OPX.SOFTWARE","nature":"operating_expense","cost_centre":"CORP","account_id":"GL.OPEX.PPL.SW","mapping_id":"MAP.COST.RC.PPL.SW","vendor_id":"UNKNOWN_FORECAST","stream":"CORPORATE","driver":"SCHEDULE","amount_input_id":"PPL.SW","unit":"EUR_per_month","price_basis":"net","start_month":1,"end_month":null,"activation":"calendar","annual_indexation_fraction":0,"tax_code":"RC_IN19","invoice_rule":"service_month","payment_rule":"next_month","classification":{"recurrence":"recurring","commitment":"committed","behaviour":"fixed"},"gewst_class":"licence","prudential_deduction_category":"none","contingency_included":true,"evidence":{"provenance":"IA","source_ids":["SRC.S2.PPL.SW","SRC.GC.SECTION_5","SRC.S5.R-024"],"rationale":"All scenarios inherit this cost line and resolve PPL.SW through its explicit scenario rule. Calculation rule R-024 supplies the complete formula, units and timing. This inventory never adds a second posting to its named owner.","policy_ids":["P05"],"checked_on":"2026-10-12","verify":true,"owner":"Model author","refresh_trigger":"November/December 2026 payroll publication"}},{"line_id":"PPL.RECRUIT","label":"Blended recruitment on original nonfounder hire","owner_schedule":"Opex","output_row_id":"OPX.RECRUIT","nature":"operating_expense","cost_centre":"CORP","account_id":"GL.OPEX.PPL.RECRUIT","mapping_id":"MAP.COST.PPL.RECRUIT","vendor_id":"UNKNOWN_FORECAST","stream":"CORPORATE","driver":"SCHEDULE","amount_input_id":"PPL.RECRUIT.AGENCY_SHARE","unit":"fraction","price_basis":"net","start_month":1,"end_month":null,"activation":"hire","annual_indexation_fraction":0,"tax_code":"DE_IN19","invoice_rule":"service_month","payment_rule":"next_month","classification":{"recurrence":"one_off","commitment":"committed","behaviour":"variable"},"gewst_class":"none","prudential_deduction_category":"none","contingency_included":true,"evidence":{"provenance":"IA","source_ids":["SRC.S2.PPL.RECRUIT","SRC.GC.SECTION_5","SRC.S5.R-024"],"rationale":"All scenarios inherit this cost line and resolve PPL.RECRUIT.AGENCY_SHARE through its explicit scenario rule. Calculation rule R-024 supplies the complete formula, units and timing. This inventory never adds a second posting to its named owner.","policy_ids":["P05"],"checked_on":"2026-10-12","verify":true,"owner":"Model author","refresh_trigger":"November/December 2026 payroll publication"}},{"line_id":"PPL.EQUIP","label":"IT equipment at original hire and 48-month replacement","owner_schedule":"Capex","output_row_id":"CAP.IT_ADDITIONS","nature":"capex","cost_centre":"CORP","account_id":"GL.ASSET.IT","mapping_id":"MAP.CAPEX.PPL.EQUIP","vendor_id":"UNKNOWN_FORECAST","stream":"CORPORATE","driver":"SCHEDULE","amount_input_id":"PPL.EQUIP","unit":"EUR_per_person","price_basis":"net","start_month":1,"end_month":null,"activation":"hire","annual_indexation_fraction":0,"tax_code":"DE_IN19","invoice_rule":"event_month","payment_rule":"next_month","classification":{"recurrence":"one_off","commitment":"committed","behaviour":"fixed"},"gewst_class":"none","prudential_deduction_category":"none","contingency_included":false,"evidence":{"provenance":"IA","source_ids":["SRC.S2.PPL.EQUIP","SRC.GC.SECTION_5","SRC.S5.R-029"],"rationale":"All scenarios inherit this cost line and resolve PPL.EQUIP through its explicit scenario rule. Calculation rule R-029 supplies the complete formula, units and timing. This inventory never adds a second posting to its named owner.","policy_ids":["P05"],"checked_on":"2026-10-12","verify":true,"owner":"Model author","refresh_trigger":"November/December 2026 payroll publication"}},{"line_id":"COGS.PROCESSOR","label":"Web card percentage and fixed charge","owner_schedule":"COGS","output_row_id":"COGS.PROCESSOR","nature":"cost_of_revenue","cost_centre":"CORP","account_id":"GL.COGS.PROCESSOR","mapping_id":"MAP.R1.MONTHLY.WEB.DE","vendor_id":"CARD_PROCESSOR","stream":"CORPORATE","driver":"SCHEDULE","amount_input_id":"COGS.WEB_PCT","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WEB_PCT","SRC.RU.B6.1","SRC.S5.R-021"],"rationale":"All scenarios inherit this cost line and resolve COGS.WEB_PCT through its explicit scenario rule. Calculation rule R-021 supplies the complete formula, units and timing. This inventory never adds a second posting to its named owner.","policy_ids":["P03","P04","P05"],"checked_on":"2026-10-12","verify":true,"owner":"Model author","refresh_trigger":"New model release"}},{"line_id":"COGS.BILLING","label":"Web subscription billing","owner_schedule":"COGS","output_row_id":"COGS.BILLING","nature":"cost_of_revenue","cost_centre":"CORP","account_id":"GL.COGS.BILLING","mapping_id":"MAP.R1.MONTHLY.WEB.DE","vendor_id":"CARD_PROCESSOR","stream":"CORPORATE","driver":"SCHEDULE","amount_input_id":"COGS.BILLING","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BILLING","SRC.RU.B6.8","SRC.S5.R-021"],"rationale":"All scenarios inherit this cost line and resolve COGS.BILLING through its explicit scenario rule. Calculation rule R-021 supplies the complete formula, units and timing. This inventory never adds a second posting to its named owner.","policy_ids":["P03","P04","P05"],"checked_on":"2026-10-12","verify":true,"owner":"Model author","refresh_trigger":"New model release"}},{"line_id":"COGS.STORE","label":"R1 store commission","owner_schedule":"COGS","output_row_id":"SUB.STORE_FEE","nature":"cost_of_revenue","cost_centre":"CORP","account_id":"GL.COGS.STORE","mapping_id":"MAP.R1.STORE.MONTHLY.APPLE","vendor_id":"STORE_APPLE","stream":"R1","driver":"SCHEDULE","amount_input_id":"R1.STORE_FEE","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R1.STORE_FEE","SRC.RU.B6.13","SRC.RU.B6.19","SRC.S5.R-011"],"rationale":"All scenarios inherit this cost line and resolve R1.STORE_FEE through its explicit scenario rule. Calculation rule R-011 supplies the complete formula, units and timing. This inventory never adds a second posting to its named owner.","policy_ids":["P03","P04","P05"],"checked_on":"2026-10-12","verify":true,"owner":"Model author","refresh_trigger":"New model release"}},{"line_id":"COGS.TRADER","label":"Principal signal-provider service","owner_schedule":"COGS","output_row_id":"COPY.TRADER_EXPENSE","nature":"cost_of_revenue","cost_centre":"CORP","account_id":"GL.COGS.TRADER","mapping_id":"MAP.R2.TRADER","vendor_id":"SIGNAL_SUPPLIER","stream":"R2","driver":"SCHEDULE","amount_input_id":"R2.TRADER_SHARE","unit":"fraction","price_basis":"net","start_month":1,"end_month":null,"activation":"licence","annual_indexation_fraction":0,"tax_code":"TRADER_SMALL","invoice_rule":"service_month","payment_rule":"next_month","classification":{"recurrence":"recurring","commitment":"committed","behaviour":"variable"},"gewst_class":"none","prudential_deduction_category":"none","contingency_included":false,"evidence":{"provenance":"IA","source_ids":["SRC.S2.R2.TRADER_SHARE","SRC.RU.B9.21","SRC.RU.B9.20","SRC.S5.R-013"],"rationale":"All scenarios inherit this cost line and resolve R2.TRADER_SHARE through its explicit scenario rule. Calculation rule R-013 supplies the complete formula, units and timing. This inventory never adds a second posting to its named owner.","policy_ids":["P03","P04","P05"],"checked_on":"2026-10-12","verify":true,"owner":"Model author","refresh_trigger":"New model release"}},{"line_id":"COGS.CONNECT","label":"Four-component recipient payout charges","owner_schedule":"COGS","output_row_id":"COPY.CONNECT_FEE","nature":"cost_of_revenue","cost_centre":"CORP","account_id":"GL.COGS.CONNECT","mapping_id":"MAP.R2.PAYOUT","vendor_id":"CARD_PROCESSOR","stream":"R2","driver":"SCHEDULE","amount_input_id":"COGS.PAYOUT.ACCOUNT","unit":"EUR_per_person","price_basis":"net","start_month":1,"end_month":null,"activation":"licence","annual_indexation_fraction":0,"tax_code":"NONE","invoice_rule":"service_month","payment_rule":"same_month","classification":{"recurrence":"recurring","commitment":"committed","behaviour":"variable"},"gewst_class":"none","prudential_deduction_category":"none","contingency_included":false,"evidence":{"provenance":"IA","source_ids":["SRC.S2.COGS.PAYOUT","SRC.RU.B6.10","SRC.S5.R-015"],"rationale":"All scenarios inherit this cost line and resolve COGS.PAYOUT.ACCOUNT through its explicit scenario rule. Calculation rule R-015 supplies the complete formula, units and timing. This inventory never adds a second posting to its named owner.","policy_ids":["P03","P04","P05"],"checked_on":"2026-10-12","verify":true,"owner":"Model author","refresh_trigger":"New model release"}},{"line_id":"COGS.DISPUTE","label":"Dispute principal plus dispute fee","owner_schedule":"COGS","output_row_id":"COGS.DISPUTE","nature":"cost_of_revenue","cost_centre":"CORP","account_id":"GL.COGS.DISPUTE","mapping_id":"MAP.R1.MONTHLY.WEB.DE","vendor_id":"CARD_PROCESSOR","stream":"CORPORATE","driver":"SCHEDULE","amount_input_id":"COGS.CHARGEBACK.RATE","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CHARGEBACK","SRC.S5.R-021"],"rationale":"All scenarios inherit this cost line and resolve COGS.CHARGEBACK.RATE through its explicit scenario rule. Calculation rule R-021 supplies the complete formula, units and timing. This inventory never adds a second posting to its named owner.","policy_ids":["P03","P04","P05"],"checked_on":"2026-10-12","verify":true,"owner":"Model author","refresh_trigger":"New model release"}},{"line_id":"COGS.FRAUD","label":"Separate incremental web fraud loss","owner_schedule":"COGS","output_row_id":"COGS.FRAUD","nature":"cost_of_revenue","cost_centre":"CORP","account_id":"GL.COGS.FRAUD","mapping_id":"MAP.R1.MONTHLY.WEB.DE","vendor_id":"CARD_PROCESSOR","stream":"CORPORATE","driver":"SCHEDULE","amount_input_id":"COGS.FRAUD","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FRAUD","SRC.S5.R-021"],"rationale":"All scenarios inherit this cost line and resolve COGS.FRAUD through its explicit scenario rule. Calculation rule R-021 supplies the complete formula, units and timing. This inventory never adds a second posting to its named owner.","policy_ids":["P03","P04","P05"],"checked_on":"2026-10-12","verify":true,"owner":"Model author","refresh_trigger":"New model release"}},{"line_id":"COGS.KYC_VARIABLE","label":"Kyc Variable","owner_schedule":"COGS","output_row_id":"COGS.KYC_VARIABLE","nature":"cost_of_revenue","cost_centre":"COMP","account_id":"GL.COGS.KYC_VARIABLE","mapping_id":"MAP.COST.RC.COGS.KYC_VARIABLE","vendor_id":"UNKNOWN_FORECAST","stream":"CORPORATE","driver":"SCHEDULE","amount_input_id":"COGS.KYC.UNIT_USD","unit":"USD_per_check","price_basis":"net","start_month":1,"end_month":null,"activation":"licence","annual_indexation_fraction":0,"tax_code":"RC_IN19","invoice_rule":"service_month","payment_rule":"next_month","classification":{"recurrence":"recurring","commitment":"committed","behaviour":"variable"},"gewst_class":"none","prudential_deduction_category":"none","contingency_included":false,"evidence":{"provenance":"IA","source_ids":["SRC.S2.COGS.KYC","SRC.RU.B5.2","SRC.S5.R-020"],"rationale":"All scenarios inherit this cost line and resolve COGS.KYC.UNIT_USD through its explicit scenario rule. Calculation rule R-020 supplies the complete formula, units and timing. This inventory never adds a second posting to its named owner.","policy_ids":["P03","P05"],"checked_on":"2026-10-12","verify":true,"owner":"Model author","refresh_trigger":"New model release"}},{"line_id":"COGS.KYC_MINIMUM","label":"Kyc Minimum","owner_schedule":"COGS","output_row_id":"COGS.KYC_MINIMUM","nature":"cost_of_revenue","cost_centre":"COMP","account_id":"GL.COGS.KYC_MINIMUM","mapping_id":"MAP.COST.RC.COGS.KYC_MINIMUM","vendor_id":"UNKNOWN_FORECAST","stream":"CORPORATE","driver":"SCHEDULE","amount_input_id":"COGS.KYC.MIN_USD","unit":"USD","price_basis":"net","start_month":1,"end_month":null,"activation":"licence","annual_indexation_fraction":0,"tax_code":"RC_IN19","invoice_rule":"service_month","payment_rule":"next_month","classification":{"recurrence":"recurring","commitment":"committed","behaviour":"fixed"},"gewst_class":"none","prudential_deduction_category":"none","contingency_included":false,"evidence":{"provenance":"IA","source_ids":["SRC.S2.COGS.KYC","SRC.RU.B5.2","SRC.S5.R-020"],"rationale":"All scenarios inherit this cost line and resolve COGS.KYC.MIN_USD through its explicit scenario rule. Calculation rule R-020 supplies the complete formula, units and timing. This inventory never adds a second posting to its named owner.","policy_ids":["P03","P05"],"checked_on":"2026-10-12","verify":true,"owner":"Model author","refresh_trigger":"New model release"}},{"line_id":"COGS.CLOUD_FIXED","label":"Cloud Fixed","owner_schedule":"COGS","output_row_id":"COGS.CLOUD_FIXED","nature":"cost_of_revenue","cost_centre":"ENG","account_id":"GL.COGS.CLOUD_FIXED","mapping_id":"MAP.COST.RC.COGS.CLOUD_FIXED","vendor_id":"UNKNOWN_FORECAST","stream":"CORPORATE","driver":"SCHEDULE","amount_input_id":"COGS.CLOUD.BASE","unit":"EUR_per_month","price_basis":"net","start_month":4,"end_month":null,"activation":"calendar","annual_indexation_fraction":0,"tax_code":"RC_IN19","invoice_rule":"service_month","payment_rule":"next_month","classification":{"recurrence":"recurring","commitment":"committed","behaviour":"fixed"},"gewst_class":"none","prudential_deduction_category":"none","contingency_included":false,"evidence":{"provenance":"IA","source_ids":["SRC.S2.COGS.CLOUD","SRC.S5.R-020"],"rationale":"All scenarios inherit this cost line and resolve COGS.CLOUD.BASE through its explicit scenario rule. Calculation rule R-020 supplies the complete formula, units and timing. This inventory never adds a second posting to its named owner.","policy_ids":["P03","P05"],"checked_on":"2026-10-12","verify":true,"owner":"Model author","refresh_trigger":"New model release"}},{"line_id":"COGS.CLOUD_VARIABLE","label":"Cloud Variable","owner_schedule":"COGS","output_row_id":"COGS.CLOUD_VARIABLE","nature":"cost_of_revenue","cost_centre":"ENG","account_id":"GL.COGS.CLOUD_VARIABLE","mapping_id":"MAP.COST.RC.COGS.CLOUD_VARIABLE","vendor_id":"UNKNOWN_FORECAST","stream":"CORPORATE","driver":"SCHEDULE","amount_input_id":"COGS.CLOUD.VARIABLE","unit":"EUR_per_user","price_basis":"net","start_month":1,"end_month":null,"activation":"launch","annual_indexation_fraction":0,"tax_code":"RC_IN19","invoice_rule":"service_month","payment_rule":"next_month","classification":{"recurrence":"recurring","commitment":"committed","behaviour":"variable"},"gewst_class":"none","prudential_deduction_category":"none","contingency_included":false,"evidence":{"provenance":"IA","source_ids":["SRC.S2.COGS.CLOUD","SRC.S5.R-020"],"rationale":"All scenarios inherit this cost line and resolve COGS.CLOUD.VARIABLE through its explicit scenario rule. Calculation rule R-020 supplies the complete formula, units and timing. This inventory never adds a second posting to its named owner.","policy_ids":["P03","P05"],"checked_on":"2026-10-12","verify":true,"owner":"Model author","refresh_trigger":"New model release"}},{"line_id":"COGS.MDATA","label":"Mdata","owner_schedule":"COGS","output_row_id":"COGS.MDATA","nature":"cost_of_revenue","cost_centre":"ENG","account_id":"GL.COGS.MDATA","mapping_id":"MAP.COST.RC.COGS.MDATA","vendor_id":"UNKNOWN_FORECAST","stream":"CORPORATE","driver":"SCHEDULE","amount_input_id":"COGS.MDATA","unit":"USD","price_basis":"net","start_month":4,"end_month":null,"activation":"calendar","annual_indexation_fraction":0,"tax_code":"RC_IN19","invoice_rule":"service_month","payment_rule":"next_month","classification":{"recurrence":"recurring","commitment":"committed","behaviour":"fixed"},"gewst_class":"none","prudential_deduction_category":"none","contingency_included":false,"evidence":{"provenance":"IA","source_ids":["SRC.S2.COGS.MDATA","SRC.RU.B7.5","SRC.S5.R-020"],"rationale":"All scenarios inherit this cost line and resolve COGS.MDATA through its explicit scenario rule. Calculation rule R-020 supplies the complete formula, units and timing. This inventory never adds a second posting to its named owner.","policy_ids":["P03","P05"],"checked_on":"2026-10-12","verify":true,"owner":"Model author","refresh_trigger":"New model release"}},{"line_id":"COGS.SUPPORT","label":"Support","owner_schedule":"COGS","output_row_id":"COGS.SUPPORT","nature":"cost_of_revenue","cost_centre":"SUP","account_id":"GL.COGS.SUPPORT","mapping_id":"MAP.COST.COGS.SUPPORT","vendor_id":"UNKNOWN_FORECAST","stream":"CORPORATE","driver":"SCHEDULE","amount_input_id":"COGS.SUPPORT.CONTACTS_PER_1000","unit":"count","price_basis":"net","start_month":1,"end_month":null,"activation":"launch","annual_indexation_fraction":0,"tax_code":"DE_IN19","invoice_rule":"service_month","payment_rule":"next_month","classification":{"recurrence":"recurring","commitment":"committed","behaviour":"variable"},"gewst_class":"none","prudential_deduction_category":"none","contingency_included":false,"evidence":{"provenance":"IA","source_ids":["SRC.S2.COGS.SUPPORT","SRC.S5.R-020"],"rationale":"All scenarios inherit this cost line and resolve COGS.SUPPORT.CONTACTS_PER_1000 through its explicit scenario rule. Calculation rule R-020 supplies the complete formula, units and timing. This inventory never adds a second posting to its named owner.","policy_ids":["P03","P05"],"checked_on":"2026-10-12","verify":true,"owner":"Model author","refresh_trigger":"New model release"}},{"line_id":"REG.LEGAL_APP","label":"Regulatory legal app","owner_schedule":"Opex","output_row_id":"OPX.REG.LEGAL_APP","nature":"operating_expense","cost_centre":"COMP","account_id":"GL.OPEX.REG.LEGAL_APP","mapping_id":"MAP.COST.REG.LEGAL_APP","vendor_id":"UNKNOWN_FORECAST","stream":"CORPORATE","driver":"SCHEDULE","amount_input_id":"REG.LEGAL_APP","unit":"EUR","price_basis":"net","start_month":1,"end_month":12,"activation":"calendar","annual_indexation_fraction":0,"tax_code":"DE_IN19","invoice_rule":"service_month","payment_rule":"next_month","classification":{"recurrence":"one_off","commitment":"committed","behaviour":"fixed"},"gewst_class":"none","prudential_deduction_category":"none","contingency_included":false,"evidence":{"provenance":"IA","source_ids":["SRC.S2.REG.LEGAL_APP","SRC.RU.A3.20","SRC.S5.R-027"],"rationale":"All scenarios inherit this cost line and resolve REG.LEGAL_APP through its explicit scenario rule. Calculation rule R-027 supplies the complete formula, units and timing. This inventory never adds a second posting to its named owner.","policy_ids":["P05","P10"],"checked_on":"2026-10-12","verify":true,"owner":"Model author","refresh_trigger":"New model release"}},{"line_id":"REG.BAFIN_FEE","label":"Regulatory bafin fee","owner_schedule":"Opex","output_row_id":"OPX.REG.BAFIN_FEE","nature":"operating_expense","cost_centre":"COMP","account_id":"GL.OPEX.REG.BAFIN_FEE","mapping_id":"MAP.COST.REG.BAFIN_FEE","vendor_id":"UNKNOWN_FORECAST","stream":"CORPORATE","driver":"SCHEDULE","amount_input_id":"REG.BAFIN_FEE","unit":"EUR","price_basis":"net","start_month":1,"end_month":null,"activation":"licence","annual_indexation_fraction":0,"tax_code":"NONE","invoice_rule":"event_month","payment_rule":"same_month","classification":{"recurrence":"one_off","commitment":"committed","behaviour":"fixed"},"gewst_class":"none","prudential_deduction_category":"none","contingency_included":false,"evidence":{"provenance":"IA","source_ids":["SRC.S2.REG.BAFIN_FEE","SRC.RU.A3.10","SRC.RU.A3.13","SRC.S5.R-027"],"rationale":"All scenarios inherit this cost line and resolve REG.BAFIN_FEE through its explicit scenario rule. Calculation rule R-027 supplies the complete formula, units and timing. This inventory never adds a second posting to its named owner.","policy_ids":["P05","P10"],"checked_on":"2026-10-12","verify":true,"owner":"Model author","refresh_trigger":"New model release"}},{"line_id":"REG.DORA_SETUP","label":"Regulatory dora setup","owner_schedule":"Opex","output_row_id":"OPX.REG.DORA_SETUP","nature":"operating_expense","cost_centre":"COMP","account_id":"GL.OPEX.REG.DORA_SETUP","mapping_id":"MAP.COST.REG.DORA_SETUP","vendor_id":"UNKNOWN_FORECAST","stream":"CORPORATE","driver":"SCHEDULE","amount_input_id":"REG.DORA_SETUP","unit":"EUR","price_basis":"net","start_month":4,"end_month":12,"activation":"calendar","annual_indexation_fraction":0,"tax_code":"DE_IN19","invoice_rule":"service_month","payment_rule":"next_month","classification":{"recurrence":"one_off","commitment":"committed","behaviour":"fixed"},"gewst_class":"none","prudential_deduction_category":"none","contingency_included":false,"evidence":{"provenance":"IA","source_ids":["SRC.S2.REG.DORA_SETUP","SRC.RU.A4.13","SRC.RU.A4.16","SRC.S5.R-027"],"rationale":"All scenarios inherit this cost line and resolve REG.DORA_SETUP through its explicit scenario rule. Calculation rule R-027 supplies the complete formula, units and timing. This inventory never adds a second posting to its named owner.","policy_ids":["P05","P10"],"checked_on":"2026-10-12","verify":true,"owner":"Model author","refresh_trigger":"New model release"}},{"line_id":"REG.LEVY","label":"Regulatory levy","owner_schedule":"Opex","output_row_id":"OPX.REG.LEVY","nature":"operating_expense","cost_centre":"COMP","account_id":"GL.OPEX.REG.LEVY","mapping_id":"MAP.COST.REG.LEVY","vendor_id":"UNKNOWN_FORECAST","stream":"CORPORATE","driver":"SCHEDULE","amount_input_id":"REG.LEVY","unit":"EUR_per_year","price_basis":"net","start_month":1,"end_month":null,"activation":"licence","annual_indexation_fraction":0,"tax_code":"NONE","invoice_rule":"service_month","payment_rule":"next_month","classification":{"recurrence":"recurring","commitment":"committed","behaviour":"fixed"},"gewst_class":"none","prudential_deduction_category":"none","contingency_included":true,"evidence":{"provenance":"IA","source_ids":["SRC.S2.REG.LEVY","SRC.RU.A3.15","SRC.S5.R-027"],"rationale":"All scenarios inherit this cost line and resolve REG.LEVY through its explicit scenario rule. Calculation rule R-027 supplies the complete formula, units and timing. This inventory never adds a second posting to its named owner.","policy_ids":["P05","P10"],"checked_on":"2026-10-12","verify":true,"owner":"Model author","refresh_trigger":"New model release"}},{"line_id":"REG.AUDIT","label":"Regulatory audit","owner_schedule":"Opex","output_row_id":"OPX.REG.AUDIT","nature":"operating_expense","cost_centre":"COMP","account_id":"GL.OPEX.REG.AUDIT","mapping_id":"MAP.COST.REG.AUDIT","vendor_id":"UNKNOWN_FORECAST","stream":"CORPORATE","driver":"SCHEDULE","amount_input_id":"REG.AUDI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AUDIT","SRC.RU.A4.18","SRC.RU.A4.19","SRC.S5.R-027"],"rationale":"All scenarios inherit this cost line and resolve REG.AUDIT through its explicit scenario rule. Calculation rule R-027 supplies the complete formula, units and timing. This inventory never adds a second posting to its named owner.","policy_ids":["P05","P10"],"checked_on":"2026-10-12","verify":true,"owner":"Model author","refresh_trigger":"New model release"}},{"line_id":"REG.INT_AUDIT","label":"Regulatory int audit","owner_schedule":"Opex","output_row_id":"OPX.REG.INT_AUDIT","nature":"operating_expense","cost_centre":"COMP","account_id":"GL.OPEX.REG.INT_AUDIT","mapping_id":"MAP.COST.REG.INT_AUDIT","vendor_id":"UNKNOWN_FORECAST","stream":"CORPORATE","driver":"SCHEDULE","amount_input_id":"REG.INT_AUDI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INT_AUDIT","SRC.RU.A4.3","SRC.S5.R-027"],"rationale":"All scenarios inherit this cost line and resolve REG.INT_AUDIT through its explicit scenario rule. Calculation rule R-027 supplies the complete formula, units and timing. This inventory never adds a second posting to its named owner.","policy_ids":["P05","P10"],"checked_on":"2026-10-12","verify":true,"owner":"Model author","refresh_trigger":"New model release"}},{"line_id":"REG.LEGAL_RUN","label":"Regulatory legal run","owner_schedule":"Opex","output_row_id":"OPX.REG.LEGAL_RUN","nature":"operating_expense","cost_centre":"COMP","account_id":"GL.OPEX.REG.LEGAL_RUN","mapping_id":"MAP.COST.REG.LEGAL_RUN","vendor_id":"UNKNOWN_FORECAST","stream":"CORPORATE","driver":"SCHEDULE","amount_input_id":"REG.LEGAL_RUN","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LEGAL_RUN","SRC.S5.R-027"],"rationale":"All scenarios inherit this cost line and resolve REG.LEGAL_RUN through its explicit scenario rule. Calculation rule R-027 supplies the complete formula, units and timing. This inventory never adds a second posting to its named owner.","policy_ids":["P05","P10"],"checked_on":"2026-10-12","verify":true,"owner":"Model author","refresh_trigger":"New model release"}},{"line_id":"REG.DORA_TEST","label":"Regulatory dora test","owner_schedule":"Opex","output_row_id":"OPX.REG.DORA_TEST","nature":"operating_expense","cost_centre":"COMP","account_id":"GL.OPEX.REG.DORA_TEST","mapping_id":"MAP.COST.REG.DORA_TEST","vendor_id":"UNKNOWN_FORECAST","stream":"CORPORATE","driver":"SCHEDULE","amount_input_id":"REG.DORA_TES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DORA_TEST","SRC.RU.A4.16","SRC.S5.R-027"],"rationale":"All scenarios inherit this cost line and resolve REG.DORA_TEST through its explicit scenario rule. Calculation rule R-027 supplies the complete formula, units and timing. This inventory never adds a second posting to its named owner.","policy_ids":["P05","P10"],"checked_on":"2026-10-12","verify":true,"owner":"Model author","refresh_trigger":"New model release"}},{"line_id":"REG.SURVEIL","label":"Regulatory surveil","owner_schedule":"Opex","output_row_id":"OPX.REG.SURVEIL","nature":"operating_expense","cost_centre":"COMP","account_id":"GL.OPEX.REG.SURVEIL","mapping_id":"MAP.COST.RC.REG.SURVEIL","vendor_id":"UNKNOWN_FORECAST","stream":"CORPORATE","driver":"SCHEDULE","amount_input_id":"REG.SURVEIL","unit":"EUR_per_year","price_basis":"net","start_month":1,"end_month":null,"activation":"licence","annual_indexation_fraction":0,"tax_code":"RC_IN19","invoice_rule":"service_month","payment_rule":"next_month","classification":{"recurrence":"recurring","commitment":"committed","behaviour":"fixed"},"gewst_class":"none","prudential_deduction_category":"none","contingency_included":true,"evidence":{"provenance":"IA","source_ids":["SRC.S2.REG.SURVEIL","SRC.RU.A4.12","SRC.S5.R-027"],"rationale":"All scenarios inherit this cost line and resolve REG.SURVEIL through its explicit scenario rule. Calculation rule R-027 supplies the complete formula, units and timing. This inventory never adds a second posting to its named owner.","policy_ids":["P05","P10"],"checked_on":"2026-10-12","verify":true,"owner":"Model author","refresh_trigger":"New model release"}},{"line_id":"REG.INSURANCE","label":"Regulatory insurance","owner_schedule":"Opex","output_row_id":"OPX.REG.INSURANCE","nature":"operating_expense","cost_centre":"COMP","account_id":"GL.OPEX.REG.INSURANCE","mapping_id":"MAP.COST.REG.INSURANCE","vendor_id":"UNKNOWN_FORECAST","stream":"CORPORATE","driver":"SCHEDULE","amount_input_id":"REG.INSURANCE","unit":"EUR_per_year","price_basis":"net","start_month":1,"end_month":null,"activation":"licence","annual_indexation_fraction":0,"tax_code":"NONE","invoice_rule":"service_month","payment_rule":"next_month","classification":{"recurrence":"recurring","commitment":"committed","behaviour":"fixed"},"gewst_class":"none","prudential_deduction_category":"none","contingency_included":true,"evidence":{"provenance":"IA","source_ids":["SRC.S2.REG.INSURANCE","SRC.S5.R-027"],"rationale":"All scenarios inherit this cost line and resolve REG.INSURANCE through its explicit scenario rule. Calculation rule R-027 supplies the complete formula, units and timing. This inventory never adds a second posting to its named owner.","policy_ids":["P05","P10"],"checked_on":"2026-10-12","verify":true,"owner":"Model author","refresh_trigger":"New model release"}},{"line_id":"OPX.ROUND_COSTS.B.NOTARY","label":"Series B notary cost","owner_schedule":"Opex","output_row_id":"OPX.ROUND_COSTS.B.NOTARY","nature":"operating_expense","cost_centre":"FIN","account_id":"GL.OPEX.OPX.ROUND_COSTS.B.NOTARY","mapping_id":"MAP.COST.OPX.ROUND_COSTS.B.NOTARY","vendor_id":"UNKNOWN_FORECAST","stream":"CORPORATE","driver":"SCHEDULE","amount_input_id":"FUND.B.NOTARY","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CR01","SRC.S5.R-026"],"rationale":"Series B round cost (owner decision of 12.10.2026; the shipped plan has no Series B): resolve FUND.B.NOTARY once; expense, invoice and payment at the actual SERIES_B receipt. Removed with B on the no-future-rounds path. VAT (calculation rule R-026) and contingency (calculation rule R-028) treatment are identical to Series A.","policy_ids":["P05","P09"],"checked_on":"2026-10-13","verify":true,"owner":"Model author","refresh_trigger":"New model release"}},{"line_id":"OPX.ROUND_COSTS.B.LEGAL","label":"Series B legal cost","owner_schedule":"Opex","output_row_id":"OPX.ROUND_COSTS.B.LEGAL","nature":"operating_expense","cost_centre":"FIN","account_id":"GL.OPEX.OPX.ROUND_COSTS.B.LEGAL","mapping_id":"MAP.COST.OPX.ROUND_COSTS.B.LEGAL","vendor_id":"UNKNOWN_FORECAST","stream":"CORPORATE","driver":"SCHEDULE","amount_input_id":"FUND.B.LEGAL","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CR01","SRC.S5.R-026"],"rationale":"Series B round cost (owner decision of 12.10.2026; the shipped plan has no Series B): resolve FUND.B.LEGAL once; expense, invoice and payment at the actual SERIES_B receipt. Removed with B on the no-future-rounds path. VAT (calculation rule R-026) and contingency (calculation rule R-028) treatment are identical to Series A.","policy_ids":["P05","P09"],"checked_on":"2026-10-13","verify":true,"owner":"Model author","refresh_trigger":"New model release"}}]},"coa":{"meta":{"schema_version":"Kit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13.10.2026","data_version":"CR02-2026-10-13-v1","version":"budget","scenario":"all","currency":"EUR","model_start":"2027-01-01","horizon_months":60,"cutoff_date":null,"frozen_on":"2026-10-13","fictional":true},"accounts":[{"account_id":"GL.CASH","local_code":"1800","name":"Cash at bank","statement":"BS","statement_row_id":"BS.CASH","normal_balance":"debit","nature":"cash","function":"balance_sheet","default_cost_centre":"CORP","reducer":"END","prudential_expense":false,"classification":{"recurrence":"not_applicable","commitment":"not_applicable","behaviour":"not_applicable"}},{"account_id":"GL.AR.STORE","local_code":null,"name":"Receivables from app stores","statement":"BS","statement_row_id":"BS.AR","normal_balance":"debit","nature":"ar","function":"balance_sheet","default_cost_centre":"CORP","reducer":"END","prudential_expense":false,"classification":{"recurrence":"not_applicable","commitment":"not_applicable","behaviour":"not_applicable"}},{"account_id":"GL.AR.B2B","local_code":null,"name":"Trade receivables, B2B clients","statement":"BS","statement_row_id":"BS.AR","normal_balance":"debit","nature":"ar","function":"balance_sheet","default_cost_centre":"CORP","reducer":"END","prudential_expense":false,"classification":{"recurrence":"not_applicable","commitment":"not_applicable","behaviour":"not_applicable"}},{"account_id":"GL.AR.AFF","local_code":null,"name":"Affiliate commission receivables","statement":"BS","statement_row_id":"BS.AR","normal_balance":"debit","nature":"ar","function":"balance_sheet","default_cost_centre":"CORP","reducer":"END","prudential_expense":false,"classification":{"recurrence":"not_applicable","commitment":"not_applicable","behaviour":"not_applicable"}},{"account_id":"GL.VAT.DOM_ASSET","local_code":null,"name":"Input VAT receivable, Germany","statement":"BS","statement_row_id":"BS.TAX_ASSETS","normal_balance":"debit","nature":"tax_assets","function":"balance_sheet","default_cost_centre":"CORP","reducer":"END","prudential_expense":false,"classification":{"recurrence":"not_applicable","commitment":"not_applicable","behaviour":"not_applicable"}},{"account_id":"GL.TAX.K_ASSET","local_code":null,"name":"Corporate income tax receivable","statement":"BS","statement_row_id":"BS.TAX_ASSETS","normal_balance":"debit","nature":"tax_assets","function":"balance_sheet","default_cost_centre":"CORP","reducer":"END","prudential_expense":false,"classification":{"recurrence":"not_applicable","commitment":"not_applicable","behaviour":"not_applicable"}},{"account_id":"GL.TAX.S_ASSET","local_code":null,"name":"Solidarity surcharge receivable","statement":"BS","statement_row_id":"BS.TAX_ASSETS","normal_balance":"debit","nature":"tax_assets","function":"balance_sheet","default_cost_centre":"CORP","reducer":"END","prudential_expense":false,"classification":{"recurrence":"not_applicable","commitment":"not_applicable","behaviour":"not_applicable"}},{"account_id":"GL.TAX.G_ASSET","local_code":null,"name":"Trade tax receivable","statement":"BS","statement_row_id":"BS.TAX_ASSETS","normal_balance":"debit","nature":"tax_assets","function":"balance_sheet","default_cost_centre":"CORP","reducer":"END","prudential_expense":false,"classification":{"recurrence":"not_applicable","commitment":"not_applicable","behaviour":"not_applicable"}},{"account_id":"GL.ASSET.IT","local_code":null,"name":"IT equipment","statement":"BS","statement_row_id":"BS.ASSET_GROSS","normal_balance":"debit","nature":"asset_gross","function":"balance_sheet","default_cost_centre":"CORP","reducer":"END","prudential_expense":false,"classification":{"recurrence":"not_applicable","commitment":"not_applicable","behaviour":"not_applicable"}},{"account_id":"GL.ASSET.FITOUT","local_code":null,"name":"Office fit-out","statement":"BS","statement_row_id":"BS.ASSET_GROSS","normal_balance":"debit","nature":"asset_gross","function":"balance_sheet","default_cost_centre":"CORP","reducer":"END","prudential_expense":false,"classification":{"recurrence":"not_applicable","commitment":"not_applicable","behaviour":"not_applicable"}},{"account_id":"GL.ACCDEP.IT","local_code":null,"name":"Accumulated depreciation, IT equipment","statement":"BS","statement_row_id":"BS.ACC_DEP","normal_balance":"credit","nature":"acc_dep","function":"balance_sheet","default_cost_centre":"CORP","reducer":"END","prudential_expense":false,"classification":{"recurrence":"not_applicable","commitment":"not_applicable","behaviour":"not_applicable"}},{"account_id":"GL.ACCDEP.FITOUT","local_code":null,"name":"Accumulated depreciation, office fit-out","statement":"BS","statement_row_id":"BS.ACC_DEP","normal_balance":"credit","nature":"acc_dep","function":"balance_sheet","default_cost_centre":"CORP","reducer":"END","prudential_expense":false,"classification":{"recurrence":"not_applicable","commitment":"not_applicable","behaviour":"not_applicable"}},{"account_id":"GL.AP.SUPPLIER","local_code":null,"name":"Trade payables, suppliers","statement":"BS","statement_row_id":"BS.AP","normal_balance":"credit","nature":"ap","function":"balance_sheet","default_cost_centre":"CORP","reducer":"END","prudential_expense":false,"classification":{"recurrence":"not_applicable","commitment":"not_applicable","behaviour":"not_applicable"}},{"account_id":"GL.AP.CAPEX","local_code":null,"name":"Payables for capital expenditure","statement":"BS","statement_row_id":"BS.AP","normal_balance":"credit","nature":"ap","function":"balance_sheet","default_cost_centre":"CORP","reducer":"END","prudential_expense":false,"classification":{"recurrence":"not_applicable","commitment":"not_applicable","behaviour":"not_applicable"}},{"account_id":"GL.AP.TRADER","local_code":null,"name":"Payables to lead traders","statement":"BS","statement_row_id":"BS.AP","normal_balance":"credit","nature":"ap","function":"balance_sheet","default_cost_centre":"CORP","reducer":"END","prudential_expense":false,"classification":{"recurrence":"not_applicable","commitment":"not_applicable","behaviour":"not_applicable"}},{"account_id":"GL.ACCRUED.ACCOUNTS","local_code":null,"name":"Accrued costs of annual accounts and tax returns","statement":"BS","statement_row_id":"BS.AP","normal_balance":"credit","nature":"ap","function":"balance_sheet","default_cost_centre":"CORP","reducer":"END","prudential_expense":false,"classification":{"recurrence":"not_applicable","commitment":"not_applicable","behaviour":"not_applicable"}},{"account_id":"GL.CL.R1","local_code":null,"name":"Contract liabilities, subscriptions","statement":"BS","statement_row_id":"BS.CL","normal_balance":"credit","nature":"cl","function":"balance_sheet","default_cost_centre":"CORP","reducer":"END","prudential_expense":false,"classification":{"recurrence":"not_applicable","commitment":"not_applicable","behaviour":"not_applicable"}},{"account_id":"GL.CL.R7","local_code":null,"name":"Contract liabilities, B2B licences","statement":"BS","statement_row_id":"BS.CL","normal_balance":"credit","nature":"cl","function":"balance_sheet","default_cost_centre":"CORP","reducer":"END","prudential_expense":false,"classification":{"recurrence":"not_applicable","commitment":"not_applicable","behaviour":"not_applicable"}},{"account_id":"GL.VAT.DOM_LIAB","local_code":null,"name":"VAT payable, Germany","statement":"BS","statement_row_id":"BS.TAX_LIABILITIES","normal_balance":"credit","nature":"tax_liabilities","function":"balance_sheet","default_cost_centre":"CORP","reducer":"END","prudential_expense":false,"classification":{"recurrence":"not_applicable","commitment":"not_applicable","behaviour":"not_applicable"}},{"account_id":"GL.VAT.OSS","local_code":null,"name":"VAT payable under the One-Stop Shop (Austria)","statement":"BS","statement_row_id":"BS.TAX_LIABILITIES","normal_balance":"credit","nature":"tax_liabilities","function":"balance_sheet","default_cost_centre":"CORP","reducer":"END","prudential_expense":false,"classification":{"recurrence":"not_applicable","commitment":"not_applicable","behaviour":"not_applicable"}},{"account_id":"GL.TAX.K_LIAB","local_code":null,"name":"Corporate income tax payable","statement":"BS","statement_row_id":"BS.TAX_LIABILITIES","normal_balance":"credit","nature":"tax_liabilities","function":"balance_sheet","default_cost_centre":"CORP","reducer":"END","prudential_expense":false,"classification":{"recurrence":"not_applicable","commitment":"not_applicable","behaviour":"not_applicable"}},{"account_id":"GL.TAX.S_LIAB","local_code":null,"name":"Solidarity surcharge payable","statement":"BS","statement_row_id":"BS.TAX_LIABILITIES","normal_balance":"credit","nature":"tax_liabilities","function":"balance_sheet","default_cost_centre":"CORP","reducer":"END","prudential_expense":false,"classification":{"recurrence":"not_applicable","commitment":"not_applicable","behaviour":"not_applicable"}},{"account_id":"GL.TAX.G_LIAB","local_code":null,"name":"Trade tax payable","statement":"BS","statement_row_id":"BS.TAX_LIABILITIES","normal_balance":"credit","nature":"tax_liabilities","function":"balance_sheet","default_cost_centre":"CORP","reducer":"END","prudential_expense":false,"classification":{"recurrence":"not_applicable","commitment":"not_applicable","behaviour":"not_applicable"}},{"account_id":"GL.NOTE.PRINCIPAL","local_code":null,"name":"Convertible note, principal","statement":"BS","statement_row_id":"BS.DEBT","normal_balance":"credit","nature":"debt","function":"balance_sheet","default_cost_centre":"CORP","reducer":"END","prudential_expense":false,"classification":{"recurrence":"not_applicable","commitment":"not_applicable","behaviour":"not_applicable"}},{"account_id":"GL.NOTE.INTEREST","local_code":null,"name":"Convertible note, accrued interest","statement":"BS","statement_row_id":"BS.DEBT","normal_balance":"credit","nature":"debt","function":"balance_sheet","default_cost_centre":"CORP","reducer":"END","prudential_expense":false,"classification":{"recurrence":"not_applicable","commitment":"not_applicable","behaviour":"not_applicable"}},{"account_id":"GL.EQUITY.CAPITAL","local_code":"2900","name":"Subscribed capital","statement":"BS","statement_row_id":"BS.EQUITY","normal_balance":"credit","nature":"equity","function":"balance_sheet","default_cost_centre":"CORP","reducer":"END","prudential_expense":false,"classification":{"recurrence":"not_applicable","commitment":"not_applicable","behaviour":"not_applicable"}},{"account_id":"GL.EQUITY.RESERVE","local_code":null,"name":"Capital reserve","statement":"BS","statement_row_id":"BS.EQUITY","normal_balance":"credit","nature":"equity","function":"balance_sheet","default_cost_centre":"CORP","reducer":"END","prudential_expense":false,"classification":{"recurrence":"not_applicable","commitment":"not_applicable","behaviour":"not_applicable"}},{"account_id":"GL.EQUITY.RETAINED","local_code":null,"name":"Retained earnings","statement":"BS","statement_row_id":"BS.EQUITY","normal_balance":"credit","nature":"equity","function":"balance_sheet","default_cost_centre":"CORP","reducer":"END","prudential_expense":false,"classification":{"recurrence":"not_applicable","commitment":"not_applicable","behaviour":"not_applicable"}},{"account_id":"GL.REV.R1","local_code":null,"name":"Revenue: subscriptions","statement":"PNL","statement_row_id":"PNL.REVENUE","normal_balance":"credit","nature":"revenue","function":"revenue","default_cost_centre":"CORP","reducer":"SUM","prudential_expense":false,"classification":{"recurrence":"recurring","commitment":"committed","behaviour":"fixed"}},{"account_id":"GL.REV.R2","local_code":null,"name":"Revenue: copy-trading fees","statement":"PNL","statement_row_id":"PNL.REVENUE","normal_balance":"credit","nature":"revenue","function":"revenue","default_cost_centre":"CORP","reducer":"SUM","prudential_expense":false,"classification":{"recurrence":"recurring","commitment":"committed","behaviour":"fixed"}},{"account_id":"GL.REV.R3","local_code":null,"name":"Revenue: exchange affiliate commissions","statement":"PNL","statement_row_id":"PNL.REVENUE","normal_balance":"credit","nature":"revenue","function":"revenue","default_cost_centre":"CORP","reducer":"SUM","prudential_expense":false,"classification":{"recurrence":"recurring","commitment":"committed","behaviour":"fixed"}},{"account_id":"GL.REV.R7_SEATS","local_code":null,"name":"Revenue: B2B licence seats","statement":"PNL","statement_row_id":"PNL.REVENUE","normal_balance":"credit","nature":"revenue","function":"revenue","default_cost_centre":"CORP","reducer":"SUM","prudential_expense":false,"classification":{"recurrence":"recurring","commitment":"committed","behaviour":"fixed"}},{"account_id":"GL.REV.R7_ONBOARD","local_code":null,"name":"Revenue: B2B onboarding fees","statement":"PNL","statement_row_id":"PNL.REVENUE","normal_balance":"credit","nature":"revenue","function":"revenue","default_cost_centre":"CORP","reducer":"SUM","prudential_expense":false,"classification":{"recurrence":"recurring","commitment":"committed","behaviour":"fixed"}},{"account_id":"GL.FIN.NOTE_INTEREST","local_code":null,"name":"Interest expense, convertible note","statement":"PNL","statement_row_id":"PNL.NOTE_INTEREST","normal_balance":"debit","nature":"note_interest","function":"finance","default_cost_centre":"CORP","reducer":"SUM","prudential_expense":true,"classification":{"recurrence":"recurring","commitment":"committed","behaviour":"fixed"}},{"account_id":"GL.FIN.DEP_INTEREST","local_code":null,"name":"Interest income on deposits","statement":"PNL","statement_row_id":"PNL.DEP_INTEREST","normal_balance":"credit","nature":"dep_interest","function":"finance","default_cost_centre":"CORP","reducer":"SUM","prudential_expense":false,"classification":{"recurrence":"recurring","commitment":"committed","behaviour":"fixed"}},{"account_id":"GL.TAX.KST","local_code":null,"name":"Corporate income tax (KSt)","statement":"PNL","statement_row_id":"PNL.TAX","normal_balance":"debit","nature":"tax","function":"tax","default_cost_centre":"CORP","reducer":"SUM","prudential_expense":true,"classification":{"recurrence":"recurring","commitment":"committed","behaviour":"fixed"}},{"account_id":"GL.TAX.SOLI","local_code":null,"name":"Solidarity surcharge","statement":"PNL","statement_row_id":"PNL.TAX","normal_balance":"debit","nature":"tax","function":"tax","default_cost_centre":"CORP","reducer":"SUM","prudential_expense":true,"classification":{"recurrence":"recurring","commitment":"committed","behaviour":"fixed"}},{"account_id":"GL.TAX.GEWST","local_code":null,"name":"Trade tax (GewSt)","statement":"PNL","statement_row_id":"PNL.TAX","normal_balance":"debit","nature":"tax","function":"tax","default_cost_centre":"CORP","reducer":"SUM","prudential_expense":true,"classification":{"recurrence":"recurring","commitment":"committed","behaviour":"fixed"}},{"account_id":"GL.OPEX.OPX.DESK","local_code":null,"name":"Coworking desks","statement":"PNL","statement_row_id":"PNL.OPEX","normal_balance":"debit","nature":"operating_expense","function":"general_admin","default_cost_centre":"CORP","reducer":"SUM","prudential_expense":true,"classification":{"recurrence":"recurring","commitment":"committed","behaviour":"fixed"}},{"account_id":"GL.OPEX.OPX.OFFICE","local_code":null,"name":"Office rent","statement":"PNL","statement_row_id":"PNL.OPEX","normal_balance":"debit","nature":"operating_expense","function":"general_admin","default_cost_centre":"CORP","reducer":"SUM","prudential_expense":true,"classification":{"recurrence":"recurring","commitment":"committed","behaviour":"fixed"}},{"account_id":"GL.OPEX.OPX.BRAND","local_code":null,"name":"Brand and public relations","statement":"PNL","statement_row_id":"PNL.OPEX","normal_balance":"debit","nature":"operating_expense","function":"sales_marketing","default_cost_centre":"MKT","reducer":"SUM","prudential_expense":true,"classification":{"recurrence":"recurring","commitment":"discretionary","behaviour":"fixed"}},{"account_id":"GL.OPEX.OPX.CONTEST","local_code":null,"name":"Lead-trader contests","statement":"PNL","statement_row_id":"PNL.OPEX","normal_balance":"debit","nature":"operating_expense","function":"sales_marketing","default_cost_centre":"MKT","reducer":"SUM","prudential_expense":true,"classification":{"recurrence":"recurring","commitment":"discretionary","behaviour":"fixed"}},{"account_id":"GL.OPEX.OPX.REFERRAL","local_code":null,"name":"Referral bonuses","statement":"PNL","statement_row_id":"PNL.OPEX","normal_balance":"debit","nature":"operating_expense","function":"sales_marketing","default_cost_centre":"MKT","reducer":"SUM","prudential_expense":true,"classification":{"recurrence":"recurring","commitment":"discretionary","behaviour":"variable"}},{"account_id":"GL.OPEX.OPX.BOOKKEEP","local_code":null,"name":"Bookkeeping and fractional finance and HR services","statement":"PNL","statement_row_id":"PNL.OPEX","normal_balance":"debit","nature":"operating_expense","function":"general_admin","default_cost_centre":"FIN","reducer":"SUM","prudential_expense":true,"classification":{"recurrence":"recurring","commitment":"committed","behaviour":"fixed"}},{"account_id":"GL.OPEX.OPX.PAYROLL","local_code":null,"name":"Payroll service","statement":"PNL","statement_row_id":"PNL.OPEX","normal_balance":"debit","nature":"operating_expense","function":"general_admin","default_cost_centre":"FIN","reducer":"SUM","prudential_expense":true,"classification":{"recurrence":"recurring","commitment":"committed","behaviour":"fixed"}},{"account_id":"GL.OPEX.OPX.ACCOUNTS","local_code":null,"name":"Annual accounts and tax returns","statement":"PNL","statement_row_id":"PNL.OPEX","normal_balance":"debit","nature":"operating_expense","function":"general_admin","default_cost_centre":"FIN","reducer":"SUM","prudential_expense":true,"classification":{"recurrence":"recurring","commitment":"committed","behaviour":"fixed"}},{"account_id":"GL.OPEX.OPX.FOUNDING.REGISTER","local_code":null,"name":"Founding: commercial register fee","statement":"PNL","statement_row_id":"PNL.OPEX","normal_balance":"debit","nature":"operating_expense","function":"general_admin","default_cost_centre":"FIN","reducer":"SUM","prudential_expense":true,"classification":{"recurrence":"one_off","commitment":"committed","behaviour":"fixed"}},{"account_id":"GL.OPEX.OPX.FOUNDING.NOTARY","local_code":null,"name":"Founding: notary","statement":"PNL","statement_row_id":"PNL.OPEX","normal_balance":"debit","nature":"operating_expense","function":"general_admin","default_cost_centre":"FIN","reducer":"SUM","prudential_expense":true,"classification":{"recurrence":"one_off","commitment":"committed","behaviour":"fixed"}},{"account_id":"GL.OPEX.OPX.IHK","local_code":null,"name":"Chamber of commerce (IHK), filings and register","statement":"PNL","statement_row_id":"PNL.OPEX","normal_balance":"debit","nature":"operating_expense","function":"general_admin","default_cost_centre":"CORP","reducer":"SUM","prudential_expense":true,"classification":{"recurrence":"recurring","commitment":"committed","behaviour":"fixed"}},{"account_id":"GL.OPEX.OPX.INS_PRE","local_code":null,"name":"Insurance before the licence","statement":"PNL","statement_row_id":"PNL.OPEX","normal_balance":"debit","nature":"operating_expense","function":"general_admin","default_cost_centre":"CORP","reducer":"SUM","prudential_expense":true,"classification":{"recurrence":"recurring","commitment":"committed","behaviour":"fixed"}},{"account_id":"GL.OPEX.OPX.ROUND_COSTS.SEED","local_code":null,"name":"Seed round legal and notary costs","statement":"PNL","statement_row_id":"PNL.OPEX","normal_balance":"debit","nature":"operating_expense","function":"general_admin","default_cost_centre":"FIN","reducer":"SUM","prudential_expense":true,"classification":{"recurrence":"one_off","commitment":"committed","behaviour":"fixed"}},{"account_id":"GL.OPEX.OPX.ROUND_COSTS.A","local_code":null,"name":"Series A legal and notary costs","statement":"PNL","statement_row_id":"PNL.OPEX","normal_balance":"debit","nature":"operating_expense","function":"general_admin","default_cost_centre":"FIN","reducer":"SUM","prudential_expense":true,"classification":{"recurrence":"one_off","commitment":"committed","behaviour":"fixed"}},{"account_id":"GL.OPEX.OPX.MISC","local_code":null,"name":"Travel, bank and miscellaneous costs","statement":"PNL","statement_row_id":"PNL.OPEX","normal_balance":"debit","nature":"operating_expense","function":"general_admin","default_cost_centre":"CORP","reducer":"SUM","prudential_expense":true,"classification":{"recurrence":"recurring","commitment":"discretionary","behaviour":"fixed"}},{"account_id":"GL.OPEX.OPX.CONTINGENCY","local_code":null,"name":"Contingency (5% of the eligible Opex base)","statement":"PNL","statement_row_id":"PNL.OPEX","normal_balance":"debit","nature":"operating_expense","function":"general_admin","default_cost_centre":"CORP","reducer":"SUM","prudential_expense":true,"classification":{"recurrence":"recurring","commitment":"discretionary","behaviour":"variable"}},{"account_id":"GL.OPEX.ACQ.SPEND","local_code":null,"name":"Performance marketing","statement":"PNL","statement_row_id":"PNL.OPEX","normal_balance":"debit","nature":"operating_expense","function":"sales_marketing","default_cost_centre":"MKT","reducer":"SUM","prudential_expense":true,"classification":{"recurrence":"recurring","commitment":"discretionary","behaviour":"variable"}},{"account_id":"GL.OPEX.PPL.SW","local_code":null,"name":"Employee software and AI tools","statement":"PNL","statement_row_id":"PNL.OPEX","normal_balance":"debit","nature":"operating_expense","function":"general_admin","default_cost_centre":"CORP","reducer":"SUM","prudential_expense":true,"classification":{"recurrence":"recurring","commitment":"committed","behaviour":"fixed"}},{"account_id":"GL.OPEX.PPL.RECRUIT","local_code":null,"name":"Recruiting costs","statement":"PNL","statement_row_id":"PNL.OPEX","normal_balance":"debit","nature":"operating_expense","function":"general_admin","default_cost_centre":"CORP","reducer":"SUM","prudential_expense":true,"classification":{"recurrence":"one_off","commitment":"committed","behaviour":"variable"}},{"account_id":"GL.COGS.PROCESSOR","local_code":null,"name":"Card processing fees (web)","statement":"PNL","statement_row_id":"PNL.COGS","normal_balance":"debit","nature":"cost_of_revenue","function":"cost_of_revenue","default_cost_centre":"CORP","reducer":"SUM","prudential_expense":true,"classification":{"recurrence":"recurring","commitment":"committed","behaviour":"variable"}},{"account_id":"GL.COGS.BILLING","local_code":null,"name":"Subscription billing fees (web)","statement":"PNL","statement_row_id":"PNL.COGS","normal_balance":"debit","nature":"cost_of_revenue","function":"cost_of_revenue","default_cost_centre":"CORP","reducer":"SUM","prudential_expense":true,"classification":{"recurrence":"recurring","commitment":"committed","behaviour":"variable"}},{"account_id":"GL.COGS.STORE","local_code":null,"name":"App-store commission on subscriptions","statement":"PNL","statement_row_id":"PNL.COGS","normal_balance":"debit","nature":"cost_of_revenue","function":"cost_of_revenue","default_cost_centre":"CORP","reducer":"SUM","prudential_expense":true,"classification":{"recurrence":"recurring","commitment":"committed","behaviour":"variable"}},{"account_id":"GL.COGS.TRADER","local_code":null,"name":"Lead-trader share of copy fees","statement":"PNL","statement_row_id":"PNL.COGS","normal_balance":"debit","nature":"cost_of_revenue","function":"cost_of_revenue","default_cost_centre":"CORP","reducer":"SUM","prudential_expense":true,"classification":{"recurrence":"recurring","commitment":"committed","behaviour":"variable"}},{"account_id":"GL.COGS.CONNECT","local_code":null,"name":"Payout charges for lead-trader payments","statement":"PNL","statement_row_id":"PNL.COGS","normal_balance":"debit","nature":"cost_of_revenue","function":"cost_of_revenue","default_cost_centre":"CORP","reducer":"SUM","prudential_expense":true,"classification":{"recurrence":"recurring","commitment":"committed","behaviour":"variable"}},{"account_id":"GL.COGS.DISPUTE","local_code":null,"name":"Card disputes (amount and fee)","statement":"PNL","statement_row_id":"PNL.COGS","normal_balance":"debit","nature":"cost_of_revenue","function":"cost_of_revenue","default_cost_centre":"CORP","reducer":"SUM","prudential_expense":true,"classification":{"recurrence":"recurring","commitment":"committed","behaviour":"variable"}},{"account_id":"GL.COGS.FRAUD","local_code":null,"name":"Card fraud losses (web)","statement":"PNL","statement_row_id":"PNL.COGS","normal_balance":"debit","nature":"cost_of_revenue","function":"cost_of_revenue","default_cost_centre":"CORP","reducer":"SUM","prudential_expense":true,"classification":{"recurrence":"recurring","commitment":"committed","behaviour":"variable"}},{"account_id":"GL.COGS.KYC_VARIABLE","local_code":null,"name":"Identity checks (KYC), per verification","statement":"PNL","statement_row_id":"PNL.COGS","normal_balance":"debit","nature":"cost_of_revenue","function":"cost_of_revenue","default_cost_centre":"COMP","reducer":"SUM","prudential_expense":true,"classification":{"recurrence":"recurring","commitment":"committed","behaviour":"variable"}},{"account_id":"GL.COGS.KYC_MINIMUM","local_code":null,"name":"Identity checks (KYC), minimum-fee top-up","statement":"PNL","statement_row_id":"PNL.COGS","normal_balance":"debit","nature":"cost_of_revenue","function":"cost_of_revenue","default_cost_centre":"COMP","reducer":"SUM","prudential_expense":true,"classification":{"recurrence":"recurring","commitment":"committed","behaviour":"fixed"}},{"account_id":"GL.COGS.CLOUD_FIXED","local_code":null,"name":"Cloud hosting, fixed","statement":"PNL","statement_row_id":"PNL.COGS","normal_balance":"debit","nature":"cost_of_revenue","function":"cost_of_revenue","default_cost_centre":"ENG","reducer":"SUM","prudential_expense":true,"classification":{"recurrence":"recurring","commitment":"committed","behaviour":"fixed"}},{"account_id":"GL.COGS.CLOUD_VARIABLE","local_code":null,"name":"Cloud hosting, usage-based","statement":"PNL","statement_row_id":"PNL.COGS","normal_balance":"debit","nature":"cost_of_revenue","function":"cost_of_revenue","default_cost_centre":"ENG","reducer":"SUM","prudential_expense":true,"classification":{"recurrence":"recurring","commitment":"committed","behaviour":"variable"}},{"account_id":"GL.COGS.MDATA","local_code":null,"name":"Market data","statement":"PNL","statement_row_id":"PNL.COGS","normal_balance":"debit","nature":"cost_of_revenue","function":"cost_of_revenue","default_cost_centre":"ENG","reducer":"SUM","prudential_expense":true,"classification":{"recurrence":"recurring","commitment":"committed","behaviour":"fixed"}},{"account_id":"GL.COGS.SUPPORT","local_code":null,"name":"Outsourced first-line support","statement":"PNL","statement_row_id":"PNL.COGS","normal_balance":"debit","nature":"cost_of_revenue","function":"cost_of_revenue","default_cost_centre":"SUP","reducer":"SUM","prudential_expense":true,"classification":{"recurrence":"recurring","commitment":"committed","behaviour":"variable"}},{"account_id":"GL.OPEX.REG.LEGAL_APP","local_code":null,"name":"Legal and regulatory advice for the licence application","statement":"PNL","statement_row_id":"PNL.OPEX","normal_balance":"debit","nature":"operating_expense","function":"general_admin","default_cost_centre":"COMP","reducer":"SUM","prudential_expense":true,"classification":{"recurrence":"one_off","commitment":"committed","behaviour":"fixed"}},{"account_id":"GL.OPEX.REG.BAFIN_FEE","local_code":null,"name":"BaFin authorisation fee","statement":"PNL","statement_row_id":"PNL.OPEX","normal_balance":"debit","nature":"operating_expense","function":"general_admin","default_cost_centre":"COMP","reducer":"SUM","prudential_expense":true,"classification":{"recurrence":"one_off","commitment":"committed","behaviour":"fixed"}},{"account_id":"GL.OPEX.REG.DORA_SETUP","local_code":null,"name":"DORA framework set-up","statement":"PNL","statement_row_id":"PNL.OPEX","normal_balance":"debit","nature":"operating_expense","function":"general_admin","default_cost_centre":"COMP","reducer":"SUM","prudential_expense":true,"classification":{"recurrence":"one_off","commitment":"committed","behaviour":"fixed"}},{"account_id":"GL.OPEX.REG.LEVY","local_code":null,"name":"BaFin levy","statement":"PNL","statement_row_id":"PNL.OPEX","normal_balance":"debit","nature":"operating_expense","function":"general_admin","default_cost_centre":"COMP","reducer":"SUM","prudential_expense":true,"classification":{"recurrence":"recurring","commitment":"committed","behaviour":"fixed"}},{"account_id":"GL.OPEX.REG.AUDIT","local_code":null,"name":"Statutory and regulatory audit","statement":"PNL","statement_row_id":"PNL.OPEX","normal_balance":"debit","nature":"operating_expense","function":"general_admin","default_cost_centre":"COMP","reducer":"SUM","prudential_expense":true,"classification":{"recurrence":"recurring","commitment":"committed","behaviour":"fixed"}},{"account_id":"GL.OPEX.REG.INT_AUDIT","local_code":null,"name":"Outsourced internal audit","statement":"PNL","statement_row_id":"PNL.OPEX","normal_balance":"debit","nature":"operating_expense","function":"general_admin","default_cost_centre":"COMP","reducer":"SUM","prudential_expense":true,"classification":{"recurrence":"recurring","commitment":"committed","behaviour":"fixed"}},{"account_id":"GL.OPEX.REG.LEGAL_RUN","local_code":null,"name":"Ongoing legal advice","statement":"PNL","statement_row_id":"PNL.OPEX","normal_balance":"debit","nature":"operating_expense","function":"general_admin","default_cost_centre":"COMP","reducer":"SUM","prudential_expense":true,"classification":{"recurrence":"recurring","commitment":"committed","behaviour":"fixed"}},{"account_id":"GL.OPEX.REG.DORA_TEST","local_code":null,"name":"Penetration and resilience testing","statement":"PNL","statement_row_id":"PNL.OPEX","normal_balance":"debit","nature":"operating_expense","function":"general_admin","default_cost_centre":"COMP","reducer":"SUM","prudential_expense":true,"classification":{"recurrence":"recurring","commitment":"committed","behaviour":"fixed"}},{"account_id":"GL.OPEX.REG.SURVEIL","local_code":null,"name":"Market-abuse surveillance tools","statement":"PNL","statement_row_id":"PNL.OPEX","normal_balance":"debit","nature":"operating_expense","function":"general_admin","default_cost_centre":"COMP","reducer":"SUM","prudential_expense":true,"classification":{"recurrence":"recurring","commitment":"committed","behaviour":"fixed"}},{"account_id":"GL.OPEX.REG.INSURANCE","local_code":null,"name":"Professional indemnity, D&amp;O and cyber insurance","statement":"PNL","statement_row_id":"PNL.OPEX","normal_balance":"debit","nature":"operating_expense","function":"general_admin","default_cost_centre":"COMP","reducer":"SUM","prudential_expense":true,"classification":{"recurrence":"recurring","commitment":"committed","behaviour":"fixed"}},{"account_id":"GL.PEOPLE.SALARY","local_code":null,"name":"Salaries","statement":"PNL","statement_row_id":"PNL.PEOPLE","normal_balance":"debit","nature":"people","function":"general_admin","default_cost_centre":"CORP","reducer":"SUM","prudential_expense":true,"classification":{"recurrence":"recurring","commitment":"committed","behaviour":"fixed"}},{"account_id":"GL.PEOPLE.RV","local_code":null,"name":"Employer pension insurance (RV)","statement":"PNL","statement_row_id":"PNL.PEOPLE","normal_balance":"debit","nature":"people","function":"general_admin","default_cost_centre":"CORP","reducer":"SUM","prudential_expense":true,"classification":{"recurrence":"recurring","commitment":"committed","behaviour":"fixed"}},{"account_id":"GL.PEOPLE.AV","local_code":null,"name":"Employer unemployment insurance (AV)","statement":"PNL","statement_row_id":"PNL.PEOPLE","normal_balance":"debit","nature":"people","function":"general_admin","default_cost_centre":"CORP","reducer":"SUM","prudential_expense":true,"classification":{"recurrence":"recurring","commitment":"committed","behaviour":"fixed"}},{"account_id":"GL.PEOPLE.KV","local_code":null,"name":"Employer health insurance (KV)","statement":"PNL","statement_row_id":"PNL.PEOPLE","normal_balance":"debit","nature":"people","function":"general_admin","default_cost_centre":"CORP","reducer":"SUM","prudential_expense":true,"classification":{"recurrence":"recurring","commitment":"committed","behaviour":"fixed"}},{"account_id":"GL.PEOPLE.PV","local_code":null,"name":"Employer long-term care insurance (PV)","statement":"PNL","statement_row_id":"PNL.PEOPLE","normal_balance":"debit","nature":"people","function":"general_admin","default_cost_centre":"CORP","reducer":"SUM","prudential_expense":true,"classification":{"recurrence":"recurring","commitment":"committed","behaviour":"fixed"}},{"account_id":"GL.PEOPLE.U1","local_code":null,"name":"Sick-pay levy (U1)","statement":"PNL","statement_row_id":"PNL.PEOPLE","normal_balance":"debit","nature":"people","function":"general_admin","default_cost_centre":"CORP","reducer":"SUM","prudential_expense":true,"classification":{"recurrence":"recurring","commitment":"committed","behaviour":"fixed"}},{"account_id":"GL.PEOPLE.U2","local_code":null,"name":"Maternity levy (U2)","statement":"PNL","statement_row_id":"PNL.PEOPLE","normal_balance":"debit","nature":"people","function":"general_admin","default_cost_centre":"CORP","reducer":"SUM","prudential_expense":true,"classification":{"recurrence":"recurring","commitment":"committed","behaviour":"fixed"}},{"account_id":"GL.PEOPLE.INSOLV","local_code":null,"name":"Insolvency levy","statement":"PNL","statement_row_id":"PNL.PEOPLE","normal_balance":"debit","nature":"people","function":"general_admin","default_cost_centre":"CORP","reducer":"SUM","prudential_expense":true,"classification":{"recurrence":"recurring","commitment":"committed","behaviour":"fixed"}},{"account_id":"GL.PEOPLE.BG","local_code":null,"name":"Statutory accident insurance (BG)","statement":"PNL","statement_row_id":"PNL.PEOPLE","normal_balance":"debit","nature":"people","function":"general_admin","default_cost_centre":"CORP","reducer":"SUM","prudential_expense":true,"classification":{"recurrence":"recurring","commitment":"committed","behaviour":"fixed"}},{"account_id":"GL.DEPR.IT","local_code":null,"name":"Depreciation, IT equipment","statement":"PNL","statement_row_id":"PNL.DEPRECIATION","normal_balance":"debit","nature":"depreciation","function":"general_admin","default_cost_centre":"CORP","reducer":"SUM","prudential_expense":true,"classification":{"recurrence":"recurring","commitment":"committed","behaviour":"fixed"}},{"account_id":"GL.DEPR.FITOUT","local_code":null,"name":"Depreciation, office fit-out","statement":"PNL","statement_row_id":"PNL.DEPRECIATION","normal_balance":"debit","nature":"depreciation","function":"general_admin","default_cost_centre":"CORP","reducer":"SUM","prudential_expense":true,"classification":{"recurrence":"recurring","commitment":"committed","behaviour":"fixed"}},{"account_id":"GL.OPEX.OPX.ROUND_COSTS.B.NOTARY","local_code":null,"name":"Series B notary cost","statement":"PNL","statement_row_id":"PNL.OPEX","normal_balance":"debit","nature":"operating_expense","function":"general_admin","default_cost_centre":"FIN","reducer":"SUM","prudential_expense":true,"classification":{"recurrence":"one_off","commitment":"committed","behaviour":"fixed"}},{"account_id":"GL.OPEX.OPX.ROUND_COSTS.B.LEGAL","local_code":null,"name":"Series B legal cost","statement":"PNL","statement_row_id":"PNL.OPEX","normal_balance":"debit","nature":"operating_expense","function":"general_admin","default_cost_centre":"FIN","reducer":"SUM","prudential_expense":true,"classification":{"recurrence":"one_off","commitment":"committed","behaviour":"fixed"}}],"mappings":[{"mapping_id":"MAP.COST.OPX.DESK","source_row_id":"OPX.DESK","posting_owner":"Opex","stream":"CORPORATE","cost_centre":"CORP","vendor_id":"UNKNOWN_FORECAST","tax_code":"DE_IN19","cash_class":"operating","classification":{"recurrence":"recurring","commitment":"committed","behaviour":"fixed"},"legs":[{"leg_id":"MAP.COST.OPX.DESK.L01","side":"debit","account_id":"GL.OPEX.OPX.DESK","amount_component":"net_plus_unrecoverable_vat"},{"leg_id":"MAP.COST.OPX.DESK.L02","side":"debit","account_id":"GL.VAT.DOM_ASSET","amount_component":"recoverable_vat"},{"leg_id":"MAP.COST.OPX.DESK.L03","side":"credit","account_id":"GL.AP.SUPPLIER","amount_component":"gross"}],"report_allocations":[{"leg_id":"MAP.COST.OPX.DESK.L01","view_id":"statement","report_row_id":"PNL.OPEX","weight":1},{"leg_id":"MAP.COST.OPX.DESK.L01","view_id":"nature","report_row_id":"operating_expense","weight":1},{"leg_id":"MAP.COST.OPX.DESK.L01","view_id":"function","report_row_id":"general_admin","weight":1},{"leg_id":"MAP.COST.OPX.DESK.L01","view_id":"cost_centre","report_row_id":"CORP","weight":1},{"leg_id":"MAP.COST.OPX.DESK.L01","view_id":"vendor","report_row_id":"UNKNOWN_FORECAST","weight":1},{"leg_id":"MAP.COST.OPX.DESK.L01","view_id":"recurrence","report_row_id":"recurring","weight":1},{"leg_id":"MAP.COST.OPX.DESK.L01","view_id":"commitment","report_row_id":"committed","weight":1},{"leg_id":"MAP.COST.OPX.DESK.L01","view_id":"behaviour","report_row_id":"fixed","weight":1},{"leg_id":"MAP.COST.OPX.DESK.L02","view_id":"statement","report_row_id":"BS.TAX_ASSETS","weight":1},{"leg_id":"MAP.COST.OPX.DESK.L02","view_id":"nature","report_row_id":"tax_assets","weight":1},{"leg_id":"MAP.COST.OPX.DESK.L02","view_id":"function","report_row_id":"balance_sheet","weight":1},{"leg_id":"MAP.COST.OPX.DESK.L02","view_id":"cost_centre","report_row_id":"CORP","weight":1},{"leg_id":"MAP.COST.OPX.DESK.L02","view_id":"vendor","report_row_id":"UNKNOWN_FORECAST","weight":1},{"leg_id":"MAP.COST.OPX.DESK.L02","view_id":"recurrence","report_row_id":"not_applicable","weight":1},{"leg_id":"MAP.COST.OPX.DESK.L02","view_id":"commitment","report_row_id":"not_applicable","weight":1},{"leg_id":"MAP.COST.OPX.DESK.L02","view_id":"behaviour","report_row_id":"not_applicable","weight":1},{"leg_id":"MAP.COST.OPX.DESK.L03","view_id":"statement","report_row_id":"BS.AP","weight":1},{"leg_id":"MAP.COST.OPX.DESK.L03","view_id":"nature","report_row_id":"ap","weight":1},{"leg_id":"MAP.COST.OPX.DESK.L03","view_id":"function","report_row_id":"balance_sheet","weight":1},{"leg_id":"MAP.COST.OPX.DESK.L03","view_id":"cost_centre","report_row_id":"CORP","weight":1},{"leg_id":"MAP.COST.OPX.DESK.L03","view_id":"vendor","report_row_id":"UNKNOWN_FORECAST","weight":1},{"leg_id":"MAP.COST.OPX.DESK.L03","view_id":"recurrence","report_row_id":"not_applicable","weight":1},{"leg_id":"MAP.COST.OPX.DESK.L03","view_id":"commitment","report_row_id":"not_applicable","weight":1},{"leg_id":"MAP.COST.OPX.DESK.L03","view_id":"behaviour","report_row_id":"not_applicable","weight":1}]},{"mapping_id":"MAP.COST.OPX.OFFICE","source_row_id":"OPX.OFFICE","posting_owner":"Opex","stream":"CORPORATE","cost_centre":"CORP","vendor_id":"UNKNOWN_FORECAST","tax_code":"DE_IN19","cash_class":"operating","classification":{"recurrence":"recurring","commitment":"committed","behaviour":"fixed"},"legs":[{"leg_id":"MAP.COST.OPX.OFFICE.L01","side":"debit","account_id":"GL.OPEX.OPX.OFFICE","amount_component":"net_plus_unrecoverable_vat"},{"leg_id":"MAP.COST.OPX.OFFICE.L02","side":"debit","account_id":"GL.VAT.DOM_ASSET","amount_component":"recoverable_vat"},{"leg_id":"MAP.COST.OPX.OFFICE.L03","side":"credit","account_id":"GL.AP.SUPPLIER","amount_component":"gross"}],"report_allocations":[{"leg_id":"MAP.COST.OPX.OFFICE.L01","view_id":"statement","report_row_id":"PNL.OPEX","weight":1},{"leg_id":"MAP.COST.OPX.OFFICE.L01","view_id":"nature","report_row_id":"operating_expense","weight":1},{"leg_id":"MAP.COST.OPX.OFFICE.L01","view_id":"function","report_row_id":"general_admin","weight":1},{"leg_id":"MAP.COST.OPX.OFFICE.L01","view_id":"cost_centre","report_row_id":"CORP","weight":1},{"leg_id":"MAP.COST.OPX.OFFICE.L01","view_id":"vendor","report_row_id":"UNKNOWN_FORECAST","weight":1},{"leg_id":"MAP.COST.OPX.OFFICE.L01","view_id":"recurrence","report_row_id":"recurring","weight":1},{"leg_id":"MAP.COST.OPX.OFFICE.L01","view_id":"commitment","report_row_id":"committed","weight":1},{"leg_id":"MAP.COST.OPX.OFFICE.L01","view_id":"behaviour","report_row_id":"fixed","weight":1},{"leg_id":"MAP.COST.OPX.OFFICE.L02","view_id":"statement","report_row_id":"BS.TAX_ASSETS","weight":1},{"leg_id":"MAP.COST.OPX.OFFICE.L02","view_id":"nature","report_row_id":"tax_assets","weight":1},{"leg_id":"MAP.COST.OPX.OFFICE.L02","view_id":"function","report_row_id":"balance_sheet","weight":1},{"leg_id":"MAP.COST.OPX.OFFICE.L02","view_id":"cost_centre","report_row_id":"CORP","weight":1},{"leg_id":"MAP.COST.OPX.OFFICE.L02","view_id":"vendor","report_row_id":"UNKNOWN_FORECAST","weight":1},{"leg_id":"MAP.COST.OPX.OFFICE.L02","view_id":"recurrence","report_row_id":"not_applicable","weight":1},{"leg_id":"MAP.COST.OPX.OFFICE.L02","view_id":"commitment","report_row_id":"not_applicable","weight":1},{"leg_id":"MAP.COST.OPX.OFFICE.L02","view_id":"behaviour","report_row_id":"not_applicable","weight":1},{"leg_id":"MAP.COST.OPX.OFFICE.L03","view_id":"statement","report_row_id":"BS.AP","weight":1},{"leg_id":"MAP.COST.OPX.OFFICE.L03","view_id":"nature","report_row_id":"ap","weight":1},{"leg_id":"MAP.COST.OPX.OFFICE.L03","view_id":"function","report_row_id":"balance_sheet","weight":1},{"leg_id":"MAP.COST.OPX.OFFICE.L03","view_id":"cost_centre","report_row_id":"CORP","weight":1},{"leg_id":"MAP.COST.OPX.OFFICE.L03","view_id":"vendor","report_row_id":"UNKNOWN_FORECAST","weight":1},{"leg_id":"MAP.COST.OPX.OFFICE.L03","view_id":"recurrence","report_row_id":"not_applicable","weight":1},{"leg_id":"MAP.COST.OPX.OFFICE.L03","view_id":"commitment","report_row_id":"not_applicable","weight":1},{"leg_id":"MAP.COST.OPX.OFFICE.L03","view_id":"behaviour","report_row_id":"not_applicable","weight":1}]},{"mapping_id":"MAP.CAPEX.OPX.FITOUT","source_row_id":"CAP.FITOUT_ADDITIONS","posting_owner":"Capex","stream":"CORPORATE","cost_centre":"CORP","vendor_id":"UNKNOWN_FORECAST","tax_code":"DE_IN19","cash_class":"investing","classification":{"recurrence":"one_off","commitment":"committed","behaviour":"fixed"},"legs":[{"leg_id":"MAP.CAPEX.OPX.FITOUT.L01","side":"debit","account_id":"GL.ASSET.FITOUT","amount_component":"net_plus_unrecoverable_vat"},{"leg_id":"MAP.CAPEX.OPX.FITOUT.L02","side":"debit","account_id":"GL.VAT.DOM_ASSET","amount_component":"recoverable_vat"},{"leg_id":"MAP.CAPEX.OPX.FITOUT.L03","side":"credit","account_id":"GL.AP.CAPEX","amount_component":"gross"}],"report_allocations":[{"leg_id":"MAP.CAPEX.OPX.FITOUT.L01","view_id":"statement","report_row_id":"BS.ASSET_GROSS","weight":1},{"leg_id":"MAP.CAPEX.OPX.FITOUT.L01","view_id":"nature","report_row_id":"asset_gross","weight":1},{"leg_id":"MAP.CAPEX.OPX.FITOUT.L01","view_id":"function","report_row_id":"balance_sheet","weight":1},{"leg_id":"MAP.CAPEX.OPX.FITOUT.L01","view_id":"cost_centre","report_row_id":"CORP","weight":1},{"leg_id":"MAP.CAPEX.OPX.FITOUT.L01","view_id":"vendor","report_row_id":"UNKNOWN_FORECAST","weight":1},{"leg_id":"MAP.CAPEX.OPX.FITOUT.L01","view_id":"recurrence","report_row_id":"not_applicable","weight":1},{"leg_id":"MAP.CAPEX.OPX.FITOUT.L01","view_id":"commitment","report_row_id":"not_applicable","weight":1},{"leg_id":"MAP.CAPEX.OPX.FITOUT.L01","view_id":"behaviour","report_row_id":"not_applicable","weight":1},{"leg_id":"MAP.CAPEX.OPX.FITOUT.L02","view_id":"statement","report_row_id":"BS.TAX_ASSETS","weight":1},{"leg_id":"MAP.CAPEX.OPX.FITOUT.L02","view_id":"nature","report_row_id":"tax_assets","weight":1},{"leg_id":"MAP.CAPEX.OPX.FITOUT.L02","view_id":"function","report_row_id":"balance_sheet","weight":1},{"leg_id":"MAP.CAPEX.OPX.FITOUT.L02","view_id":"cost_centre","report_row_id":"CORP","weight":1},{"leg_id":"MAP.CAPEX.OPX.FITOUT.L02","view_id":"vendor","report_row_id":"UNKNOWN_FORECAST","weight":1},{"leg_id":"MAP.CAPEX.OPX.FITOUT.L02","view_id":"recurrence","report_row_id":"not_applicable","weight":1},{"leg_id":"MAP.CAPEX.OPX.FITOUT.L02","view_id":"commitment","report_row_id":"not_applicable","weight":1},{"leg_id":"MAP.CAPEX.OPX.FITOUT.L02","view_id":"behaviour","report_row_id":"not_applicable","weight":1},{"leg_id":"MAP.CAPEX.OPX.FITOUT.L03","view_id":"statement","report_row_id":"BS.AP","weight":1},{"leg_id":"MAP.CAPEX.OPX.FITOUT.L03","view_id":"nature","report_row_id":"ap","weight":1},{"leg_id":"MAP.CAPEX.OPX.FITOUT.L03","view_id":"function","report_row_id":"balance_sheet","weight":1},{"leg_id":"MAP.CAPEX.OPX.FITOUT.L03","view_id":"cost_centre","report_row_id":"CORP","weight":1},{"leg_id":"MAP.CAPEX.OPX.FITOUT.L03","view_id":"vendor","report_row_id":"UNKNOWN_FORECAST","weight":1},{"leg_id":"MAP.CAPEX.OPX.FITOUT.L03","view_id":"recurrence","report_row_id":"not_applicable","weight":1},{"leg_id":"MAP.CAPEX.OPX.FITOUT.L03","view_id":"commitment","report_row_id":"not_applicable","weight":1},{"leg_id":"MAP.CAPEX.OPX.FITOUT.L03","view_id":"behaviour","report_row_id":"not_applicable","weight":1}]},{"mapping_id":"MAP.COST.OPX.BRAND","source_row_id":"OPX.BRAND","posting_owner":"Opex","stream":"CORPORATE","cost_centre":"MKT","vendor_id":"UNKNOWN_FORECAST","tax_code":"DE_IN19","cash_class":"operating","classification":{"recurrence":"recurring","commitment":"discretionary","behaviour":"fixed"},"legs":[{"leg_id":"MAP.COST.OPX.BRAND.L01","side":"debit","account_id":"GL.OPEX.OPX.BRAND","amount_component":"net_plus_unrecoverable_vat"},{"leg_id":"MAP.COST.OPX.BRAND.L02","side":"debit","account_id":"GL.VAT.DOM_ASSET","amount_component":"recoverable_vat"},{"leg_id":"MAP.COST.OPX.BRAND.L03","side":"credit","account_id":"GL.AP.SUPPLIER","amount_component":"gross"}],"report_allocations":[{"leg_id":"MAP.COST.OPX.BRAND.L01","view_id":"statement","report_row_id":"PNL.OPEX","weight":1},{"leg_id":"MAP.COST.OPX.BRAND.L01","view_id":"nature","report_row_id":"operating_expense","weight":1},{"leg_id":"MAP.COST.OPX.BRAND.L01","view_id":"function","report_row_id":"sales_marketing","weight":1},{"leg_id":"MAP.COST.OPX.BRAND.L01","view_id":"cost_centre","report_row_id":"MKT","weight":1},{"leg_id":"MAP.COST.OPX.BRAND.L01","view_id":"vendor","report_row_id":"UNKNOWN_FORECAST","weight":1},{"leg_id":"MAP.COST.OPX.BRAND.L01","view_id":"recurrence","report_row_id":"recurring","weight":1},{"leg_id":"MAP.COST.OPX.BRAND.L01","view_id":"commitment","report_row_id":"discretionary","weight":1},{"leg_id":"MAP.COST.OPX.BRAND.L01","view_id":"behaviour","report_row_id":"fixed","weight":1},{"leg_id":"MAP.COST.OPX.BRAND.L02","view_id":"statement","report_row_id":"BS.TAX_ASSETS","weight":1},{"leg_id":"MAP.COST.OPX.BRAND.L02","view_id":"nature","report_row_id":"tax_assets","weight":1},{"leg_id":"MAP.COST.OPX.BRAND.L02","view_id":"function","report_row_id":"balance_sheet","weight":1},{"leg_id":"MAP.COST.OPX.BRAND.L02","view_id":"cost_centre","report_row_id":"MKT","weight":1},{"leg_id":"MAP.COST.OPX.BRAND.L02","view_id":"vendor","report_row_id":"UNKNOWN_FORECAST","weight":1},{"leg_id":"MAP.COST.OPX.BRAND.L02","view_id":"recurrence","report_row_id":"not_applicable","weight":1},{"leg_id":"MAP.COST.OPX.BRAND.L02","view_id":"commitment","report_row_id":"not_applicable","weight":1},{"leg_id":"MAP.COST.OPX.BRAND.L02","view_id":"behaviour","report_row_id":"not_applicable","weight":1},{"leg_id":"MAP.COST.OPX.BRAND.L03","view_id":"statement","report_row_id":"BS.AP","weight":1},{"leg_id":"MAP.COST.OPX.BRAND.L03","view_id":"nature","report_row_id":"ap","weight":1},{"leg_id":"MAP.COST.OPX.BRAND.L03","view_id":"function","report_row_id":"balance_sheet","weight":1},{"leg_id":"MAP.COST.OPX.BRAND.L03","view_id":"cost_centre","report_row_id":"MKT","weight":1},{"leg_id":"MAP.COST.OPX.BRAND.L03","view_id":"vendor","report_row_id":"UNKNOWN_FORECAST","weight":1},{"leg_id":"MAP.COST.OPX.BRAND.L03","view_id":"recurrence","report_row_id":"not_applicable","weight":1},{"leg_id":"MAP.COST.OPX.BRAND.L03","view_id":"commitment","report_row_id":"not_applicable","weight":1},{"leg_id":"MAP.COST.OPX.BRAND.L03","view_id":"behaviour","report_row_id":"not_applicable","weight":1}]},{"mapping_id":"MAP.COST.OPX.CONTEST","source_row_id":"OPX.CONTEST","posting_owner":"Opex","stream":"CORPORATE","cost_centre":"MKT","vendor_id":"UNKNOWN_FORECAST","tax_code":"NONE","cash_class":"operating","classification":{"recurrence":"recurring","commitment":"discretionary","behaviour":"fixed"},"legs":[{"leg_id":"MAP.COST.OPX.CONTEST.L01","side":"debit","account_id":"GL.OPEX.OPX.CONTEST","amount_component":"net"},{"leg_id":"MAP.COST.OPX.CONTEST.L02","side":"credit","account_id":"GL.AP.SUPPLIER","amount_component":"net"}],"report_allocations":[{"leg_id":"MAP.COST.OPX.CONTEST.L01","view_id":"statement","report_row_id":"PNL.OPEX","weight":1},{"leg_id":"MAP.COST.OPX.CONTEST.L01","view_id":"nature","report_row_id":"operating_expense","weight":1},{"leg_id":"MAP.COST.OPX.CONTEST.L01","view_id":"function","report_row_id":"sales_marketing","weight":1},{"leg_id":"MAP.COST.OPX.CONTEST.L01","view_id":"cost_centre","report_row_id":"MKT","weight":1},{"leg_id":"MAP.COST.OPX.CONTEST.L01","view_id":"vendor","report_row_id":"UNKNOWN_FORECAST","weight":1},{"leg_id":"MAP.COST.OPX.CONTEST.L01","view_id":"recurrence","report_row_id":"recurring","weight":1},{"leg_id":"MAP.COST.OPX.CONTEST.L01","view_id":"commitment","report_row_id":"discretionary","weight":1},{"leg_id":"MAP.COST.OPX.CONTEST.L01","view_id":"behaviour","report_row_id":"fixed","weight":1},{"leg_id":"MAP.COST.OPX.CONTEST.L02","view_id":"statement","report_row_id":"BS.AP","weight":1},{"leg_id":"MAP.COST.OPX.CONTEST.L02","view_id":"nature","report_row_id":"ap","weight":1},{"leg_id":"MAP.COST.OPX.CONTEST.L02","view_id":"function","report_row_id":"balance_sheet","weight":1},{"leg_id":"MAP.COST.OPX.CONTEST.L02","view_id":"cost_centre","report_row_id":"MKT","weight":1},{"leg_id":"MAP.COST.OPX.CONTEST.L02","view_id":"vendor","report_row_id":"UNKNOWN_FORECAST","weight":1},{"leg_id":"MAP.COST.OPX.CONTEST.L02","view_id":"recurrence","report_row_id":"not_applicable","weight":1},{"leg_id":"MAP.COST.OPX.CONTEST.L02","view_id":"commitment","report_row_id":"not_applicable","weight":1},{"leg_id":"MAP.COST.OPX.CONTEST.L02","view_id":"behaviour","report_row_id":"not_applicable","weight":1}]},{"mapping_id":"MAP.COST.OPX.REFERRAL","source_row_id":"OPX.REFERRAL","posting_owner":"Opex","stream":"CORPORATE","cost_centre":"MKT","vendor_id":"UNKNOWN_FORECAST","tax_code":"NONE","cash_class":"operating","classification":{"recurrence":"recurring","commitment":"discretionary","behaviour":"variable"},"legs":[{"leg_id":"MAP.COST.OPX.REFERRAL.L01","side":"debit","account_id":"GL.OPEX.OPX.REFERRAL","amount_component":"net"},{"leg_id":"MAP.COST.OPX.REFERRAL.L02","side":"credit","account_id":"GL.AP.SUPPLIER","amount_component":"net"}],"report_allocations":[{"leg_id":"MAP.COST.OPX.REFERRAL.L01","view_id":"statement","report_row_id":"PNL.OPEX","weight":1},{"leg_id":"MAP.COST.OPX.REFERRAL.L01","view_id":"nature","report_row_id":"operating_expense","weight":1},{"leg_id":"MAP.COST.OPX.REFERRAL.L01","view_id":"function","report_row_id":"sales_marketing","weight":1},{"leg_id":"MAP.COST.OPX.REFERRAL.L01","view_id":"cost_centre","report_row_id":"MKT","weight":1},{"leg_id":"MAP.COST.OPX.REFERRAL.L01","view_id":"vendor","report_row_id":"UNKNOWN_FORECAST","weight":1},{"leg_id":"MAP.COST.OPX.REFERRAL.L01","view_id":"recurrence","report_row_id":"recurring","weight":1},{"leg_id":"MAP.COST.OPX.REFERRAL.L01","view_id":"commitment","report_row_id":"discretionary","weight":1},{"leg_id":"MAP.COST.OPX.REFERRAL.L01","view_id":"behaviour","report_row_id":"variable","weight":1},{"leg_id":"MAP.COST.OPX.REFERRAL.L02","view_id":"statement","report_row_id":"BS.AP","weight":1},{"leg_id":"MAP.COST.OPX.REFERRAL.L02","view_id":"nature","report_row_id":"ap","weight":1},{"leg_id":"MAP.COST.OPX.REFERRAL.L02","view_id":"function","report_row_id":"balance_sheet","weight":1},{"leg_id":"MAP.COST.OPX.REFERRAL.L02","view_id":"cost_centre","report_row_id":"MKT","weight":1},{"leg_id":"MAP.COST.OPX.REFERRAL.L02","view_id":"vendor","report_row_id":"UNKNOWN_FORECAST","weight":1},{"leg_id":"MAP.COST.OPX.REFERRAL.L02","view_id":"recurrence","report_row_id":"not_applicable","weight":1},{"leg_id":"MAP.COST.OPX.REFERRAL.L02","view_id":"commitment","report_row_id":"not_applicable","weight":1},{"leg_id":"MAP.COST.OPX.REFERRAL.L02","view_id":"behaviour","report_row_id":"not_applicable","weight":1}]},{"mapping_id":"MAP.COST.OPX.BOOKKEEP","source_row_id":"OPX.BOOKKEEP","posting_owner":"Opex","stream":"CORPORATE","cost_centre":"FIN","vendor_id":"UNKNOWN_FORECAST","tax_code":"DE_IN19","cash_class":"operating","classification":{"recurrence":"recurring","commitment":"committed","behaviour":"fixed"},"legs":[{"leg_id":"MAP.COST.OPX.BOOKKEEP.L01","side":"debit","account_id":"GL.OPEX.OPX.BOOKKEEP","amount_component":"net_plus_unrecoverable_vat"},{"leg_id":"MAP.COST.OPX.BOOKKEEP.L02","side":"debit","account_id":"GL.VAT.DOM_ASSET","amount_component":"recoverable_vat"},{"leg_id":"MAP.COST.OPX.BOOKKEEP.L03","side":"credit","account_id":"GL.AP.SUPPLIER","amount_component":"gross"}],"report_allocations":[{"leg_id":"MAP.COST.OPX.BOOKKEEP.L01","view_id":"statement","report_row_id":"PNL.OPEX","weight":1},{"leg_id":"MAP.COST.OPX.BOOKKEEP.L01","view_id":"nature","report_row_id":"operating_expense","weight":1},{"leg_id":"MAP.COST.OPX.BOOKKEEP.L01","view_id":"function","report_row_id":"general_admin","weight":1},{"leg_id":"MAP.COST.OPX.BOOKKEEP.L01","view_id":"cost_centre","report_row_id":"FIN","weight":1},{"leg_id":"MAP.COST.OPX.BOOKKEEP.L01","view_id":"vendor","report_row_id":"UNKNOWN_FORECAST","weight":1},{"leg_id":"MAP.COST.OPX.BOOKKEEP.L01","view_id":"recurrence","report_row_id":"recurring","weight":1},{"leg_id":"MAP.COST.OPX.BOOKKEEP.L01","view_id":"commitment","report_row_id":"committed","weight":1},{"leg_id":"MAP.COST.OPX.BOOKKEEP.L01","view_id":"behaviour","report_row_id":"fixed","weight":1},{"leg_id":"MAP.COST.OPX.BOOKKEEP.L02","view_id":"statement","report_row_id":"BS.TAX_ASSETS","weight":1},{"leg_id":"MAP.COST.OPX.BOOKKEEP.L02","view_id":"nature","report_row_id":"tax_assets","weight":1},{"leg_id":"MAP.COST.OPX.BOOKKEEP.L02","view_id":"function","report_row_id":"balance_sheet","weight":1},{"leg_id":"MAP.COST.OPX.BOOKKEEP.L02","view_id":"cost_centre","report_row_id":"FIN","weight":1},{"leg_id":"MAP.COST.OPX.BOOKKEEP.L02","view_id":"vendor","report_row_id":"UNKNOWN_FORECAST","weight":1},{"leg_id":"MAP.COST.OPX.BOOKKEEP.L02","view_id":"recurrence","report_row_id":"not_applicable","weight":1},{"leg_id":"MAP.COST.OPX.BOOKKEEP.L02","view_id":"commitment","report_row_id":"not_applicable","weight":1},{"leg_id":"MAP.COST.OPX.BOOKKEEP.L02","view_id":"behaviour","report_row_id":"not_applicable","weight":1},{"leg_id":"MAP.COST.OPX.BOOKKEEP.L03","view_id":"statement","report_row_id":"BS.AP","weight":1},{"leg_id":"MAP.COST.OPX.BOOKKEEP.L03","view_id":"nature","report_row_id":"ap","weight":1},{"leg_id":"MAP.COST.OPX.BOOKKEEP.L03","view_id":"function","report_row_id":"balance_sheet","weight":1},{"leg_id":"MAP.COST.OPX.BOOKKEEP.L03","view_id":"cost_centre","report_row_id":"FIN","weight":1},{"leg_id":"MAP.COST.OPX.BOOKKEEP.L03","view_id":"vendor","report_row_id":"UNKNOWN_FORECAST","weight":1},{"leg_id":"MAP.COST.OPX.BOOKKEEP.L03","view_id":"recurrence","report_row_id":"not_applicable","weight":1},{"leg_id":"MAP.COST.OPX.BOOKKEEP.L03","view_id":"commitment","report_row_id":"not_applicable","weight":1},{"leg_id":"MAP.COST.OPX.BOOKKEEP.L03","view_id":"behaviour","report_row_id":"not_applicable","weight":1}]},{"mapping_id":"MAP.COST.OPX.PAYROLL","source_row_id":"OPX.PAYROLL","posting_owner":"Opex","stream":"CORPORATE","cost_centre":"FIN","vendor_id":"UNKNOWN_FORECAST","tax_code":"DE_IN19","cash_class":"operating","classification":{"recurrence":"recurring","commitment":"committed","behaviour":"fixed"},"legs":[{"leg_id":"MAP.COST.OPX.PAYROLL.L01","side":"debit","account_id":"GL.OPEX.OPX.PAYROLL","amount_component":"net_plus_unrecoverable_vat"},{"leg_id":"MAP.COST.OPX.PAYROLL.L02","side":"debit","account_id":"GL.VAT.DOM_ASSET","amount_component":"recoverable_vat"},{"leg_id":"MAP.COST.OPX.PAYROLL.L03","side":"credit","account_id":"GL.AP.SUPPLIER","amount_component":"gross"}],"report_allocations":[{"leg_id":"MAP.COST.OPX.PAYROLL.L01","view_id":"statement","report_row_id":"PNL.OPEX","weight":1},{"leg_id":"MAP.COST.OPX.PAYROLL.L01","view_id":"nature","report_row_id":"operating_expense","weight":1},{"leg_id":"MAP.COST.OPX.PAYROLL.L01","view_id":"function","report_row_id":"general_admin","weight":1},{"leg_id":"MAP.COST.OPX.PAYROLL.L01","view_id":"cost_centre","report_row_id":"FIN","weight":1},{"leg_id":"MAP.COST.OPX.PAYROLL.L01","view_id":"vendor","report_row_id":"UNKNOWN_FORECAST","weight":1},{"leg_id":"MAP.COST.OPX.PAYROLL.L01","view_id":"recurrence","report_row_id":"recurring","weight":1},{"leg_id":"MAP.COST.OPX.PAYROLL.L01","view_id":"commitment","report_row_id":"committed","weight":1},{"leg_id":"MAP.COST.OPX.PAYROLL.L01","view_id":"behaviour","report_row_id":"fixed","weight":1},{"leg_id":"MAP.COST.OPX.PAYROLL.L02","view_id":"statement","report_row_id":"BS.TAX_ASSETS","weight":1},{"leg_id":"MAP.COST.OPX.PAYROLL.L02","view_id":"nature","report_row_id":"tax_assets","weight":1},{"leg_id":"MAP.COST.OPX.PAYROLL.L02","view_id":"function","report_row_id":"balance_sheet","weight":1},{"leg_id":"MAP.COST.OPX.PAYROLL.L02","view_id":"cost_centre","report_row_id":"FIN","weight":1},{"leg_id":"MAP.COST.OPX.PAYROLL.L02","view_id":"vendor","report_row_id":"UNKNOWN_FORECAST","weight":1},{"leg_id":"MAP.COST.OPX.PAYROLL.L02","view_id":"recurrence","report_row_id":"not_applicable","weight":1},{"leg_id":"MAP.COST.OPX.PAYROLL.L02","view_id":"commitment","report_row_id":"not_applicable","weight":1},{"leg_id":"MAP.COST.OPX.PAYROLL.L02","view_id":"behaviour","report_row_id":"not_applicable","weight":1},{"leg_id":"MAP.COST.OPX.PAYROLL.L03","view_id":"statement","report_row_id":"BS.AP","weight":1},{"leg_id":"MAP.COST.OPX.PAYROLL.L03","view_id":"nature","report_row_id":"ap","weight":1},{"leg_id":"MAP.COST.OPX.PAYROLL.L03","view_id":"function","report_row_id":"balance_sheet","weight":1},{"leg_id":"MAP.COST.OPX.PAYROLL.L03","view_id":"cost_centre","report_row_id":"FIN","weight":1},{"leg_id":"MAP.COST.OPX.PAYROLL.L03","view_id":"vendor","report_row_id":"UNKNOWN_FORECAST","weight":1},{"leg_id":"MAP.COST.OPX.PAYROLL.L03","view_id":"recurrence","report_row_id":"not_applicable","weight":1},{"leg_id":"MAP.COST.OPX.PAYROLL.L03","view_id":"commitment","report_row_id":"not_applicable","weight":1},{"leg_id":"MAP.COST.OPX.PAYROLL.L03","view_id":"behaviour","report_row_id":"not_applicable","weight":1}]},{"mapping_id":"MAP.ACCOUNTS.ACCRUE","source_row_id":"OPX.ACCOUNTS","posting_owner":"Opex","stream":"CORPORATE","cost_centre":"FIN","vendor_id":"UNKNOWN_FORECAST","tax_code":"NONE","cash_class":"noncash","classification":{"recurrence":"recurring","commitment":"committed","behaviour":"fixed"},"legs":[{"leg_id":"MAP.ACCOUNTS.ACCRUE.L01","side":"debit","account_id":"GL.OPEX.OPX.ACCOUNTS","amount_component":"net"},{"leg_id":"MAP.ACCOUNTS.ACCRUE.L02","side":"credit","account_id":"GL.ACCRUED.ACCOUNTS","amount_component":"net"}],"report_allocations":[{"leg_id":"MAP.ACCOUNTS.ACCRUE.L01","view_id":"statement","report_row_id":"PNL.OPEX","weight":1},{"leg_id":"MAP.ACCOUNTS.ACCRUE.L01","view_id":"nature","report_row_id":"operating_expense","weight":1},{"leg_id":"MAP.ACCOUNTS.ACCRUE.L01","view_id":"function","report_row_id":"general_admin","weight":1},{"leg_id":"MAP.ACCOUNTS.ACCRUE.L01","view_id":"cost_centre","report_row_id":"FIN","weight":1},{"leg_id":"MAP.ACCOUNTS.ACCRUE.L01","view_id":"vendor","report_row_id":"UNKNOWN_FORECAST","weight":1},{"leg_id":"MAP.ACCOUNTS.ACCRUE.L01","view_id":"recurrence","report_row_id":"recurring","weight":1},{"leg_id":"MAP.ACCOUNTS.ACCRUE.L01","view_id":"commitment","report_row_id":"committed","weight":1},{"leg_id":"MAP.ACCOUNTS.ACCRUE.L01","view_id":"behaviour","report_row_id":"fixed","weight":1},{"leg_id":"MAP.ACCOUNTS.ACCRUE.L02","view_id":"statement","report_row_id":"BS.AP","weight":1},{"leg_id":"MAP.ACCOUNTS.ACCRUE.L02","view_id":"nature","report_row_id":"ap","weight":1},{"leg_id":"MAP.ACCOUNTS.ACCRUE.L02","view_id":"function","report_row_id":"balance_sheet","weight":1},{"leg_id":"MAP.ACCOUNTS.ACCRUE.L02","view_id":"cost_centre","report_row_id":"FIN","weight":1},{"leg_id":"MAP.ACCOUNTS.ACCRUE.L02","view_id":"vendor","report_row_id":"UNKNOWN_FORECAST","weight":1},{"leg_id":"MAP.ACCOUNTS.ACCRUE.L02","view_id":"recurrence","report_row_id":"not_applicable","weight":1},{"leg_id":"MAP.ACCOUNTS.ACCRUE.L02","view_id":"commitment","report_row_id":"not_applicable","weight":1},{"leg_id":"MAP.ACCOUNTS.ACCRUE.L02","view_id":"behaviour","report_row_id":"not_applicable","weight":1}]},{"mapping_id":"MAP.ACCOUNTS.MARCH","source_row_id":"WC.ACCOUNTS_ACCRUAL","posting_owner":"Opex","stream":"CORPORATE","cost_centre":"FIN","vendor_id":"UNKNOWN_FORECAST","tax_code":"DE_IN19","cash_class":"operating","classification":{"recurrence":"recurring","commitment":"committed","behaviour":"fixed"},"legs":[{"leg_id":"MAP.ACCOUNTS.MARCH.L01","side":"debit","account_id":"GL.ACCRUED.ACCOUNTS","amount_component":"net"},{"leg_id":"MAP.ACCOUNTS.MARCH.L02","side":"debit","account_id":"GL.OPEX.OPX.ACCOUNTS","amount_component":"unrecoverable_vat"},{"leg_id":"MAP.ACCOUNTS.MARCH.L03","side":"debit","account_id":"GL.VAT.DOM_ASSET","amount_component":"recoverable_vat"},{"leg_id":"MAP.ACCOUNTS.MARCH.L04","side":"credit","account_id":"GL.CASH","amount_component":"gross"}],"report_allocations":[{"leg_id":"MAP.ACCOUNTS.MARCH.L01","view_id":"statement","report_row_id":"BS.AP","weight":1},{"leg_id":"MAP.ACCOUNTS.MARCH.L01","view_id":"nature","report_row_id":"ap","weight":1},{"leg_id":"MAP.ACCOUNTS.MARCH.L01","view_id":"function","report_row_id":"balance_sheet","weight":1},{"leg_id":"MAP.ACCOUNTS.MARCH.L01","view_id":"cost_centre","report_row_id":"FIN","weight":1},{"leg_id":"MAP.ACCOUNTS.MARCH.L01","view_id":"vendor","report_row_id":"UNKNOWN_FORECAST","weight":1},{"leg_id":"MAP.ACCOUNTS.MARCH.L01","view_id":"recurrence","report_row_id":"not_applicable","weight":1},{"leg_id":"MAP.ACCOUNTS.MARCH.L01","view_id":"commitment","report_row_id":"not_applicable","weight":1},{"leg_id":"MAP.ACCOUNTS.MARCH.L01","view_id":"behaviour","report_row_id":"not_applicable","weight":1},{"leg_id":"MAP.ACCOUNTS.MARCH.L02","view_id":"statement","report_row_id":"PNL.OPEX","weight":1},{"leg_id":"MAP.ACCOUNTS.MARCH.L02","view_id":"nature","report_row_id":"operating_expense","weight":1},{"leg_id":"MAP.ACCOUNTS.MARCH.L02","view_id":"function","report_row_id":"general_admin","weight":1},{"leg_id":"MAP.ACCOUNTS.MARCH.L02","view_id":"cost_centre","report_row_id":"FIN","weight":1},{"leg_id":"MAP.ACCOUNTS.MARCH.L02","view_id":"vendor","report_row_id":"UNKNOWN_FORECAST","weight":1},{"leg_id":"MAP.ACCOUNTS.MARCH.L02","view_id":"recurrence","report_row_id":"recurring","weight":1},{"leg_id":"MAP.ACCOUNTS.MARCH.L02","view_id":"commitment","report_row_id":"committed","weight":1},{"leg_id":"MAP.ACCOUNTS.MARCH.L02","view_id":"behaviour","report_row_id":"fixed","weight":1},{"leg_id":"MAP.ACCOUNTS.MARCH.L03","view_id":"statement","report_row_id":"BS.TAX_ASSETS","weight":1},{"leg_id":"MAP.ACCOUNTS.MARCH.L03","view_id":"nature","report_row_id":"tax_assets","weight":1},{"leg_id":"MAP.ACCOUNTS.MARCH.L03","view_id":"function","report_row_id":"balance_sheet","weight":1},{"leg_id":"MAP.ACCOUNTS.MARCH.L03","view_id":"cost_centre","report_row_id":"FIN","weight":1},{"leg_id":"MAP.ACCOUNTS.MARCH.L03","view_id":"vendor","report_row_id":"UNKNOWN_FORECAST","weight":1},{"leg_id":"MAP.ACCOUNTS.MARCH.L03","view_id":"recurrence","report_row_id":"not_applicable","weight":1},{"leg_id":"MAP.ACCOUNTS.MARCH.L03","view_id":"commitment","report_row_id":"not_applicable","weight":1},{"leg_id":"MAP.ACCOUNTS.MARCH.L03","view_id":"behaviour","report_row_id":"not_applicable","weight":1},{"leg_id":"MAP.ACCOUNTS.MARCH.L04","view_id":"statement","report_row_id":"BS.CASH","weight":1},{"leg_id":"MAP.ACCOUNTS.MARCH.L04","view_id":"nature","report_row_id":"cash","weight":1},{"leg_id":"MAP.ACCOUNTS.MARCH.L04","view_id":"function","report_row_id":"balance_sheet","weight":1},{"leg_id":"MAP.ACCOUNTS.MARCH.L04","view_id":"cost_centre","report_row_id":"FIN","weight":1},{"leg_id":"MAP.ACCOUNTS.MARCH.L04","view_id":"vendor","report_row_id":"UNKNOWN_FORECAST","weight":1},{"leg_id":"MAP.ACCOUNTS.MARCH.L04","view_id":"recurrence","report_row_id":"not_applicable","weight":1},{"leg_id":"MAP.ACCOUNTS.MARCH.L04","view_id":"commitment","report_row_id":"not_applicable","weight":1},{"leg_id":"MAP.ACCOUNTS.MARCH.L04","view_id":"behaviour","report_row_id":"not_applicable","weight":1}]},{"mapping_id":"MAP.COST.OPX.FOUNDING.REGISTER","source_row_id":"OPX.FOUNDING.REGISTER","posting_owner":"Opex","stream":"CORPORATE","cost_centre":"FIN","vendor_id":"UNKNOWN_FORECAST","tax_code":"NONE","cash_class":"operating","classification":{"recurrence":"one_off","commitment":"committed","behaviour":"fixed"},"legs":[{"leg_id":"MAP.COST.OPX.FOUNDING.REGISTER.L01","side":"debit","account_id":"GL.OPEX.OPX.FOUNDING.REGISTER","amount_component":"net"},{"leg_id":"MAP.COST.OPX.FOUNDING.REGISTER.L02","side":"credit","account_id":"GL.AP.SUPPLIER","amount_component":"net"}],"report_allocations":[{"leg_id":"MAP.COST.OPX.FOUNDING.REGISTER.L01","view_id":"statement","report_row_id":"PNL.OPEX","weight":1},{"leg_id":"MAP.COST.OPX.FOUNDING.REGISTER.L01","view_id":"nature","report_row_id":"operating_expense","weight":1},{"leg_id":"MAP.COST.OPX.FOUNDING.REGISTER.L01","view_id":"function","report_row_id":"general_admin","weight":1},{"leg_id":"MAP.COST.OPX.FOUNDING.REGISTER.L01","view_id":"cost_centre","report_row_id":"FIN","weight":1},{"leg_id":"MAP.COST.OPX.FOUNDING.REGISTER.L01","view_id":"vendor","report_row_id":"UNKNOWN_FORECAST","weight":1},{"leg_id":"MAP.COST.OPX.FOUNDING.REGISTER.L01","view_id":"recurrence","report_row_id":"one_off","weight":1},{"leg_id":"MAP.COST.OPX.FOUNDING.REGISTER.L01","view_id":"commitment","report_row_id":"committed","weight":1},{"leg_id":"MAP.COST.OPX.FOUNDING.REGISTER.L01","view_id":"behaviour","report_row_id":"fixed","weight":1},{"leg_id":"MAP.COST.OPX.FOUNDING.REGISTER.L02","view_id":"statement","report_row_id":"BS.AP","weight":1},{"leg_id":"MAP.COST.OPX.FOUNDING.REGISTER.L02","view_id":"nature","report_row_id":"ap","weight":1},{"leg_id":"MAP.COST.OPX.FOUNDING.REGISTER.L02","view_id":"function","report_row_id":"balance_sheet","weight":1},{"leg_id":"MAP.COST.OPX.FOUNDING.REGISTER.L02","view_id":"cost_centre","report_row_id":"FIN","weight":1},{"leg_id":"MAP.COST.OPX.FOUNDING.REGISTER.L02","view_id":"vendor","report_row_id":"UNKNOWN_FORECAST","weight":1},{"leg_id":"MAP.COST.OPX.FOUNDING.REGISTER.L02","view_id":"recurrence","report_row_id":"not_applicable","weight":1},{"leg_id":"MAP.COST.OPX.FOUNDING.REGISTER.L02","view_id":"commitment","report_row_id":"not_applicable","weight":1},{"leg_id":"MAP.COST.OPX.FOUNDING.REGISTER.L02","view_id":"behaviour","report_row_id":"not_applicable","weight":1}]},{"mapping_id":"MAP.COST.OPX.FOUNDING.NOTARY","source_row_id":"OPX.FOUNDING.NOTARY","posting_owner":"Opex","stream":"CORPORATE","cost_centre":"FIN","vendor_id":"UNKNOWN_FORECAST","tax_code":"DE_IN19","cash_class":"operating","classification":{"recurrence":"one_off","commitment":"committed","behaviour":"fixed"},"legs":[{"leg_id":"MAP.COST.OPX.FOUNDING.NOTARY.L01","side":"debit","account_id":"GL.OPEX.OPX.FOUNDING.NOTARY","amount_component":"net_plus_unrecoverable_vat"},{"leg_id":"MAP.COST.OPX.FOUNDING.NOTARY.L02","side":"debit","account_id":"GL.VAT.DOM_ASSET","amount_component":"recoverable_vat"},{"leg_id":"MAP.COST.OPX.FOUNDING.NOTARY.L03","side":"credit","account_id":"GL.AP.SUPPLIER","amount_component":"gross"}],"report_allocations":[{"leg_id":"MAP.COST.OPX.FOUNDING.NOTARY.L01","view_id":"statement","report_row_id":"PNL.OPEX","weight":1},{"leg_id":"MAP.COST.OPX.FOUNDING.NOTARY.L01","view_id":"nature","report_row_id":"operating_expense","weight":1},{"leg_id":"MAP.COST.OPX.FOUNDING.NOTARY.L01","view_id":"function","report_row_id":"general_admin","weight":1},{"leg_id":"MAP.COST.OPX.FOUNDING.NOTARY.L01","view_id":"cost_centre","report_row_id":"FIN","weight":1},{"leg_id":"MAP.COST.OPX.FOUNDING.NOTARY.L01","view_id":"vendor","report_row_id":"UNKNOWN_FORECAST","weight":1},{"leg_id":"MAP.COST.OPX.FOUNDING.NOTARY.L01","view_id":"recurrence","report_row_id":"one_off","weight":1},{"leg_id":"MAP.COST.OPX.FOUNDING.NOTARY.L01","view_id":"commitment","report_row_id":"committed","weight":1},{"leg_id":"MAP.COST.OPX.FOUNDING.NOTARY.L01","view_id":"behaviour","report_row_id":"fixed","weight":1},{"leg_id":"MAP.COST.OPX.FOUNDING.NOTARY.L02","view_id":"statement","report_row_id":"BS.TAX_ASSETS","weight":1},{"leg_id":"MAP.COST.OPX.FOUNDING.NOTARY.L02","view_id":"nature","report_row_id":"tax_assets","weight":1},{"leg_id":"MAP.COST.OPX.FOUNDING.NOTARY.L02","view_id":"function","report_row_id":"balance_sheet","weight":1},{"leg_id":"MAP.COST.OPX.FOUNDING.NOTARY.L02","view_id":"cost_centre","report_row_id":"FIN","weight":1},{"leg_id":"MAP.COST.OPX.FOUNDING.NOTARY.L02","view_id":"vendor","report_row_id":"UNKNOWN_FORECAST","weight":1},{"leg_id":"MAP.COST.OPX.FOUNDING.NOTARY.L02","view_id":"recurrence","report_row_id":"not_applicable","weight":1},{"leg_id":"MAP.COST.OPX.FOUNDING.NOTARY.L02","view_id":"commitment","report_row_id":"not_applicable","weight":1},{"leg_id":"MAP.COST.OPX.FOUNDING.NOTARY.L02","view_id":"behaviour","report_row_id":"not_applicable","weight":1},{"leg_id":"MAP.COST.OPX.FOUNDING.NOTARY.L03","view_id":"statement","report_row_id":"BS.AP","weight":1},{"leg_id":"MAP.COST.OPX.FOUNDING.NOTARY.L03","view_id":"nature","report_row_id":"ap","weight":1},{"leg_id":"MAP.COST.OPX.FOUNDING.NOTARY.L03","view_id":"function","report_row_id":"balance_sheet","weight":1},{"leg_id":"MAP.COST.OPX.FOUNDING.NOTARY.L03","view_id":"cost_centre","report_row_id":"FIN","weight":1},{"leg_id":"MAP.COST.OPX.FOUNDING.NOTARY.L03","view_id":"vendor","report_row_id":"UNKNOWN_FORECAST","weight":1},{"leg_id":"MAP.COST.OPX.FOUNDING.NOTARY.L03","view_id":"recurrence","report_row_id":"not_applicable","weight":1},{"leg_id":"MAP.COST.OPX.FOUNDING.NOTARY.L03","view_id":"commitment","report_row_id":"not_applicable","weight":1},{"leg_id":"MAP.COST.OPX.FOUNDING.NOTARY.L03","view_id":"behaviour","report_row_id":"not_applicable","weight":1}]},{"mapping_id":"MAP.COST.OPX.IHK","source_row_id":"OPX.IHK","posting_owner":"Opex","stream":"CORPORATE","cost_centre":"CORP","vendor_id":"UNKNOWN_FORECAST","tax_code":"NONE","cash_class":"operating","classification":{"recurrence":"recurring","commitment":"committed","behaviour":"fixed"},"legs":[{"leg_id":"MAP.COST.OPX.IHK.L01","side":"debit","account_id":"GL.OPEX.OPX.IHK","amount_component":"net"},{"leg_id":"MAP.COST.OPX.IHK.L02","side":"credit","account_id":"GL.AP.SUPPLIER","amount_component":"net"}],"report_allocations":[{"leg_id":"MAP.COST.OPX.IHK.L01","view_id":"statement","report_row_id":"PNL.OPEX","weight":1},{"leg_id":"MAP.COST.OPX.IHK.L01","view_id":"nature","report_row_id":"operating_expense","weight":1},{"leg_id":"MAP.COST.OPX.IHK.L01","view_id":"function","report_row_id":"general_admin","weight":1},{"leg_id":"MAP.COST.OPX.IHK.L01","view_id":"cost_centre","report_row_id":"CORP","weight":1},{"leg_id":"MAP.COST.OPX.IHK.L01","view_id":"vendor","report_row_id":"UNKNOWN_FORECAST","weight":1},{"leg_id":"MAP.COST.OPX.IHK.L01","view_id":"recurrence","report_row_id":"recurring","weight":1},{"leg_id":"MAP.COST.OPX.IHK.L01","view_id":"commitment","report_row_id":"committed","weight":1},{"leg_id":"MAP.COST.OPX.IHK.L01","view_id":"behaviour","report_row_id":"fixed","weight":1},{"leg_id":"MAP.COST.OPX.IHK.L02","view_id":"statement","report_row_id":"BS.AP","weight":1},{"leg_id":"MAP.COST.OPX.IHK.L02","view_id":"nature","report_row_id":"ap","weight":1},{"leg_id":"MAP.COST.OPX.IHK.L02","view_id":"function","report_row_id":"balance_sheet","weight":1},{"leg_id":"MAP.COST.OPX.IHK.L02","view_id":"cost_centre","report_row_id":"CORP","weight":1},{"leg_id":"MAP.COST.OPX.IHK.L02","view_id":"vendor","report_row_id":"UNKNOWN_FORECAST","weight":1},{"leg_id":"MAP.COST.OPX.IHK.L02","view_id":"recurrence","report_row_id":"not_applicable","weight":1},{"leg_id":"MAP.COST.OPX.IHK.L02","view_id":"commitment","report_row_id":"not_applicable","weight":1},{"leg_id":"MAP.COST.OPX.IHK.L02","view_id":"behaviour","report_row_id":"not_applicable","weight":1}]},{"mapping_id":"MAP.COST.OPX.INS_PRE","source_row_id":"OPX.INS_PRE","posting_owner":"Opex","stream":"CORPORATE","cost_centre":"CORP","vendor_id":"UNKNOWN_FORECAST","tax_code":"NONE","cash_class":"operating","classification":{"recurrence":"recurring","commitment":"committed","behaviour":"fixed"},"legs":[{"leg_id":"MAP.COST.OPX.INS_PRE.L01","side":"debit","account_id":"GL.OPEX.OPX.INS_PRE","amount_component":"net"},{"leg_id":"MAP.COST.OPX.INS_PRE.L02","side":"credit","account_id":"GL.AP.SUPPLIER","amount_component":"net"}],"report_allocations":[{"leg_id":"MAP.COST.OPX.INS_PRE.L01","view_id":"statement","report_row_id":"PNL.OPEX","weight":1},{"leg_id":"MAP.COST.OPX.INS_PRE.L01","view_id":"nature","report_row_id":"operating_expense","weight":1},{"leg_id":"MAP.COST.OPX.INS_PRE.L01","view_id":"function","report_row_id":"general_admin","weight":1},{"leg_id":"MAP.COST.OPX.INS_PRE.L01","view_id":"cost_centre","report_row_id":"CORP","weight":1},{"leg_id":"MAP.COST.OPX.INS_PRE.L01","view_id":"vendor","report_row_id":"UNKNOWN_FORECAST","weight":1},{"leg_id":"MAP.COST.OPX.INS_PRE.L01","view_id":"recurrence","report_row_id":"recurring","weight":1},{"leg_id":"MAP.COST.OPX.INS_PRE.L01","view_id":"commitment","report_row_id":"committed","weight":1},{"leg_id":"MAP.COST.OPX.INS_PRE.L01","view_id":"behaviour","report_row_id":"fixed","weight":1},{"leg_id":"MAP.COST.OPX.INS_PRE.L02","view_id":"statement","report_row_id":"BS.AP","weight":1},{"leg_id":"MAP.COST.OPX.INS_PRE.L02","view_id":"nature","report_row_id":"ap","weight":1},{"leg_id":"MAP.COST.OPX.INS_PRE.L02","view_id":"function","report_row_id":"balance_sheet","weight":1},{"leg_id":"MAP.COST.OPX.INS_PRE.L02","view_id":"cost_centre","report_row_id":"CORP","weight":1},{"leg_id":"MAP.COST.OPX.INS_PRE.L02","view_id":"vendor","report_row_id":"UNKNOWN_FORECAST","weight":1},{"leg_id":"MAP.COST.OPX.INS_PRE.L02","view_id":"recurrence","report_row_id":"not_applicable","weight":1},{"leg_id":"MAP.COST.OPX.INS_PRE.L02","view_id":"commitment","report_row_id":"not_applicable","weight":1},{"leg_id":"MAP.COST.OPX.INS_PRE.L02","view_id":"behaviour","report_row_id":"not_applicable","weight":1}]},{"mapping_id":"MAP.COST.OPX.ROUND_COSTS.SEED","source_row_id":"OPX.ROUND_COSTS.SEED","posting_owner":"Opex","stream":"CORPORATE","cost_centre":"FIN","vendor_id":"UNKNOWN_FORECAST","tax_code":"DE_IN19","cash_class":"financing","classification":{"recurrence":"one_off","commitment":"committed","behaviour":"fixed"},"legs":[{"leg_id":"MAP.COST.OPX.ROUND_COSTS.SEED.L01","side":"debit","account_id":"GL.OPEX.OPX.ROUND_COSTS.SEED","amount_component":"net_plus_unrecoverable_vat"},{"leg_id":"MAP.COST.OPX.ROUND_COSTS.SEED.L02","side":"debit","account_id":"GL.VAT.DOM_ASSET","amount_component":"recoverable_vat"},{"leg_id":"MAP.COST.OPX.ROUND_COSTS.SEED.L03","side":"credit","account_id":"GL.CASH","amount_component":"gross"}],"report_allocations":[{"leg_id":"MAP.COST.OPX.ROUND_COSTS.SEED.L01","view_id":"statement","report_row_id":"PNL.OPEX","weight":1},{"leg_id":"MAP.COST.OPX.ROUND_COSTS.SEED.L01","view_id":"nature","report_row_id":"operating_expense","weight":1},{"leg_id":"MAP.COST.OPX.ROUND_COSTS.SEED.L01","view_id":"function","report_row_id":"general_admin","weight":1},{"leg_id":"MAP.COST.OPX.ROUND_COSTS.SEED.L01","view_id":"cost_centre","report_row_id":"FIN","weight":1},{"leg_id":"MAP.COST.OPX.ROUND_COSTS.SEED.L01","view_id":"vendor","report_row_id":"UNKNOWN_FORECAST","weight":1},{"leg_id":"MAP.COST.OPX.ROUND_COSTS.SEED.L01","view_id":"recurrence","report_row_id":"one_off","weight":1},{"leg_id":"MAP.COST.OPX.ROUND_COSTS.SEED.L01","view_id":"commitment","report_row_id":"committed","weight":1},{"leg_id":"MAP.COST.OPX.ROUND_COSTS.SEED.L01","view_id":"behaviour","report_row_id":"fixed","weight":1},{"leg_id":"MAP.COST.OPX.ROUND_COSTS.SEED.L02","view_id":"statement","report_row_id":"BS.TAX_ASSETS","weight":1},{"leg_id":"MAP.COST.OPX.ROUND_COSTS.SEED.L02","view_id":"nature","report_row_id":"tax_assets","weight":1},{"leg_id":"MAP.COST.OPX.ROUND_COSTS.SEED.L02","view_id":"function","report_row_id":"balance_sheet","weight":1},{"leg_id":"MAP.COST.OPX.ROUND_COSTS.SEED.L02","view_id":"cost_centre","report_row_id":"FIN","weight":1},{"leg_id":"MAP.COST.OPX.ROUND_COSTS.SEED.L02","view_id":"vendor","report_row_id":"UNKNOWN_FORECAST","weight":1},{"leg_id":"MAP.COST.OPX.ROUND_COSTS.SEED.L02","view_id":"recurrence","report_row_id":"not_applicable","weight":1},{"leg_id":"MAP.COST.OPX.ROUND_COSTS.SEED.L02","view_id":"commitment","report_row_id":"not_applicable","weight":1},{"leg_id":"MAP.COST.OPX.ROUND_COSTS.SEED.L02","view_id":"behaviour","report_row_id":"not_applicable","weight":1},{"leg_id":"MAP.COST.OPX.ROUND_COSTS.SEED.L03","view_id":"statement","report_row_id":"BS.CASH","weight":1},{"leg_id":"MAP.COST.OPX.ROUND_COSTS.SEED.L03","view_id":"nature","report_row_id":"cash","weight":1},{"leg_id":"MAP.COST.OPX.ROUND_COSTS.SEED.L03","view_id":"function","report_row_id":"balance_sheet","weight":1},{"leg_id":"MAP.COST.OPX.ROUND_COSTS.SEED.L03","view_id":"cost_centre","report_row_id":"FIN","weight":1},{"leg_id":"MAP.COST.OPX.ROUND_COSTS.SEED.L03","view_id":"vendor","report_row_id":"UNKNOWN_FORECAST","weight":1},{"leg_id":"MAP.COST.OPX.ROUND_COSTS.SEED.L03","view_id":"recurrence","report_row_id":"not_applicable","weight":1},{"leg_id":"MAP.COST.OPX.ROUND_COSTS.SEED.L03","view_id":"commitment","report_row_id":"not_applicable","weight":1},{"leg_id":"MAP.COST.OPX.ROUND_COSTS.SEED.L03","view_id":"behaviour","report_row_id":"not_applicable","weight":1}]},{"mapping_id":"MAP.COST.OPX.ROUND_COSTS.A","source_row_id":"OPX.ROUND_COSTS.A","posting_owner":"Opex","stream":"CORPORATE","cost_centre":"FIN","vendor_id":"UNKNOWN_FORECAST","tax_code":"DE_IN19","cash_class":"financing","classification":{"recurrence":"one_off","commitment":"committed","behaviour":"fixed"},"legs":[{"leg_id":"MAP.COST.OPX.ROUND_COSTS.A.L01","side":"debit","account_id":"GL.OPEX.OPX.ROUND_COSTS.A","amount_component":"net_plus_unrecoverable_vat"},{"leg_id":"MAP.COST.OPX.ROUND_COSTS.A.L02","side":"debit","account_id":"GL.VAT.DOM_ASSET","amount_component":"recoverable_vat"},{"leg_id":"MAP.COST.OPX.ROUND_COSTS.A.L03","side":"credit","account_id":"GL.CASH","amount_component":"gross"}],"report_allocations":[{"leg_id":"MAP.COST.OPX.ROUND_COSTS.A.L01","view_id":"statement","report_row_id":"PNL.OPEX","weight":1},{"leg_id":"MAP.COST.OPX.ROUND_COSTS.A.L01","view_id":"nature","report_row_id":"operating_expense","weight":1},{"leg_id":"MAP.COST.OPX.ROUND_COSTS.A.L01","view_id":"function","report_row_id":"general_admin","weight":1},{"leg_id":"MAP.COST.OPX.ROUND_COSTS.A.L01","view_id":"cost_centre","report_row_id":"FIN","weight":1},{"leg_id":"MAP.COST.OPX.ROUND_COSTS.A.L01","view_id":"vendor","report_row_id":"UNKNOWN_FORECAST","weight":1},{"leg_id":"MAP.COST.OPX.ROUND_COSTS.A.L01","view_id":"recurrence","report_row_id":"one_off","weight":1},{"leg_id":"MAP.COST.OPX.ROUND_COSTS.A.L01","view_id":"commitment","report_row_id":"committed","weight":1},{"leg_id":"MAP.COST.OPX.ROUND_COSTS.A.L01","view_id":"behaviour","report_row_id":"fixed","weight":1},{"leg_id":"MAP.COST.OPX.ROUND_COSTS.A.L02","view_id":"statement","report_row_id":"BS.TAX_ASSETS","weight":1},{"leg_id":"MAP.COST.OPX.ROUND_COSTS.A.L02","view_id":"nature","report_row_id":"tax_assets","weight":1},{"leg_id":"MAP.COST.OPX.ROUND_COSTS.A.L02","view_id":"function","report_row_id":"balance_sheet","weight":1},{"leg_id":"MAP.COST.OPX.ROUND_COSTS.A.L02","view_id":"cost_centre","report_row_id":"FIN","weight":1},{"leg_id":"MAP.COST.OPX.ROUND_COSTS.A.L02","view_id":"vendor","report_row_id":"UNKNOWN_FORECAST","weight":1},{"leg_id":"MAP.COST.OPX.ROUND_COSTS.A.L02","view_id":"recurrence","report_row_id":"not_applicable","weight":1},{"leg_id":"MAP.COST.OPX.ROUND_COSTS.A.L02","view_id":"commitment","report_row_id":"not_applicable","weight":1},{"leg_id":"MAP.COST.OPX.ROUND_COSTS.A.L02","view_id":"behaviour","report_row_id":"not_applicable","weight":1},{"leg_id":"MAP.COST.OPX.ROUND_COSTS.A.L03","view_id":"statement","report_row_id":"BS.CASH","weight":1},{"leg_id":"MAP.COST.OPX.ROUND_COSTS.A.L03","view_id":"nature","report_row_id":"cash","weight":1},{"leg_id":"MAP.COST.OPX.ROUND_COSTS.A.L03","view_id":"function","report_row_id":"balance_sheet","weight":1},{"leg_id":"MAP.COST.OPX.ROUND_COSTS.A.L03","view_id":"cost_centre","report_row_id":"FIN","weight":1},{"leg_id":"MAP.COST.OPX.ROUND_COSTS.A.L03","view_id":"vendor","report_row_id":"UNKNOWN_FORECAST","weight":1},{"leg_id":"MAP.COST.OPX.ROUND_COSTS.A.L03","view_id":"recurrence","report_row_id":"not_applicable","weight":1},{"leg_id":"MAP.COST.OPX.ROUND_COSTS.A.L03","view_id":"commitment","report_row_id":"not_applicable","weight":1},{"leg_id":"MAP.COST.OPX.ROUND_COSTS.A.L03","view_id":"behaviour","report_row_id":"not_applicable","weight":1}]},{"mapping_id":"MAP.COST.OPX.MISC","source_row_id":"OPX.MISC","posting_owner":"Opex","stream":"CORPORATE","cost_centre":"CORP","vendor_id":"UNKNOWN_FORECAST","tax_code":"DE_IN19","cash_class":"operating","classification":{"recurrence":"recurring","commitment":"discretionary","behaviour":"fixed"},"legs":[{"leg_id":"MAP.COST.OPX.MISC.L01","side":"debit","account_id":"GL.OPEX.OPX.MISC","amount_component":"net_plus_unrecoverable_vat"},{"leg_id":"MAP.COST.OPX.MISC.L02","side":"debit","account_id":"GL.VAT.DOM_ASSET","amount_component":"recoverable_vat"},{"leg_id":"MAP.COST.OPX.MISC.L03","side":"credit","account_id":"GL.AP.SUPPLIER","amount_component":"gross"}],"report_allocations":[{"leg_id":"MAP.COST.OPX.MISC.L01","view_id":"statement","report_row_id":"PNL.OPEX","weight":1},{"leg_id":"MAP.COST.OPX.MISC.L01","view_id":"nature","report_row_id":"operating_expense","weight":1},{"leg_id":"MAP.COST.OPX.MISC.L01","view_id":"function","report_row_id":"general_admin","weight":1},{"leg_id":"MAP.COST.OPX.MISC.L01","view_id":"cost_centre","report_row_id":"CORP","weight":1},{"leg_id":"MAP.COST.OPX.MISC.L01","view_id":"vendor","report_row_id":"UNKNOWN_FORECAST","weight":1},{"leg_id":"MAP.COST.OPX.MISC.L01","view_id":"recurrence","report_row_id":"recurring","weight":1},{"leg_id":"MAP.COST.OPX.MISC.L01","view_id":"commitment","report_row_id":"discretionary","weight":1},{"leg_id":"MAP.COST.OPX.MISC.L01","view_id":"behaviour","report_row_id":"fixed","weight":1},{"leg_id":"MAP.COST.OPX.MISC.L02","view_id":"statement","report_row_id":"BS.TAX_ASSETS","weight":1},{"leg_id":"MAP.COST.OPX.MISC.L02","view_id":"nature","report_row_id":"tax_assets","weight":1},{"leg_id":"MAP.COST.OPX.MISC.L02","view_id":"function","report_row_id":"balance_sheet","weight":1},{"leg_id":"MAP.COST.OPX.MISC.L02","view_id":"cost_centre","report_row_id":"CORP","weight":1},{"leg_id":"MAP.COST.OPX.MISC.L02","view_id":"vendor","report_row_id":"UNKNOWN_FORECAST","weight":1},{"leg_id":"MAP.COST.OPX.MISC.L02","view_id":"recurrence","report_row_id":"not_applicable","weight":1},{"leg_id":"MAP.COST.OPX.MISC.L02","view_id":"commitment","report_row_id":"not_applicable","weight":1},{"leg_id":"MAP.COST.OPX.MISC.L02","view_id":"behaviour","report_row_id":"not_applicable","weight":1},{"leg_id":"MAP.COST.OPX.MISC.L03","view_id":"statement","report_row_id":"BS.AP","weight":1},{"leg_id":"MAP.COST.OPX.MISC.L03","view_id":"nature","report_row_id":"ap","weight":1},{"leg_id":"MAP.COST.OPX.MISC.L03","view_id":"function","report_row_id":"balance_sheet","weight":1},{"leg_id":"MAP.COST.OPX.MISC.L03","view_id":"cost_centre","report_row_id":"CORP","weight":1},{"leg_id":"MAP.COST.OPX.MISC.L03","view_id":"vendor","report_row_id":"UNKNOWN_FORECAST","weight":1},{"leg_id":"MAP.COST.OPX.MISC.L03","view_id":"recurrence","report_row_id":"not_applicable","weight":1},{"leg_id":"MAP.COST.OPX.MISC.L03","view_id":"commitment","report_row_id":"not_applicable","weight":1},{"leg_id":"MAP.COST.OPX.MISC.L03","view_id":"behaviour","report_row_id":"not_applicable","weight":1}]},{"mapping_id":"MAP.COST.OPX.CONTINGENCY","source_row_id":"OPX.CONTINGENCY","posting_owner":"Opex","stream":"CORPORATE","cost_centre":"CORP","vendor_id":"UNKNOWN_FORECAST","tax_code":"DE_IN19","cash_class":"operating","classification":{"recurrence":"recurring","commitment":"discretionary","behaviour":"variable"},"legs":[{"leg_id":"MAP.COST.OPX.CONTINGENCY.L01","side":"debit","account_id":"GL.OPEX.OPX.CONTINGENCY","amount_component":"net_plus_unrecoverable_vat"},{"leg_id":"MAP.COST.OPX.CONTINGENCY.L02","side":"debit","account_id":"GL.VAT.DOM_ASSET","amount_component":"recoverable_vat"},{"leg_id":"MAP.COST.OPX.CONTINGENCY.L03","side":"credit","account_id":"GL.AP.SUPPLIER","amount_component":"gross"}],"report_allocations":[{"leg_id":"MAP.COST.OPX.CONTINGENCY.L01","view_id":"statement","report_row_id":"PNL.OPEX","weight":1},{"leg_id":"MAP.COST.OPX.CONTINGENCY.L01","view_id":"nature","report_row_id":"operating_expense","weight":1},{"leg_id":"MAP.COST.OPX.CONTINGENCY.L01","view_id":"function","report_row_id":"general_admin","weight":1},{"leg_id":"MAP.COST.OPX.CONTINGENCY.L01","view_id":"cost_centre","report_row_id":"CORP","weight":1},{"leg_id":"MAP.COST.OPX.CONTINGENCY.L01","view_id":"vendor","report_row_id":"UNKNOWN_FORECAST","weight":1},{"leg_id":"MAP.COST.OPX.CONTINGENCY.L01","view_id":"recurrence","report_row_id":"recurring","weight":1},{"leg_id":"MAP.COST.OPX.CONTINGENCY.L01","view_id":"commitment","report_row_id":"discretionary","weight":1},{"leg_id":"MAP.COST.OPX.CONTINGENCY.L01","view_id":"behaviour","report_row_id":"variable","weight":1},{"leg_id":"MAP.COST.OPX.CONTINGENCY.L02","view_id":"statement","report_row_id":"BS.TAX_ASSETS","weight":1},{"leg_id":"MAP.COST.OPX.CONTINGENCY.L02","view_id":"nature","report_row_id":"tax_assets","weight":1},{"leg_id":"MAP.COST.OPX.CONTINGENCY.L02","view_id":"function","report_row_id":"balance_sheet","weight":1},{"leg_id":"MAP.COST.OPX.CONTINGENCY.L02","view_id":"cost_centre","report_row_id":"CORP","weight":1},{"leg_id":"MAP.COST.OPX.CONTINGENCY.L02","view_id":"vendor","report_row_id":"UNKNOWN_FORECAST","weight":1},{"leg_id":"MAP.COST.OPX.CONTINGENCY.L02","view_id":"recurrence","report_row_id":"not_applicable","weight":1},{"leg_id":"MAP.COST.OPX.CONTINGENCY.L02","view_id":"commitment","report_row_id":"not_applicable","weight":1},{"leg_id":"MAP.COST.OPX.CONTINGENCY.L02","view_id":"behaviour","report_row_id":"not_applicable","weight":1},{"leg_id":"MAP.COST.OPX.CONTINGENCY.L03","view_id":"statement","report_row_id":"BS.AP","weight":1},{"leg_id":"MAP.COST.OPX.CONTINGENCY.L03","view_id":"nature","report_row_id":"ap","weight":1},{"leg_id":"MAP.COST.OPX.CONTINGENCY.L03","view_id":"function","report_row_id":"balance_sheet","weight":1},{"leg_id":"MAP.COST.OPX.CONTINGENCY.L03","view_id":"cost_centre","report_row_id":"CORP","weight":1},{"leg_id":"MAP.COST.OPX.CONTINGENCY.L03","view_id":"vendor","report_row_id":"UNKNOWN_FORECAST","weight":1},{"leg_id":"MAP.COST.OPX.CONTINGENCY.L03","view_id":"recurrence","report_row_id":"not_applicable","weight":1},{"leg_id":"MAP.COST.OPX.CONTINGENCY.L03","view_id":"commitment","report_row_id":"not_applicable","weight":1},{"leg_id":"MAP.COST.OPX.CONTINGENCY.L03","view_id":"behaviour","report_row_id":"not_applicable","weight":1}]},{"mapping_id":"MAP.COST.ACQ.SPEND","source_row_id":"OPX.MARKETING","posting_owner":"Opex","stream":"CORPORATE","cost_centre":"MKT","vendor_id":"UNKNOWN_FORECAST","tax_code":"DE_IN19","cash_class":"operating","classification":{"recurrence":"recurring","commitment":"discretionary","behaviour":"variable"},"legs":[{"leg_id":"MAP.COST.ACQ.SPEND.L01","side":"debit","account_id":"GL.OPEX.ACQ.SPEND","amount_component":"net_plus_unrecoverable_vat"},{"leg_id":"MAP.COST.ACQ.SPEND.L02","side":"debit","account_id":"GL.VAT.DOM_ASSET","amount_component":"recoverable_vat"},{"leg_id":"MAP.COST.ACQ.SPEND.L03","side":"credit","account_id":"GL.AP.SUPPLIER","amount_component":"gross"}],"report_allocations":[{"leg_id":"MAP.COST.ACQ.SPEND.L01","view_id":"statement","report_row_id":"PNL.OPEX","weight":1},{"leg_id":"MAP.COST.ACQ.SPEND.L01","view_id":"nature","report_row_id":"operating_expense","weight":1},{"leg_id":"MAP.COST.ACQ.SPEND.L01","view_id":"function","report_row_id":"sales_marketing","weight":1},{"leg_id":"MAP.COST.ACQ.SPEND.L01","view_id":"cost_centre","report_row_id":"MKT","weight":1},{"leg_id":"MAP.COST.ACQ.SPEND.L01","view_id":"vendor","report_row_id":"UNKNOWN_FORECAST","weight":1},{"leg_id":"MAP.COST.ACQ.SPEND.L01","view_id":"recurrence","report_row_id":"recurring","weight":1},{"leg_id":"MAP.COST.ACQ.SPEND.L01","view_id":"commitment","report_row_id":"discretionary","weight":1},{"leg_id":"MAP.COST.ACQ.SPEND.L01","view_id":"behaviour","report_row_id":"variable","weight":1},{"leg_id":"MAP.COST.ACQ.SPEND.L02","view_id":"statement","report_row_id":"BS.TAX_ASSETS","weight":1},{"leg_id":"MAP.COST.ACQ.SPEND.L02","view_id":"nature","report_row_id":"tax_assets","weight":1},{"leg_id":"MAP.COST.ACQ.SPEND.L02","view_id":"function","report_row_id":"balance_sheet","weight":1},{"leg_id":"MAP.COST.ACQ.SPEND.L02","view_id":"cost_centre","report_row_id":"MKT","weight":1},{"leg_id":"MAP.COST.ACQ.SPEND.L02","view_id":"vendor","report_row_id":"UNKNOWN_FORECAST","weight":1},{"leg_id":"MAP.COST.ACQ.SPEND.L02","view_id":"recurrence","report_row_id":"not_applicable","weight":1},{"leg_id":"MAP.COST.ACQ.SPEND.L02","view_id":"commitment","report_row_id":"not_applicable","weight":1},{"leg_id":"MAP.COST.ACQ.SPEND.L02","view_id":"behaviour","report_row_id":"not_applicable","weight":1},{"leg_id":"MAP.COST.ACQ.SPEND.L03","view_id":"statement","report_row_id":"BS.AP","weight":1},{"leg_id":"MAP.COST.ACQ.SPEND.L03","view_id":"nature","report_row_id":"ap","weight":1},{"leg_id":"MAP.COST.ACQ.SPEND.L03","view_id":"function","report_row_id":"balance_sheet","weight":1},{"leg_id":"MAP.COST.ACQ.SPEND.L03","view_id":"cost_centre","report_row_id":"MKT","weight":1},{"leg_id":"MAP.COST.ACQ.SPEND.L03","view_id":"vendor","report_row_id":"UNKNOWN_FORECAST","weight":1},{"leg_id":"MAP.COST.ACQ.SPEND.L03","view_id":"recurrence","report_row_id":"not_applicable","weight":1},{"leg_id":"MAP.COST.ACQ.SPEND.L03","view_id":"commitment","report_row_id":"not_applicable","weight":1},{"leg_id":"MAP.COST.ACQ.SPEND.L03","view_id":"behaviour","report_row_id":"not_applicable","weight":1}]},{"mapping_id":"MAP.COST.RC.PPL.SW","source_row_id":"OPX.SOFTWARE","posting_owner":"Opex","stream":"CORPORATE","cost_centre":"CORP","vendor_id":"UNKNOWN_FORECAST","tax_code":"RC_IN19","cash_class":"operating","classification":{"recurrence":"recurring","commitment":"committed","behaviour":"fixed"},"legs":[{"leg_id":"MAP.COST.RC.PPL.SW.L01","side":"debit","account_id":"GL.OPEX.PPL.SW","amount_component":"net_plus_unrecoverable_vat"},{"leg_id":"MAP.COST.RC.PPL.SW.L02","side":"debit","account_id":"GL.VAT.DOM_ASSET","amount_component":"recoverable_vat"},{"leg_id":"MAP.COST.RC.PPL.SW.L03","side":"credit","account_id":"GL.AP.SUPPLIER","amount_component":"net"},{"leg_id":"MAP.COST.RC.PPL.SW.L04","side":"credit","account_id":"GL.VAT.DOM_LIAB","amount_component":"self_assessed_vat"}],"report_allocations":[{"leg_id":"MAP.COST.RC.PPL.SW.L01","view_id":"statement","report_row_id":"PNL.OPEX","weight":1},{"leg_id":"MAP.COST.RC.PPL.SW.L01","view_id":"nature","report_row_id":"operating_expense","weight":1},{"leg_id":"MAP.COST.RC.PPL.SW.L01","view_id":"function","report_row_id":"general_admin","weight":1},{"leg_id":"MAP.COST.RC.PPL.SW.L01","view_id":"cost_centre","report_row_id":"CORP","weight":1},{"leg_id":"MAP.COST.RC.PPL.SW.L01","view_id":"vendor","report_row_id":"UNKNOWN_FORECAST","weight":1},{"leg_id":"MAP.COST.RC.PPL.SW.L01","view_id":"recurrence","report_row_id":"recurring","weight":1},{"leg_id":"MAP.COST.RC.PPL.SW.L01","view_id":"commitment","report_row_id":"committed","weight":1},{"leg_id":"MAP.COST.RC.PPL.SW.L01","view_id":"behaviour","report_row_id":"fixed","weight":1},{"leg_id":"MAP.COST.RC.PPL.SW.L02","view_id":"statement","report_row_id":"BS.TAX_ASSETS","weight":1},{"leg_id":"MAP.COST.RC.PPL.SW.L02","view_id":"nature","report_row_id":"tax_assets","weight":1},{"leg_id":"MAP.COST.RC.PPL.SW.L02","view_id":"function","report_row_id":"balance_sheet","weight":1},{"leg_id":"MAP.COST.RC.PPL.SW.L02","view_id":"cost_centre","report_row_id":"CORP","weight":1},{"leg_id":"MAP.COST.RC.PPL.SW.L02","view_id":"vendor","report_row_id":"UNKNOWN_FORECAST","weight":1},{"leg_id":"MAP.COST.RC.PPL.SW.L02","view_id":"recurrence","report_row_id":"not_applicable","weight":1},{"leg_id":"MAP.COST.RC.PPL.SW.L02","view_id":"commitment","report_row_id":"not_applicable","weight":1},{"leg_id":"MAP.COST.RC.PPL.SW.L02","view_id":"behaviour","report_row_id":"not_applicable","weight":1},{"leg_id":"MAP.COST.RC.PPL.SW.L03","view_id":"statement","report_row_id":"BS.AP","weight":1},{"leg_id":"MAP.COST.RC.PPL.SW.L03","view_id":"nature","report_row_id":"ap","weight":1},{"leg_id":"MAP.COST.RC.PPL.SW.L03","view_id":"function","report_row_id":"balance_sheet","weight":1},{"leg_id":"MAP.COST.RC.PPL.SW.L03","view_id":"cost_centre","report_row_id":"CORP","weight":1},{"leg_id":"MAP.COST.RC.PPL.SW.L03","view_id":"vendor","report_row_id":"UNKNOWN_FORECAST","weight":1},{"leg_id":"MAP.COST.RC.PPL.SW.L03","view_id":"recurrence","report_row_id":"not_applicable","weight":1},{"leg_id":"MAP.COST.RC.PPL.SW.L03","view_id":"commitment","report_row_id":"not_applicable","weight":1},{"leg_id":"MAP.COST.RC.PPL.SW.L03","view_id":"behaviour","report_row_id":"not_applicable","weight":1},{"leg_id":"MAP.COST.RC.PPL.SW.L04","view_id":"statement","report_row_id":"BS.TAX_LIABILITIES","weight":1},{"leg_id":"MAP.COST.RC.PPL.SW.L04","view_id":"nature","report_row_id":"tax_liabilities","weight":1},{"leg_id":"MAP.COST.RC.PPL.SW.L04","view_id":"function","report_row_id":"balance_sheet","weight":1},{"leg_id":"MAP.COST.RC.PPL.SW.L04","view_id":"cost_centre","report_row_id":"CORP","weight":1},{"leg_id":"MAP.COST.RC.PPL.SW.L04","view_id":"vendor","report_row_id":"UNKNOWN_FORECAST","weight":1},{"leg_id":"MAP.COST.RC.PPL.SW.L04","view_id":"recurrence","report_row_id":"not_applicable","weight":1},{"leg_id":"MAP.COST.RC.PPL.SW.L04","view_id":"commitment","report_row_id":"not_applicable","weight":1},{"leg_id":"MAP.COST.RC.PPL.SW.L04","view_id":"behaviour","report_row_id":"not_applicable","weight":1}]},{"mapping_id":"MAP.COST.PPL.RECRUIT","source_row_id":"OPX.RECRUIT","posting_owner":"Opex","stream":"CORPORATE","cost_centre":"CORP","vendor_id":"UNKNOWN_FORECAST","tax_code":"DE_IN19","cash_class":"operating","classification":{"recurrence":"one_off","commitment":"committed","behaviour":"variable"},"legs":[{"leg_id":"MAP.COST.PPL.RECRUIT.L01","side":"debit","account_id":"GL.OPEX.PPL.RECRUIT","amount_component":"net_plus_unrecoverable_vat"},{"leg_id":"MAP.COST.PPL.RECRUIT.L02","side":"debit","account_id":"GL.VAT.DOM_ASSET","amount_component":"recoverable_vat"},{"leg_id":"MAP.COST.PPL.RECRUIT.L03","side":"credit","account_id":"GL.AP.SUPPLIER","amount_component":"gross"}],"report_allocations":[{"leg_id":"MAP.COST.PPL.RECRUIT.L01","view_id":"statement","report_row_id":"PNL.OPEX","weight":1},{"leg_id":"MAP.COST.PPL.RECRUIT.L01","view_id":"nature","report_row_id":"operating_expense","weight":1},{"leg_id":"MAP.COST.PPL.RECRUIT.L01","view_id":"function","report_row_id":"general_admin","weight":1},{"leg_id":"MAP.COST.PPL.RECRUIT.L01","view_id":"cost_centre","report_row_id":"CORP","weight":1},{"leg_id":"MAP.COST.PPL.RECRUIT.L01","view_id":"vendor","report_row_id":"UNKNOWN_FORECAST","weight":1},{"leg_id":"MAP.COST.PPL.RECRUIT.L01","view_id":"recurrence","report_row_id":"one_off","weight":1},{"leg_id":"MAP.COST.PPL.RECRUIT.L01","view_id":"commitment","report_row_id":"committed","weight":1},{"leg_id":"MAP.COST.PPL.RECRUIT.L01","view_id":"behaviour","report_row_id":"variable","weight":1},{"leg_id":"MAP.COST.PPL.RECRUIT.L02","view_id":"statement","report_row_id":"BS.TAX_ASSETS","weight":1},{"leg_id":"MAP.COST.PPL.RECRUIT.L02","view_id":"nature","report_row_id":"tax_assets","weight":1},{"leg_id":"MAP.COST.PPL.RECRUIT.L02","view_id":"function","report_row_id":"balance_sheet","weight":1},{"leg_id":"MAP.COST.PPL.RECRUIT.L02","view_id":"cost_centre","report_row_id":"CORP","weight":1},{"leg_id":"MAP.COST.PPL.RECRUIT.L02","view_id":"vendor","report_row_id":"UNKNOWN_FORECAST","weight":1},{"leg_id":"MAP.COST.PPL.RECRUIT.L02","view_id":"recurrence","report_row_id":"not_applicable","weight":1},{"leg_id":"MAP.COST.PPL.RECRUIT.L02","view_id":"commitment","report_row_id":"not_applicable","weight":1},{"leg_id":"MAP.COST.PPL.RECRUIT.L02","view_id":"behaviour","report_row_id":"not_applicable","weight":1},{"leg_id":"MAP.COST.PPL.RECRUIT.L03","view_id":"statement","report_row_id":"BS.AP","weight":1},{"leg_id":"MAP.COST.PPL.RECRUIT.L03","view_id":"nature","report_row_id":"ap","weight":1},{"leg_id":"MAP.COST.PPL.RECRUIT.L03","view_id":"function","report_row_id":"balance_sheet","weight":1},{"leg_id":"MAP.COST.PPL.RECRUIT.L03","view_id":"cost_centre","report_row_id":"CORP","weight":1},{"leg_id":"MAP.COST.PPL.RECRUIT.L03","view_id":"vendor","report_row_id":"UNKNOWN_FORECAST","weight":1},{"leg_id":"MAP.COST.PPL.RECRUIT.L03","view_id":"recurrence","report_row_id":"not_applicable","weight":1},{"leg_id":"MAP.COST.PPL.RECRUIT.L03","view_id":"commitment","report_row_id":"not_applicable","weight":1},{"leg_id":"MAP.COST.PPL.RECRUIT.L03","view_id":"behaviour","report_row_id":"not_applicable","weight":1}]},{"mapping_id":"MAP.CAPEX.PPL.EQUIP","source_row_id":"CAP.IT_ADDITIONS","posting_owner":"Capex","stream":"CORPORATE","cost_centre":"CORP","vendor_id":"UNKNOWN_FORECAST","tax_code":"DE_IN19","cash_class":"investing","classification":{"recurrence":"one_off","commitment":"committed","behaviour":"fixed"},"legs":[{"leg_id":"MAP.CAPEX.PPL.EQUIP.L01","side":"debit","account_id":"GL.ASSET.IT","amount_component":"net_plus_unrecoverable_vat"},{"leg_id":"MAP.CAPEX.PPL.EQUIP.L02","side":"debit","account_id":"GL.VAT.DOM_ASSET","amount_component":"recoverable_vat"},{"leg_id":"MAP.CAPEX.PPL.EQUIP.L03","side":"credit","account_id":"GL.AP.CAPEX","amount_component":"gross"}],"report_allocations":[{"leg_id":"MAP.CAPEX.PPL.EQUIP.L01","view_id":"statement","report_row_id":"BS.ASSET_GROSS","weight":1},{"leg_id":"MAP.CAPEX.PPL.EQUIP.L01","view_id":"nature","report_row_id":"asset_gross","weight":1},{"leg_id":"MAP.CAPEX.PPL.EQUIP.L01","view_id":"function","report_row_id":"balance_sheet","weight":1},{"leg_id":"MAP.CAPEX.PPL.EQUIP.L01","view_id":"cost_centre","report_row_id":"CORP","weight":1},{"leg_id":"MAP.CAPEX.PPL.EQUIP.L01","view_id":"vendor","report_row_id":"UNKNOWN_FORECAST","weight":1},{"leg_id":"MAP.CAPEX.PPL.EQUIP.L01","view_id":"recurrence","report_row_id":"not_applicable","weight":1},{"leg_id":"MAP.CAPEX.PPL.EQUIP.L01","view_id":"commitment","report_row_id":"not_applicable","weight":1},{"leg_id":"MAP.CAPEX.PPL.EQUIP.L01","view_id":"behaviour","report_row_id":"not_applicable","weight":1},{"leg_id":"MAP.CAPEX.PPL.EQUIP.L02","view_id":"statement","report_row_id":"BS.TAX_ASSETS","weight":1},{"leg_id":"MAP.CAPEX.PPL.EQUIP.L02","view_id":"nature","report_row_id":"tax_assets","weight":1},{"leg_id":"MAP.CAPEX.PPL.EQUIP.L02","view_id":"function","report_row_id":"balance_sheet","weight":1},{"leg_id":"MAP.CAPEX.PPL.EQUIP.L02","view_id":"cost_centre","report_row_id":"CORP","weight":1},{"leg_id":"MAP.CAPEX.PPL.EQUIP.L02","view_id":"vendor","report_row_id":"UNKNOWN_FORECAST","weight":1},{"leg_id":"MAP.CAPEX.PPL.EQUIP.L02","view_id":"recurrence","report_row_id":"not_applicable","weight":1},{"leg_id":"MAP.CAPEX.PPL.EQUIP.L02","view_id":"commitment","report_row_id":"not_applicable","weight":1},{"leg_id":"MAP.CAPEX.PPL.EQUIP.L02","view_id":"behaviour","report_row_id":"not_applicable","weight":1},{"leg_id":"MAP.CAPEX.PPL.EQUIP.L03","view_id":"statement","report_row_id":"BS.AP","weight":1},{"leg_id":"MAP.CAPEX.PPL.EQUIP.L03","view_id":"nature","report_row_id":"ap","weight":1},{"leg_id":"MAP.CAPEX.PPL.EQUIP.L03","view_id":"function","report_row_id":"balance_sheet","weight":1},{"leg_id":"MAP.CAPEX.PPL.EQUIP.L03","view_id":"cost_centre","report_row_id":"CORP","weight":1},{"leg_id":"MAP.CAPEX.PPL.EQUIP.L03","view_id":"vendor","report_row_id":"UNKNOWN_FORECAST","weight":1},{"leg_id":"MAP.CAPEX.PPL.EQUIP.L03","view_id":"recurrence","report_row_id":"not_applicable","weight":1},{"leg_id":"MAP.CAPEX.PPL.EQUIP.L03","view_id":"commitment","report_row_id":"not_applicable","weight":1},{"leg_id":"MAP.CAPEX.PPL.EQUIP.L03","view_id":"behaviour","report_row_id":"not_applicable","weight":1}]},{"mapping_id":"MAP.COST.RC.COGS.KYC_VARIABLE","source_row_id":"COGS.KYC_VARIABLE","posting_owner":"COGS","stream":"CORPORATE","cost_centre":"COMP","vendor_id":"UNKNOWN_FORECAST","tax_code":"RC_IN19","cash_class":"operating","classification":{"recurrence":"recurring","commitment":"committed","behaviour":"variable"},"legs":[{"leg_id":"MAP.COST.RC.COGS.KYC_VARIABLE.L01","side":"debit","account_id":"GL.COGS.KYC_VARIABLE","amount_component":"net_plus_unrecoverable_vat"},{"leg_id":"MAP.COST.RC.COGS.KYC_VARIABLE.L02","side":"debit","account_id":"GL.VAT.DOM_ASSET","amount_component":"recoverable_vat"},{"leg_id":"MAP.COST.RC.COGS.KYC_VARIABLE.L03","side":"credit","account_id":"GL.AP.SUPPLIER","amount_component":"net"},{"leg_id":"MAP.COST.RC.COGS.KYC_VARIABLE.L04","side":"credit","account_id":"GL.VAT.DOM_LIAB","amount_component":"self_assessed_vat"}],"report_allocations":[{"leg_id":"MAP.COST.RC.COGS.KYC_VARIABLE.L01","view_id":"statement","report_row_id":"PNL.COGS","weight":1},{"leg_id":"MAP.COST.RC.COGS.KYC_VARIABLE.L01","view_id":"nature","report_row_id":"cost_of_revenue","weight":1},{"leg_id":"MAP.COST.RC.COGS.KYC_VARIABLE.L01","view_id":"function","report_row_id":"cost_of_revenue","weight":1},{"leg_id":"MAP.COST.RC.COGS.KYC_VARIABLE.L01","view_id":"cost_centre","report_row_id":"COMP","weight":1},{"leg_id":"MAP.COST.RC.COGS.KYC_VARIABLE.L01","view_id":"vendor","report_row_id":"UNKNOWN_FORECAST","weight":1},{"leg_id":"MAP.COST.RC.COGS.KYC_VARIABLE.L01","view_id":"recurrence","report_row_id":"recurring","weight":1},{"leg_id":"MAP.COST.RC.COGS.KYC_VARIABLE.L01","view_id":"commitment","report_row_id":"committed","weight":1},{"leg_id":"MAP.COST.RC.COGS.KYC_VARIABLE.L01","view_id":"behaviour","report_row_id":"variable","weight":1},{"leg_id":"MAP.COST.RC.COGS.KYC_VARIABLE.L02","view_id":"statement","report_row_id":"BS.TAX_ASSETS","weight":1},{"leg_id":"MAP.COST.RC.COGS.KYC_VARIABLE.L02","view_id":"nature","report_row_id":"tax_assets","weight":1},{"leg_id":"MAP.COST.RC.COGS.KYC_VARIABLE.L02","view_id":"function","report_row_id":"balance_sheet","weight":1},{"leg_id":"MAP.COST.RC.COGS.KYC_VARIABLE.L02","view_id":"cost_centre","report_row_id":"COMP","weight":1},{"leg_id":"MAP.COST.RC.COGS.KYC_VARIABLE.L02","view_id":"vendor","report_row_id":"UNKNOWN_FORECAST","weight":1},{"leg_id":"MAP.COST.RC.COGS.KYC_VARIABLE.L02","view_id":"recurrence","report_row_id":"not_applicable","weight":1},{"leg_id":"MAP.COST.RC.COGS.KYC_VARIABLE.L02","view_id":"commitment","report_row_id":"not_applicable","weight":1},{"leg_id":"MAP.COST.RC.COGS.KYC_VARIABLE.L02","view_id":"behaviour","report_row_id":"not_applicable","weight":1},{"leg_id":"MAP.COST.RC.COGS.KYC_VARIABLE.L03","view_id":"statement","report_row_id":"BS.AP","weight":1},{"leg_id":"MAP.COST.RC.COGS.KYC_VARIABLE.L03","view_id":"nature","report_row_id":"ap","weight":1},{"leg_id":"MAP.COST.RC.COGS.KYC_VARIABLE.L03","view_id":"function","report_row_id":"balance_sheet","weight":1},{"leg_id":"MAP.COST.RC.COGS.KYC_VARIABLE.L03","view_id":"cost_centre","report_row_id":"COMP","weight":1},{"leg_id":"MAP.COST.RC.COGS.KYC_VARIABLE.L03","view_id":"vendor","report_row_id":"UNKNOWN_FORECAST","weight":1},{"leg_id":"MAP.COST.RC.COGS.KYC_VARIABLE.L03","view_id":"recurrence","report_row_id":"not_applicable","weight":1},{"leg_id":"MAP.COST.RC.COGS.KYC_VARIABLE.L03","view_id":"commitment","report_row_id":"not_applicable","weight":1},{"leg_id":"MAP.COST.RC.COGS.KYC_VARIABLE.L03","view_id":"behaviour","report_row_id":"not_applicable","weight":1},{"leg_id":"MAP.COST.RC.COGS.KYC_VARIABLE.L04","view_id":"statement","report_row_id":"BS.TAX_LIABILITIES","weight":1},{"leg_id":"MAP.COST.RC.COGS.KYC_VARIABLE.L04","view_id":"nature","report_row_id":"tax_liabilities","weight":1},{"leg_id":"MAP.COST.RC.COGS.KYC_VARIABLE.L04","view_id":"function","report_row_id":"balance_sheet","weight":1},{"leg_id":"MAP.COST.RC.COGS.KYC_VARIABLE.L04","view_id":"cost_centre","report_row_id":"COMP","weight":1},{"leg_id":"MAP.COST.RC.COGS.KYC_VARIABLE.L04","view_id":"vendor","report_row_id":"UNKNOWN_FORECAST","weight":1},{"leg_id":"MAP.COST.RC.COGS.KYC_VARIABLE.L04","view_id":"recurrence","report_row_id":"not_applicable","weight":1},{"leg_id":"MAP.COST.RC.COGS.KYC_VARIABLE.L04","view_id":"commitment","report_row_id":"not_applicable","weight":1},{"leg_id":"MAP.COST.RC.COGS.KYC_VARIABLE.L04","view_id":"behaviour","report_row_id":"not_applicable","weight":1}]},{"mapping_id":"MAP.COST.RC.COGS.KYC_MINIMUM","source_row_id":"COGS.KYC_MINIMUM","posting_owner":"COGS","stream":"CORPORATE","cost_centre":"COMP","vendor_id":"UNKNOWN_FORECAST","tax_code":"RC_IN19","cash_class":"operating","classification":{"recurrence":"recurring","commitment":"committed","behaviour":"fixed"},"legs":[{"leg_id":"MAP.COST.RC.COGS.KYC_MINIMUM.L01","side":"debit","account_id":"GL.COGS.KYC_MINIMUM","amount_component":"net_plus_unrecoverable_vat"},{"leg_id":"MAP.COST.RC.COGS.KYC_MINIMUM.L02","side":"debit","account_id":"GL.VAT.DOM_ASSET","amount_component":"recoverable_vat"},{"leg_id":"MAP.COST.RC.COGS.KYC_MINIMUM.L03","side":"credit","account_id":"GL.AP.SUPPLIER","amount_component":"net"},{"leg_id":"MAP.COST.RC.COGS.KYC_MINIMUM.L04","side":"credit","account_id":"GL.VAT.DOM_LIAB","amount_component":"self_assessed_vat"}],"report_allocations":[{"leg_id":"MAP.COST.RC.COGS.KYC_MINIMUM.L01","view_id":"statement","report_row_id":"PNL.COGS","weight":1},{"leg_id":"MAP.COST.RC.COGS.KYC_MINIMUM.L01","view_id":"nature","report_row_id":"cost_of_revenue","weight":1},{"leg_id":"MAP.COST.RC.COGS.KYC_MINIMUM.L01","view_id":"function","report_row_id":"cost_of_revenue","weight":1},{"leg_id":"MAP.COST.RC.COGS.KYC_MINIMUM.L01","view_id":"cost_centre","report_row_id":"COMP","weight":1},{"leg_id":"MAP.COST.RC.COGS.KYC_MINIMUM.L01","view_id":"vendor","report_row_id":"UNKNOWN_FORECAST","weight":1},{"leg_id":"MAP.COST.RC.COGS.KYC_MINIMUM.L01","view_id":"recurrence","report_row_id":"recurring","weight":1},{"leg_id":"MAP.COST.RC.COGS.KYC_MINIMUM.L01","view_id":"commitment","report_row_id":"committed","weight":1},{"leg_id":"MAP.COST.RC.COGS.KYC_MINIMUM.L01","view_id":"behaviour","report_row_id":"fixed","weight":1},{"leg_id":"MAP.COST.RC.COGS.KYC_MINIMUM.L02","view_id":"statement","report_row_id":"BS.TAX_ASSETS","weight":1},{"leg_id":"MAP.COST.RC.COGS.KYC_MINIMUM.L02","view_id":"nature","report_row_id":"tax_assets","weight":1},{"leg_id":"MAP.COST.RC.COGS.KYC_MINIMUM.L02","view_id":"function","report_row_id":"balance_sheet","weight":1},{"leg_id":"MAP.COST.RC.COGS.KYC_MINIMUM.L02","view_id":"cost_centre","report_row_id":"COMP","weight":1},{"leg_id":"MAP.COST.RC.COGS.KYC_MINIMUM.L02","view_id":"vendor","report_row_id":"UNKNOWN_FORECAST","weight":1},{"leg_id":"MAP.COST.RC.COGS.KYC_MINIMUM.L02","view_id":"recurrence","report_row_id":"not_applicable","weight":1},{"leg_id":"MAP.COST.RC.COGS.KYC_MINIMUM.L02","view_id":"commitment","report_row_id":"not_applicable","weight":1},{"leg_id":"MAP.COST.RC.COGS.KYC_MINIMUM.L02","view_id":"behaviour","report_row_id":"not_applicable","weight":1},{"leg_id":"MAP.COST.RC.COGS.KYC_MINIMUM.L03","view_id":"statement","report_row_id":"BS.AP","weight":1},{"leg_id":"MAP.COST.RC.COGS.KYC_MINIMUM.L03","view_id":"nature","report_row_id":"ap","weight":1},{"leg_id":"MAP.COST.RC.COGS.KYC_MINIMUM.L03","view_id":"function","report_row_id":"balance_sheet","weight":1},{"leg_id":"MAP.COST.RC.COGS.KYC_MINIMUM.L03","view_id":"cost_centre","report_row_id":"COMP","weight":1},{"leg_id":"MAP.COST.RC.COGS.KYC_MINIMUM.L03","view_id":"vendor","report_row_id":"UNKNOWN_FORECAST","weight":1},{"leg_id":"MAP.COST.RC.COGS.KYC_MINIMUM.L03","view_id":"recurrence","report_row_id":"not_applicable","weight":1},{"leg_id":"MAP.COST.RC.COGS.KYC_MINIMUM.L03","view_id":"commitment","report_row_id":"not_applicable","weight":1},{"leg_id":"MAP.COST.RC.COGS.KYC_MINIMUM.L03","view_id":"behaviour","report_row_id":"not_applicable","weight":1},{"leg_id":"MAP.COST.RC.COGS.KYC_MINIMUM.L04","view_id":"statement","report_row_id":"BS.TAX_LIABILITIES","weight":1},{"leg_id":"MAP.COST.RC.COGS.KYC_MINIMUM.L04","view_id":"nature","report_row_id":"tax_liabilities","weight":1},{"leg_id":"MAP.COST.RC.COGS.KYC_MINIMUM.L04","view_id":"function","report_row_id":"balance_sheet","weight":1},{"leg_id":"MAP.COST.RC.COGS.KYC_MINIMUM.L04","view_id":"cost_centre","report_row_id":"COMP","weight":1},{"leg_id":"MAP.COST.RC.COGS.KYC_MINIMUM.L04","view_id":"vendor","report_row_id":"UNKNOWN_FORECAST","weight":1},{"leg_id":"MAP.COST.RC.COGS.KYC_MINIMUM.L04","view_id":"recurrence","report_row_id":"not_applicable","weight":1},{"leg_id":"MAP.COST.RC.COGS.KYC_MINIMUM.L04","view_id":"commitment","report_row_id":"not_applicable","weight":1},{"leg_id":"MAP.COST.RC.COGS.KYC_MINIMUM.L04","view_id":"behaviour","report_row_id":"not_applicable","weight":1}]},{"mapping_id":"MAP.COST.RC.COGS.CLOUD_FIXED","source_row_id":"COGS.CLOUD_FIXED","posting_owner":"COGS","stream":"CORPORATE","cost_centre":"ENG","vendor_id":"UNKNOWN_FORECAST","tax_code":"RC_IN19","cash_class":"operating","classification":{"recurrence":"recurring","commitment":"committed","behaviour":"fixed"},"legs":[{"leg_id":"MAP.COST.RC.COGS.CLOUD_FIXED.L01","side":"debit","account_id":"GL.COGS.CLOUD_FIXED","amount_component":"net_plus_unrecoverable_vat"},{"leg_id":"MAP.COST.RC.COGS.CLOUD_FIXED.L02","side":"debit","account_id":"GL.VAT.DOM_ASSET","amount_component":"recoverable_vat"},{"leg_id":"MAP.COST.RC.COGS.CLOUD_FIXED.L03","side":"credit","account_id":"GL.AP.SUPPLIER","amount_component":"net"},{"leg_id":"MAP.COST.RC.COGS.CLOUD_FIXED.L04","side":"credit","account_id":"GL.VAT.DOM_LIAB","amount_component":"self_assessed_vat"}],"report_allocations":[{"leg_id":"MAP.COST.RC.COGS.CLOUD_FIXED.L01","view_id":"statement","report_row_id":"PNL.COGS","weight":1},{"leg_id":"MAP.COST.RC.COGS.CLOUD_FIXED.L01","view_id":"nature","report_row_id":"cost_of_revenue","weight":1},{"leg_id":"MAP.COST.RC.COGS.CLOUD_FIXED.L01","view_id":"function","report_row_id":"cost_of_revenue","weight":1},{"leg_id":"MAP.COST.RC.COGS.CLOUD_FIXED.L01","view_id":"cost_centre","report_row_id":"ENG","weight":1},{"leg_id":"MAP.COST.RC.COGS.CLOUD_FIXED.L01","view_id":"vendor","report_row_id":"UNKNOWN_FORECAST","weight":1},{"leg_id":"MAP.COST.RC.COGS.CLOUD_FIXED.L01","view_id":"recurrence","report_row_id":"recurring","weight":1},{"leg_id":"MAP.COST.RC.COGS.CLOUD_FIXED.L01","view_id":"commitment","report_row_id":"committed","weight":1},{"leg_id":"MAP.COST.RC.COGS.CLOUD_FIXED.L01","view_id":"behaviour","report_row_id":"fixed","weight":1},{"leg_id":"MAP.COST.RC.COGS.CLOUD_FIXED.L02","view_id":"statement","report_row_id":"BS.TAX_ASSETS","weight":1},{"leg_id":"MAP.COST.RC.COGS.CLOUD_FIXED.L02","view_id":"nature","report_row_id":"tax_assets","weight":1},{"leg_id":"MAP.COST.RC.COGS.CLOUD_FIXED.L02","view_id":"function","report_row_id":"balance_sheet","weight":1},{"leg_id":"MAP.COST.RC.COGS.CLOUD_FIXED.L02","view_id":"cost_centre","report_row_id":"ENG","weight":1},{"leg_id":"MAP.COST.RC.COGS.CLOUD_FIXED.L02","view_id":"vendor","report_row_id":"UNKNOWN_FORECAST","weight":1},{"leg_id":"MAP.COST.RC.COGS.CLOUD_FIXED.L02","view_id":"recurrence","report_row_id":"not_applicable","weight":1},{"leg_id":"MAP.COST.RC.COGS.CLOUD_FIXED.L02","view_id":"commitment","report_row_id":"not_applicable","weight":1},{"leg_id":"MAP.COST.RC.COGS.CLOUD_FIXED.L02","view_id":"behaviour","report_row_id":"not_applicable","weight":1},{"leg_id":"MAP.COST.RC.COGS.CLOUD_FIXED.L03","view_id":"statement","report_row_id":"BS.AP","weight":1},{"leg_id":"MAP.COST.RC.COGS.CLOUD_FIXED.L03","view_id":"nature","report_row_id":"ap","weight":1},{"leg_id":"MAP.COST.RC.COGS.CLOUD_FIXED.L03","view_id":"function","report_row_id":"balance_sheet","weight":1},{"leg_id":"MAP.COST.RC.COGS.CLOUD_FIXED.L03","view_id":"cost_centre","report_row_id":"ENG","weight":1},{"leg_id":"MAP.COST.RC.COGS.CLOUD_FIXED.L03","view_id":"vendor","report_row_id":"UNKNOWN_FORECAST","weight":1},{"leg_id":"MAP.COST.RC.COGS.CLOUD_FIXED.L03","view_id":"recurrence","report_row_id":"not_applicable","weight":1},{"leg_id":"MAP.COST.RC.COGS.CLOUD_FIXED.L03","view_id":"commitment","report_row_id":"not_applicable","weight":1},{"leg_id":"MAP.COST.RC.COGS.CLOUD_FIXED.L03","view_id":"behaviour","report_row_id":"not_applicable","weight":1},{"leg_id":"MAP.COST.RC.COGS.CLOUD_FIXED.L04","view_id":"statement","report_row_id":"BS.TAX_LIABILITIES","weight":1},{"leg_id":"MAP.COST.RC.COGS.CLOUD_FIXED.L04","view_id":"nature","report_row_id":"tax_liabilities","weight":1},{"leg_id":"MAP.COST.RC.COGS.CLOUD_FIXED.L04","view_id":"function","report_row_id":"balance_sheet","weight":1},{"leg_id":"MAP.COST.RC.COGS.CLOUD_FIXED.L04","view_id":"cost_centre","report_row_id":"ENG","weight":1},{"leg_id":"MAP.COST.RC.COGS.CLOUD_FIXED.L04","view_id":"vendor","report_row_id":"UNKNOWN_FORECAST","weight":1},{"leg_id":"MAP.COST.RC.COGS.CLOUD_FIXED.L04","view_id":"recurrence","report_row_id":"not_applicable","weight":1},{"leg_id":"MAP.COST.RC.COGS.CLOUD_FIXED.L04","view_id":"commitment","report_row_id":"not_applicable","weight":1},{"leg_id":"MAP.COST.RC.COGS.CLOUD_FIXED.L04","view_id":"behaviour","report_row_id":"not_applicable","weight":1}]},{"mapping_id":"MAP.COST.RC.COGS.CLOUD_VARIABLE","source_row_id":"COGS.CLOUD_VARIABLE","posting_owner":"COGS","stream":"CORPORATE","cost_centre":"ENG","vendor_id":"UNKNOWN_FORECAST","tax_code":"RC_IN19","cash_class":"operating","classification":{"recurrence":"recurring","commitment":"committed","behaviour":"variable"},"legs":[{"leg_id":"MAP.COST.RC.COGS.CLOUD_VARIABLE.L01","side":"debit","account_id":"GL.COGS.CLOUD_VARIABLE","amount_component":"net_plus_unrecoverable_vat"},{"leg_id":"MAP.COST.RC.COGS.CLOUD_VARIABLE.L02","side":"debit","account_id":"GL.VAT.DOM_ASSET","amount_component":"recoverable_vat"},{"leg_id":"MAP.COST.RC.COGS.CLOUD_VARIABLE.L03","side":"credit","account_id":"GL.AP.SUPPLIER","amount_component":"net"},{"leg_id":"MAP.COST.RC.COGS.CLOUD_VARIABLE.L04","side":"credit","account_id":"GL.VAT.DOM_LIAB","amount_component":"self_assessed_vat"}],"report_allocations":[{"leg_id":"MAP.COST.RC.COGS.CLOUD_VARIABLE.L01","view_id":"statement","report_row_id":"PNL.COGS","weight":1},{"leg_id":"MAP.COST.RC.COGS.CLOUD_VARIABLE.L01","view_id":"nature","report_row_id":"cost_of_revenue","weight":1},{"leg_id":"MAP.COST.RC.COGS.CLOUD_VARIABLE.L01","view_id":"function","report_row_id":"cost_of_revenue","weight":1},{"leg_id":"MAP.COST.RC.COGS.CLOUD_VARIABLE.L01","view_id":"cost_centre","report_row_id":"ENG","weight":1},{"leg_id":"MAP.COST.RC.COGS.CLOUD_VARIABLE.L01","view_id":"vendor","report_row_id":"UNKNOWN_FORECAST","weight":1},{"leg_id":"MAP.COST.RC.COGS.CLOUD_VARIABLE.L01","view_id":"recurrence","report_row_id":"recurring","weight":1},{"leg_id":"MAP.COST.RC.COGS.CLOUD_VARIABLE.L01","view_id":"commitment","report_row_id":"committed","weight":1},{"leg_id":"MAP.COST.RC.COGS.CLOUD_VARIABLE.L01","view_id":"behaviour","report_row_id":"variable","weight":1},{"leg_id":"MAP.COST.RC.COGS.CLOUD_VARIABLE.L02","view_id":"statement","report_row_id":"BS.TAX_ASSETS","weight":1},{"leg_id":"MAP.COST.RC.COGS.CLOUD_VARIABLE.L02","view_id":"nature","report_row_id":"tax_assets","weight":1},{"leg_id":"MAP.COST.RC.COGS.CLOUD_VARIABLE.L02","view_id":"function","report_row_id":"balance_sheet","weight":1},{"leg_id":"MAP.COST.RC.COGS.CLOUD_VARIABLE.L02","view_id":"cost_centre","report_row_id":"ENG","weight":1},{"leg_id":"MAP.COST.RC.COGS.CLOUD_VARIABLE.L02","view_id":"vendor","report_row_id":"UNKNOWN_FORECAST","weight":1},{"leg_id":"MAP.COST.RC.COGS.CLOUD_VARIABLE.L02","view_id":"recurrence","report_row_id":"not_applicable","weight":1},{"leg_id":"MAP.COST.RC.COGS.CLOUD_VARIABLE.L02","view_id":"commitment","report_row_id":"not_applicable","weight":1},{"leg_id":"MAP.COST.RC.COGS.CLOUD_VARIABLE.L02","view_id":"behaviour","report_row_id":"not_applicable","weight":1},{"leg_id":"MAP.COST.RC.COGS.CLOUD_VARIABLE.L03","view_id":"statement","report_row_id":"BS.AP","weight":1},{"leg_id":"MAP.COST.RC.COGS.CLOUD_VARIABLE.L03","view_id":"nature","report_row_id":"ap","weight":1},{"leg_id":"MAP.COST.RC.COGS.CLOUD_VARIABLE.L03","view_id":"function","report_row_id":"balance_sheet","weight":1},{"leg_id":"MAP.COST.RC.COGS.CLOUD_VARIABLE.L03","view_id":"cost_centre","report_row_id":"ENG","weight":1},{"leg_id":"MAP.COST.RC.COGS.CLOUD_VARIABLE.L03","view_id":"vendor","report_row_id":"UNKNOWN_FORECAST","weight":1},{"leg_id":"MAP.COST.RC.COGS.CLOUD_VARIABLE.L03","view_id":"recurrence","report_row_id":"not_applicable","weight":1},{"leg_id":"MAP.COST.RC.COGS.CLOUD_VARIABLE.L03","view_id":"commitment","report_row_id":"not_applicable","weight":1},{"leg_id":"MAP.COST.RC.COGS.CLOUD_VARIABLE.L03","view_id":"behaviour","report_row_id":"not_applicable","weight":1},{"leg_id":"MAP.COST.RC.COGS.CLOUD_VARIABLE.L04","view_id":"statement","report_row_id":"BS.TAX_LIABILITIES","weight":1},{"leg_id":"MAP.COST.RC.COGS.CLOUD_VARIABLE.L04","view_id":"nature","report_row_id":"tax_liabilities","weight":1},{"leg_id":"MAP.COST.RC.COGS.CLOUD_VARIABLE.L04","view_id":"function","report_row_id":"balance_sheet","weight":1},{"leg_id":"MAP.COST.RC.COGS.CLOUD_VARIABLE.L04","view_id":"cost_centre","report_row_id":"ENG","weight":1},{"leg_id":"MAP.COST.RC.COGS.CLOUD_VARIABLE.L04","view_id":"vendor","report_row_id":"UNKNOWN_FORECAST","weight":1},{"leg_id":"MAP.COST.RC.COGS.CLOUD_VARIABLE.L04","view_id":"recurrence","report_row_id":"not_applicable","weight":1},{"leg_id":"MAP.COST.RC.COGS.CLOUD_VARIABLE.L04","view_id":"commitment","report_row_id":"not_applicable","weight":1},{"leg_id":"MAP.COST.RC.COGS.CLOUD_VARIABLE.L04","view_id":"behaviour","report_row_id":"not_applicable","weight":1}]},{"mapping_id":"MAP.COST.RC.COGS.MDATA","source_row_id":"COGS.MDATA","posting_owner":"COGS","stream":"CORPORATE","cost_centre":"ENG","vendor_id":"UNKNOWN_FORECAST","tax_code":"RC_IN19","cash_class":"operating","classification":{"recurrence":"recurring","commitment":"committed","behaviour":"fixed"},"legs":[{"leg_id":"MAP.COST.RC.COGS.MDATA.L01","side":"debit","account_id":"GL.COGS.MDATA","amount_component":"net_plus_unrecoverable_vat"},{"leg_id":"MAP.COST.RC.COGS.MDATA.L02","side":"debit","account_id":"GL.VAT.DOM_ASSET","amount_component":"recoverable_vat"},{"leg_id":"MAP.COST.RC.COGS.MDATA.L03","side":"credit","account_id":"GL.AP.SUPPLIER","amount_component":"net"},{"leg_id":"MAP.COST.RC.COGS.MDATA.L04","side":"credit","account_id":"GL.VAT.DOM_LIAB","amount_component":"self_assessed_vat"}],"report_allocations":[{"leg_id":"MAP.COST.RC.COGS.MDATA.L01","view_id":"statement","report_row_id":"PNL.COGS","weight":1},{"leg_id":"MAP.COST.RC.COGS.MDATA.L01","view_id":"nature","report_row_id":"cost_of_revenue","weight":1},{"leg_id":"MAP.COST.RC.COGS.MDATA.L01","view_id":"function","report_row_id":"cost_of_revenue","weight":1},{"leg_id":"MAP.COST.RC.COGS.MDATA.L01","view_id":"cost_centre","report_row_id":"ENG","weight":1},{"leg_id":"MAP.COST.RC.COGS.MDATA.L01","view_id":"vendor","report_row_id":"UNKNOWN_FORECAST","weight":1},{"leg_id":"MAP.COST.RC.COGS.MDATA.L01","view_id":"recurrence","report_row_id":"recurring","weight":1},{"leg_id":"MAP.COST.RC.COGS.MDATA.L01","view_id":"commitment","report_row_id":"committed","weight":1},{"leg_id":"MAP.COST.RC.COGS.MDATA.L01","view_id":"behaviour","report_row_id":"fixed","weight":1},{"leg_id":"MAP.COST.RC.COGS.MDATA.L02","view_id":"statement","report_row_id":"BS.TAX_ASSETS","weight":1},{"leg_id":"MAP.COST.RC.COGS.MDATA.L02","view_id":"nature","report_row_id":"tax_assets","weight":1},{"leg_id":"MAP.COST.RC.COGS.MDATA.L02","view_id":"function","report_row_id":"balance_sheet","weight":1},{"leg_id":"MAP.COST.RC.COGS.MDATA.L02","view_id":"cost_centre","report_row_id":"ENG","weight":1},{"leg_id":"MAP.COST.RC.COGS.MDATA.L02","view_id":"vendor","report_row_id":"UNKNOWN_FORECAST","weight":1},{"leg_id":"MAP.COST.RC.COGS.MDATA.L02","view_id":"recurrence","report_row_id":"not_applicable","weight":1},{"leg_id":"MAP.COST.RC.COGS.MDATA.L02","view_id":"commitment","report_row_id":"not_applicable","weight":1},{"leg_id":"MAP.COST.RC.COGS.MDATA.L02","view_id":"behaviour","report_row_id":"not_applicable","weight":1},{"leg_id":"MAP.COST.RC.COGS.MDATA.L03","view_id":"statement","report_row_id":"BS.AP","weight":1},{"leg_id":"MAP.COST.RC.COGS.MDATA.L03","view_id":"nature","report_row_id":"ap","weight":1},{"leg_id":"MAP.COST.RC.COGS.MDATA.L03","view_id":"function","report_row_id":"balance_sheet","weight":1},{"leg_id":"MAP.COST.RC.COGS.MDATA.L03","view_id":"cost_centre","report_row_id":"ENG","weight":1},{"leg_id":"MAP.COST.RC.COGS.MDATA.L03","view_id":"vendor","report_row_id":"UNKNOWN_FORECAST","weight":1},{"leg_id":"MAP.COST.RC.COGS.MDATA.L03","view_id":"recurrence","report_row_id":"not_applicable","weight":1},{"leg_id":"MAP.COST.RC.COGS.MDATA.L03","view_id":"commitment","report_row_id":"not_applicable","weight":1},{"leg_id":"MAP.COST.RC.COGS.MDATA.L03","view_id":"behaviour","report_row_id":"not_applicable","weight":1},{"leg_id":"MAP.COST.RC.COGS.MDATA.L04","view_id":"statement","report_row_id":"BS.TAX_LIABILITIES","weight":1},{"leg_id":"MAP.COST.RC.COGS.MDATA.L04","view_id":"nature","report_row_id":"tax_liabilities","weight":1},{"leg_id":"MAP.COST.RC.COGS.MDATA.L04","view_id":"function","report_row_id":"balance_sheet","weight":1},{"leg_id":"MAP.COST.RC.COGS.MDATA.L04","view_id":"cost_centre","report_row_id":"ENG","weight":1},{"leg_id":"MAP.COST.RC.COGS.MDATA.L04","view_id":"vendor","report_row_id":"UNKNOWN_FORECAST","weight":1},{"leg_id":"MAP.COST.RC.COGS.MDATA.L04","view_id":"recurrence","report_row_id":"not_applicable","weight":1},{"leg_id":"MAP.COST.RC.COGS.MDATA.L04","view_id":"commitment","report_row_id":"not_applicable","weight":1},{"leg_id":"MAP.COST.RC.COGS.MDATA.L04","view_id":"behaviour","report_row_id":"not_applicable","weight":1}]},{"mapping_id":"MAP.COST.COGS.SUPPORT","source_row_id":"COGS.SUPPORT","posting_owner":"COGS","stream":"CORPORATE","cost_centre":"SUP","vendor_id":"UNKNOWN_FORECAST","tax_code":"DE_IN19","cash_class":"operating","classification":{"recurrence":"recurring","commitment":"committed","behaviour":"variable"},"legs":[{"leg_id":"MAP.COST.COGS.SUPPORT.L01","side":"debit","account_id":"GL.COGS.SUPPORT","amount_component":"net_plus_unrecoverable_vat"},{"leg_id":"MAP.COST.COGS.SUPPORT.L02","side":"debit","account_id":"GL.VAT.DOM_ASSET","amount_component":"recoverable_vat"},{"leg_id":"MAP.COST.COGS.SUPPORT.L03","side":"credit","account_id":"GL.AP.SUPPLIER","amount_component":"gross"}],"report_allocations":[{"leg_id":"MAP.COST.COGS.SUPPORT.L01","view_id":"statement","report_row_id":"PNL.COGS","weight":1},{"leg_id":"MAP.COST.COGS.SUPPORT.L01","view_id":"nature","report_row_id":"cost_of_revenue","weight":1},{"leg_id":"MAP.COST.COGS.SUPPORT.L01","view_id":"function","report_row_id":"cost_of_revenue","weight":1},{"leg_id":"MAP.COST.COGS.SUPPORT.L01","view_id":"cost_centre","report_row_id":"SUP","weight":1},{"leg_id":"MAP.COST.COGS.SUPPORT.L01","view_id":"vendor","report_row_id":"UNKNOWN_FORECAST","weight":1},{"leg_id":"MAP.COST.COGS.SUPPORT.L01","view_id":"recurrence","report_row_id":"recurring","weight":1},{"leg_id":"MAP.COST.COGS.SUPPORT.L01","view_id":"commitment","report_row_id":"committed","weight":1},{"leg_id":"MAP.COST.COGS.SUPPORT.L01","view_id":"behaviour","report_row_id":"variable","weight":1},{"leg_id":"MAP.COST.COGS.SUPPORT.L02","view_id":"statement","report_row_id":"BS.TAX_ASSETS","weight":1},{"leg_id":"MAP.COST.COGS.SUPPORT.L02","view_id":"nature","report_row_id":"tax_assets","weight":1},{"leg_id":"MAP.COST.COGS.SUPPORT.L02","view_id":"function","report_row_id":"balance_sheet","weight":1},{"leg_id":"MAP.COST.COGS.SUPPORT.L02","view_id":"cost_centre","report_row_id":"SUP","weight":1},{"leg_id":"MAP.COST.COGS.SUPPORT.L02","view_id":"vendor","report_row_id":"UNKNOWN_FORECAST","weight":1},{"leg_id":"MAP.COST.COGS.SUPPORT.L02","view_id":"recurrence","report_row_id":"not_applicable","weight":1},{"leg_id":"MAP.COST.COGS.SUPPORT.L02","view_id":"commitment","report_row_id":"not_applicable","weight":1},{"leg_id":"MAP.COST.COGS.SUPPORT.L02","view_id":"behaviour","report_row_id":"not_applicable","weight":1},{"leg_id":"MAP.COST.COGS.SUPPORT.L03","view_id":"statement","report_row_id":"BS.AP","weight":1},{"leg_id":"MAP.COST.COGS.SUPPORT.L03","view_id":"nature","report_row_id":"ap","weight":1},{"leg_id":"MAP.COST.COGS.SUPPORT.L03","view_id":"function","report_row_id":"balance_sheet","weight":1},{"leg_id":"MAP.COST.COGS.SUPPORT.L03","view_id":"cost_centre","report_row_id":"SUP","weight":1},{"leg_id":"MAP.COST.COGS.SUPPORT.L03","view_id":"vendor","report_row_id":"UNKNOWN_FORECAST","weight":1},{"leg_id":"MAP.COST.COGS.SUPPORT.L03","view_id":"recurrence","report_row_id":"not_applicable","weight":1},{"leg_id":"MAP.COST.COGS.SUPPORT.L03","view_id":"commitment","report_row_id":"not_applicable","weight":1},{"leg_id":"MAP.COST.COGS.SUPPORT.L03","view_id":"behaviour","report_row_id":"not_applicable","weight":1}]},{"mapping_id":"MAP.COST.REG.LEGAL_APP","source_row_id":"OPX.REG.LEGAL_APP","posting_owner":"Opex","stream":"CORPORATE","cost_centre":"COMP","vendor_id":"UNKNOWN_FORECAST","tax_code":"DE_IN19","cash_class":"operating","classification":{"recurrence":"one_off","commitment":"committed","behaviour":"fixed"},"legs":[{"leg_id":"MAP.COST.REG.LEGAL_APP.L01","side":"debit","account_id":"GL.OPEX.REG.LEGAL_APP","amount_component":"net_plus_unrecoverable_vat"},{"leg_id":"MAP.COST.REG.LEGAL_APP.L02","side":"debit","account_id":"GL.VAT.DOM_ASSET","amount_component":"recoverable_vat"},{"leg_id":"MAP.COST.REG.LEGAL_APP.L03","side":"credit","account_id":"GL.AP.SUPPLIER","amount_component":"gross"}],"report_allocations":[{"leg_id":"MAP.COST.REG.LEGAL_APP.L01","view_id":"statement","report_row_id":"PNL.OPEX","weight":1},{"leg_id":"MAP.COST.REG.LEGAL_APP.L01","view_id":"nature","report_row_id":"operating_expense","weight":1},{"leg_id":"MAP.COST.REG.LEGAL_APP.L01","view_id":"function","report_row_id":"general_admin","weight":1},{"leg_id":"MAP.COST.REG.LEGAL_APP.L01","view_id":"cost_centre","report_row_id":"COMP","weight":1},{"leg_id":"MAP.COST.REG.LEGAL_APP.L01","view_id":"vendor","report_row_id":"UNKNOWN_FORECAST","weight":1},{"leg_id":"MAP.COST.REG.LEGAL_APP.L01","view_id":"recurrence","report_row_id":"one_off","weight":1},{"leg_id":"MAP.COST.REG.LEGAL_APP.L01","view_id":"commitment","report_row_id":"committed","weight":1},{"leg_id":"MAP.COST.REG.LEGAL_APP.L01","view_id":"behaviour","report_row_id":"fixed","weight":1},{"leg_id":"MAP.COST.REG.LEGAL_APP.L02","view_id":"statement","report_row_id":"BS.TAX_ASSETS","weight":1},{"leg_id":"MAP.COST.REG.LEGAL_APP.L02","view_id":"nature","report_row_id":"tax_assets","weight":1},{"leg_id":"MAP.COST.REG.LEGAL_APP.L02","view_id":"function","report_row_id":"balance_sheet","weight":1},{"leg_id":"MAP.COST.REG.LEGAL_APP.L02","view_id":"cost_centre","report_row_id":"COMP","weight":1},{"leg_id":"MAP.COST.REG.LEGAL_APP.L02","view_id":"vendor","report_row_id":"UNKNOWN_FORECAST","weight":1},{"leg_id":"MAP.COST.REG.LEGAL_APP.L02","view_id":"recurrence","report_row_id":"not_applicable","weight":1},{"leg_id":"MAP.COST.REG.LEGAL_APP.L02","view_id":"commitment","report_row_id":"not_applicable","weight":1},{"leg_id":"MAP.COST.REG.LEGAL_APP.L02","view_id":"behaviour","report_row_id":"not_applicable","weight":1},{"leg_id":"MAP.COST.REG.LEGAL_APP.L03","view_id":"statement","report_row_id":"BS.AP","weight":1},{"leg_id":"MAP.COST.REG.LEGAL_APP.L03","view_id":"nature","report_row_id":"ap","weight":1},{"leg_id":"MAP.COST.REG.LEGAL_APP.L03","view_id":"function","report_row_id":"balance_sheet","weight":1},{"leg_id":"MAP.COST.REG.LEGAL_APP.L03","view_id":"cost_centre","report_row_id":"COMP","weight":1},{"leg_id":"MAP.COST.REG.LEGAL_APP.L03","view_id":"vendor","report_row_id":"UNKNOWN_FORECAST","weight":1},{"leg_id":"MAP.COST.REG.LEGAL_APP.L03","view_id":"recurrence","report_row_id":"not_applicable","weight":1},{"leg_id":"MAP.COST.REG.LEGAL_APP.L03","view_id":"commitment","report_row_id":"not_applicable","weight":1},{"leg_id":"MAP.COST.REG.LEGAL_APP.L03","view_id":"behaviour","report_row_id":"not_applicable","weight":1}]},{"mapping_id":"MAP.COST.REG.BAFIN_FEE","source_row_id":"OPX.REG.BAFIN_FEE","posting_owner":"Opex","stream":"CORPORATE","cost_centre":"COMP","vendor_id":"UNKNOWN_FORECAST","tax_code":"NONE","cash_class":"operating","classification":{"recurrence":"one_off","commitment":"committed","behaviour":"fixed"},"legs":[{"leg_id":"MAP.COST.REG.BAFIN_FEE.L01","side":"debit","account_id":"GL.OPEX.REG.BAFIN_FEE","amount_component":"net"},{"leg_id":"MAP.COST.REG.BAFIN_FEE.L02","side":"credit","account_id":"GL.CASH","amount_component":"net"}],"report_allocations":[{"leg_id":"MAP.COST.REG.BAFIN_FEE.L01","view_id":"statement","report_row_id":"PNL.OPEX","weight":1},{"leg_id":"MAP.COST.REG.BAFIN_FEE.L01","view_id":"nature","report_row_id":"operating_expense","weight":1},{"leg_id":"MAP.COST.REG.BAFIN_FEE.L01","view_id":"function","report_row_id":"general_admin","weight":1},{"leg_id":"MAP.COST.REG.BAFIN_FEE.L01","view_id":"cost_centre","report_row_id":"COMP","weight":1},{"leg_id":"MAP.COST.REG.BAFIN_FEE.L01","view_id":"vendor","report_row_id":"UNKNOWN_FORECAST","weight":1},{"leg_id":"MAP.COST.REG.BAFIN_FEE.L01","view_id":"recurrence","report_row_id":"one_off","weight":1},{"leg_id":"MAP.COST.REG.BAFIN_FEE.L01","view_id":"commitment","report_row_id":"committed","weight":1},{"leg_id":"MAP.COST.REG.BAFIN_FEE.L01","view_id":"behaviour","report_row_id":"fixed","weight":1},{"leg_id":"MAP.COST.REG.BAFIN_FEE.L02","view_id":"statement","report_row_id":"BS.CASH","weight":1},{"leg_id":"MAP.COST.REG.BAFIN_FEE.L02","view_id":"nature","report_row_id":"cash","weight":1},{"leg_id":"MAP.COST.REG.BAFIN_FEE.L02","view_id":"function","report_row_id":"balance_sheet","weight":1},{"leg_id":"MAP.COST.REG.BAFIN_FEE.L02","view_id":"cost_centre","report_row_id":"COMP","weight":1},{"leg_id":"MAP.COST.REG.BAFIN_FEE.L02","view_id":"vendor","report_row_id":"UNKNOWN_FORECAST","weight":1},{"leg_id":"MAP.COST.REG.BAFIN_FEE.L02","view_id":"recurrence","report_row_id":"not_applicable","weight":1},{"leg_id":"MAP.COST.REG.BAFIN_FEE.L02","view_id":"commitment","report_row_id":"not_applicable","weight":1},{"leg_id":"MAP.COST.REG.BAFIN_FEE.L02","view_id":"behaviour","report_row_id":"not_applicable","weight":1}]},{"mapping_id":"MAP.COST.REG.DORA_SETUP","source_row_id":"OPX.REG.DORA_SETUP","posting_owner":"Opex","stream":"CORPORATE","cost_centre":"COMP","vendor_id":"UNKNOWN_FORECAST","tax_code":"DE_IN19","cash_class":"operating","classification":{"recurrence":"one_off","commitment":"committed","behaviour":"fixed"},"legs":[{"leg_id":"MAP.COST.REG.DORA_SETUP.L01","side":"debit","account_id":"GL.OPEX.REG.DORA_SETUP","amount_component":"net_plus_unrecoverable_vat"},{"leg_id":"MAP.COST.REG.DORA_SETUP.L02","side":"debit","account_id":"GL.VAT.DOM_ASSET","amount_component":"recoverable_vat"},{"leg_id":"MAP.COST.REG.DORA_SETUP.L03","side":"credit","account_id":"GL.AP.SUPPLIER","amount_component":"gross"}],"report_allocations":[{"leg_id":"MAP.COST.REG.DORA_SETUP.L01","view_id":"statement","report_row_id":"PNL.OPEX","weight":1},{"leg_id":"MAP.COST.REG.DORA_SETUP.L01","view_id":"nature","report_row_id":"operating_expense","weight":1},{"leg_id":"MAP.COST.REG.DORA_SETUP.L01","view_id":"function","report_row_id":"general_admin","weight":1},{"leg_id":"MAP.COST.REG.DORA_SETUP.L01","view_id":"cost_centre","report_row_id":"COMP","weight":1},{"leg_id":"MAP.COST.REG.DORA_SETUP.L01","view_id":"vendor","report_row_id":"UNKNOWN_FORECAST","weight":1},{"leg_id":"MAP.COST.REG.DORA_SETUP.L01","view_id":"recurrence","report_row_id":"one_off","weight":1},{"leg_id":"MAP.COST.REG.DORA_SETUP.L01","view_id":"commitment","report_row_id":"committed","weight":1},{"leg_id":"MAP.COST.REG.DORA_SETUP.L01","view_id":"behaviour","report_row_id":"fixed","weight":1},{"leg_id":"MAP.COST.REG.DORA_SETUP.L02","view_id":"statement","report_row_id":"BS.TAX_ASSETS","weight":1},{"leg_id":"MAP.COST.REG.DORA_SETUP.L02","view_id":"nature","report_row_id":"tax_assets","weight":1},{"leg_id":"MAP.COST.REG.DORA_SETUP.L02","view_id":"function","report_row_id":"balance_sheet","weight":1},{"leg_id":"MAP.COST.REG.DORA_SETUP.L02","view_id":"cost_centre","report_row_id":"COMP","weight":1},{"leg_id":"MAP.COST.REG.DORA_SETUP.L02","view_id":"vendor","report_row_id":"UNKNOWN_FORECAST","weight":1},{"leg_id":"MAP.COST.REG.DORA_SETUP.L02","view_id":"recurrence","report_row_id":"not_applicable","weight":1},{"leg_id":"MAP.COST.REG.DORA_SETUP.L02","view_id":"commitment","report_row_id":"not_applicable","weight":1},{"leg_id":"MAP.COST.REG.DORA_SETUP.L02","view_id":"behaviour","report_row_id":"not_applicable","weight":1},{"leg_id":"MAP.COST.REG.DORA_SETUP.L03","view_id":"statement","report_row_id":"BS.AP","weight":1},{"leg_id":"MAP.COST.REG.DORA_SETUP.L03","view_id":"nature","report_row_id":"ap","weight":1},{"leg_id":"MAP.COST.REG.DORA_SETUP.L03","view_id":"function","report_row_id":"balance_sheet","weight":1},{"leg_id":"MAP.COST.REG.DORA_SETUP.L03","view_id":"cost_centre","report_row_id":"COMP","weight":1},{"leg_id":"MAP.COST.REG.DORA_SETUP.L03","view_id":"vendor","report_row_id":"UNKNOWN_FORECAST","weight":1},{"leg_id":"MAP.COST.REG.DORA_SETUP.L03","view_id":"recurrence","report_row_id":"not_applicable","weight":1},{"leg_id":"MAP.COST.REG.DORA_SETUP.L03","view_id":"commitment","report_row_id":"not_applicable","weight":1},{"leg_id":"MAP.COST.REG.DORA_SETUP.L03","view_id":"behaviour","report_row_id":"not_applicable","weight":1}]},{"mapping_id":"MAP.COST.REG.LEVY","source_row_id":"OPX.REG.LEVY","posting_owner":"Opex","stream":"CORPORATE","cost_centre":"COMP","vendor_id":"UNKNOWN_FORECAST","tax_code":"NONE","cash_class":"operating","classification":{"recurrence":"recurring","commitment":"committed","behaviour":"fixed"},"legs":[{"leg_id":"MAP.COST.REG.LEVY.L01","side":"debit","account_id":"GL.OPEX.REG.LEVY","amount_component":"net"},{"leg_id":"MAP.COST.REG.LEVY.L02","side":"credit","account_id":"GL.AP.SUPPLIER","amount_component":"net"}],"report_allocations":[{"leg_id":"MAP.COST.REG.LEVY.L01","view_id":"statement","report_row_id":"PNL.OPEX","weight":1},{"leg_id":"MAP.COST.REG.LEVY.L01","view_id":"nature","report_row_id":"operating_expense","weight":1},{"leg_id":"MAP.COST.REG.LEVY.L01","view_id":"function","report_row_id":"general_admin","weight":1},{"leg_id":"MAP.COST.REG.LEVY.L01","view_id":"cost_centre","report_row_id":"COMP","weight":1},{"leg_id":"MAP.COST.REG.LEVY.L01","view_id":"vendor","report_row_id":"UNKNOWN_FORECAST","weight":1},{"leg_id":"MAP.COST.REG.LEVY.L01","view_id":"recurrence","report_row_id":"recurring","weight":1},{"leg_id":"MAP.COST.REG.LEVY.L01","view_id":"commitment","report_row_id":"committed","weight":1},{"leg_id":"MAP.COST.REG.LEVY.L01","view_id":"behaviour","report_row_id":"fixed","weight":1},{"leg_id":"MAP.COST.REG.LEVY.L02","view_id":"statement","report_row_id":"BS.AP","weight":1},{"leg_id":"MAP.COST.REG.LEVY.L02","view_id":"nature","report_row_id":"ap","weight":1},{"leg_id":"MAP.COST.REG.LEVY.L02","view_id":"function","report_row_id":"balance_sheet","weight":1},{"leg_id":"MAP.COST.REG.LEVY.L02","view_id":"cost_centre","report_row_id":"COMP","weight":1},{"leg_id":"MAP.COST.REG.LEVY.L02","view_id":"vendor","report_row_id":"UNKNOWN_FORECAST","weight":1},{"leg_id":"MAP.COST.REG.LEVY.L02","view_id":"recurrence","report_row_id":"not_applicable","weight":1},{"leg_id":"MAP.COST.REG.LEVY.L02","view_id":"commitment","report_row_id":"not_applicable","weight":1},{"leg_id":"MAP.COST.REG.LEVY.L02","view_id":"behaviour","report_row_id":"not_applicable","weight":1}]},{"mapping_id":"MAP.COST.REG.AUDIT","source_row_id":"OPX.REG.AUDIT","posting_owner":"Opex","stream":"CORPORATE","cost_centre":"COMP","vendor_id":"UNKNOWN_FORECAST","tax_code":"DE_IN19","cash_class":"operating","classification":{"recurrence":"recurring","commitment":"committed","behaviour":"fixed"},"legs":[{"leg_id":"MAP.COST.REG.AUDIT.L01","side":"debit","account_id":"GL.OPEX.REG.AUDIT","amount_component":"net_plus_unrecoverable_vat"},{"leg_id":"MAP.COST.REG.AUDIT.L02","side":"debit","account_id":"GL.VAT.DOM_ASSET","amount_component":"recoverable_vat"},{"leg_id":"MAP.COST.REG.AUDIT.L03","side":"credit","account_id":"GL.AP.SUPPLIER","amount_component":"gross"}],"report_allocations":[{"leg_id":"MAP.COST.REG.AUDIT.L01","view_id":"statement","report_row_id":"PNL.OPEX","weight":1},{"leg_id":"MAP.COST.REG.AUDIT.L01","view_id":"nature","report_row_id":"operating_expense","weight":1},{"leg_id":"MAP.COST.REG.AUDIT.L01","view_id":"function","report_row_id":"general_admin","weight":1},{"leg_id":"MAP.COST.REG.AUDIT.L01","view_id":"cost_centre","report_row_id":"COMP","weight":1},{"leg_id":"MAP.COST.REG.AUDIT.L01","view_id":"vendor","report_row_id":"UNKNOWN_FORECAST","weight":1},{"leg_id":"MAP.COST.REG.AUDIT.L01","view_id":"recurrence","report_row_id":"recurring","weight":1},{"leg_id":"MAP.COST.REG.AUDIT.L01","view_id":"commitment","report_row_id":"committed","weight":1},{"leg_id":"MAP.COST.REG.AUDIT.L01","view_id":"behaviour","report_row_id":"fixed","weight":1},{"leg_id":"MAP.COST.REG.AUDIT.L02","view_id":"statement","report_row_id":"BS.TAX_ASSETS","weight":1},{"leg_id":"MAP.COST.REG.AUDIT.L02","view_id":"nature","report_row_id":"tax_assets","weight":1},{"leg_id":"MAP.COST.REG.AUDIT.L02","view_id":"function","report_row_id":"balance_sheet","weight":1},{"leg_id":"MAP.COST.REG.AUDIT.L02","view_id":"cost_centre","report_row_id":"COMP","weight":1},{"leg_id":"MAP.COST.REG.AUDIT.L02","view_id":"vendor","report_row_id":"UNKNOWN_FORECAST","weight":1},{"leg_id":"MAP.COST.REG.AUDIT.L02","view_id":"recurrence","report_row_id":"not_applicable","weight":1},{"leg_id":"MAP.COST.REG.AUDIT.L02","view_id":"commitment","report_row_id":"not_applicable","weight":1},{"leg_id":"MAP.COST.REG.AUDIT.L02","view_id":"behaviour","report_row_id":"not_applicable","weight":1},{"leg_id":"MAP.COST.REG.AUDIT.L03","view_id":"statement","report_row_id":"BS.AP","weight":1},{"leg_id":"MAP.COST.REG.AUDIT.L03","view_id":"nature","report_row_id":"ap","weight":1},{"leg_id":"MAP.COST.REG.AUDIT.L03","view_id":"function","report_row_id":"balance_sheet","weight":1},{"leg_id":"MAP.COST.REG.AUDIT.L03","view_id":"cost_centre","report_row_id":"COMP","weight":1},{"leg_id":"MAP.COST.REG.AUDIT.L03","view_id":"vendor","report_row_id":"UNKNOWN_FORECAST","weight":1},{"leg_id":"MAP.COST.REG.AUDIT.L03","view_id":"recurrence","report_row_id":"not_applicable","weight":1},{"leg_id":"MAP.COST.REG.AUDIT.L03","view_id":"commitment","report_row_id":"not_applicable","weight":1},{"leg_id":"MAP.COST.REG.AUDIT.L03","view_id":"behaviour","report_row_id":"not_applicable","weight":1}]},{"mapping_id":"MAP.COST.REG.INT_AUDIT","source_row_id":"OPX.REG.INT_AUDIT","posting_owner":"Opex","stream":"CORPORATE","cost_centre":"COMP","vendor_id":"UNKNOWN_FORECAST","tax_code":"DE_IN19","cash_class":"operating","classification":{"recurrence":"recurring","commitment":"committed","behaviour":"fixed"},"legs":[{"leg_id":"MAP.COST.REG.INT_AUDIT.L01","side":"debit","account_id":"GL.OPEX.REG.INT_AUDIT","amount_component":"net_plus_unrecoverable_vat"},{"leg_id":"MAP.COST.REG.INT_AUDIT.L02","side":"debit","account_id":"GL.VAT.DOM_ASSET","amount_component":"recoverable_vat"},{"leg_id":"MAP.COST.REG.INT_AUDIT.L03","side":"credit","account_id":"GL.AP.SUPPLIER","amount_component":"gross"}],"report_allocations":[{"leg_id":"MAP.COST.REG.INT_AUDIT.L01","view_id":"statement","report_row_id":"PNL.OPEX","weight":1},{"leg_id":"MAP.COST.REG.INT_AUDIT.L01","view_id":"nature","report_row_id":"operating_expense","weight":1},{"leg_id":"MAP.COST.REG.INT_AUDIT.L01","view_id":"function","report_row_id":"general_admin","weight":1},{"leg_id":"MAP.COST.REG.INT_AUDIT.L01","view_id":"cost_centre","report_row_id":"COMP","weight":1},{"leg_id":"MAP.COST.REG.INT_AUDIT.L01","view_id":"vendor","report_row_id":"UNKNOWN_FORECAST","weight":1},{"leg_id":"MAP.COST.REG.INT_AUDIT.L01","view_id":"recurrence","report_row_id":"recurring","weight":1},{"leg_id":"MAP.COST.REG.INT_AUDIT.L01","view_id":"commitment","report_row_id":"committed","weight":1},{"leg_id":"MAP.COST.REG.INT_AUDIT.L01","view_id":"behaviour","report_row_id":"fixed","weight":1},{"leg_id":"MAP.COST.REG.INT_AUDIT.L02","view_id":"statement","report_row_id":"BS.TAX_ASSETS","weight":1},{"leg_id":"MAP.COST.REG.INT_AUDIT.L02","view_id":"nature","report_row_id":"tax_assets","weight":1},{"leg_id":"MAP.COST.REG.INT_AUDIT.L02","view_id":"function","report_row_id":"balance_sheet","weight":1},{"leg_id":"MAP.COST.REG.INT_AUDIT.L02","view_id":"cost_centre","report_row_id":"COMP","weight":1},{"leg_id":"MAP.COST.REG.INT_AUDIT.L02","view_id":"vendor","report_row_id":"UNKNOWN_FORECAST","weight":1},{"leg_id":"MAP.COST.REG.INT_AUDIT.L02","view_id":"recurrence","report_row_id":"not_applicable","weight":1},{"leg_id":"MAP.COST.REG.INT_AUDIT.L02","view_id":"commitment","report_row_id":"not_applicable","weight":1},{"leg_id":"MAP.COST.REG.INT_AUDIT.L02","view_id":"behaviour","report_row_id":"not_applicable","weight":1},{"leg_id":"MAP.COST.REG.INT_AUDIT.L03","view_id":"statement","report_row_id":"BS.AP","weight":1},{"leg_id":"MAP.COST.REG.INT_AUDIT.L03","view_id":"nature","report_row_id":"ap","weight":1},{"leg_id":"MAP.COST.REG.INT_AUDIT.L03","view_id":"function","report_row_id":"balance_sheet","weight":1},{"leg_id":"MAP.COST.REG.INT_AUDIT.L03","view_id":"cost_centre","report_row_id":"COMP","weight":1},{"leg_id":"MAP.COST.REG.INT_AUDIT.L03","view_id":"vendor","report_row_id":"UNKNOWN_FORECAST","weight":1},{"leg_id":"MAP.COST.REG.INT_AUDIT.L03","view_id":"recurrence","report_row_id":"not_applicable","weight":1},{"leg_id":"MAP.COST.REG.INT_AUDIT.L03","view_id":"commitment","report_row_id":"not_applicable","weight":1},{"leg_id":"MAP.COST.REG.INT_AUDIT.L03","view_id":"behaviour","report_row_id":"not_applicable","weight":1}]},{"mapping_id":"MAP.COST.REG.LEGAL_RUN","source_row_id":"OPX.REG.LEGAL_RUN","posting_owner":"Opex","stream":"CORPORATE","cost_centre":"COMP","vendor_id":"UNKNOWN_FORECAST","tax_code":"DE_IN19","cash_class":"operating","classification":{"recurrence":"recurring","commitment":"committed","behaviour":"fixed"},"legs":[{"leg_id":"MAP.COST.REG.LEGAL_RUN.L01","side":"debit","account_id":"GL.OPEX.REG.LEGAL_RUN","amount_component":"net_plus_unrecoverable_vat"},{"leg_id":"MAP.COST.REG.LEGAL_RUN.L02","side":"debit","account_id":"GL.VAT.DOM_ASSET","amount_component":"recoverable_vat"},{"leg_id":"MAP.COST.REG.LEGAL_RUN.L03","side":"credit","account_id":"GL.AP.SUPPLIER","amount_component":"gross"}],"report_allocations":[{"leg_id":"MAP.COST.REG.LEGAL_RUN.L01","view_id":"statement","report_row_id":"PNL.OPEX","weight":1},{"leg_id":"MAP.COST.REG.LEGAL_RUN.L01","view_id":"nature","report_row_id":"operating_expense","weight":1},{"leg_id":"MAP.COST.REG.LEGAL_RUN.L01","view_id":"function","report_row_id":"general_admin","weight":1},{"leg_id":"MAP.COST.REG.LEGAL_RUN.L01","view_id":"cost_centre","report_row_id":"COMP","weight":1},{"leg_id":"MAP.COST.REG.LEGAL_RUN.L01","view_id":"vendor","report_row_id":"UNKNOWN_FORECAST","weight":1},{"leg_id":"MAP.COST.REG.LEGAL_RUN.L01","view_id":"recurrence","report_row_id":"recurring","weight":1},{"leg_id":"MAP.COST.REG.LEGAL_RUN.L01","view_id":"commitment","report_row_id":"committed","weight":1},{"leg_id":"MAP.COST.REG.LEGAL_RUN.L01","view_id":"behaviour","report_row_id":"fixed","weight":1},{"leg_id":"MAP.COST.REG.LEGAL_RUN.L02","view_id":"statement","report_row_id":"BS.TAX_ASSETS","weight":1},{"leg_id":"MAP.COST.REG.LEGAL_RUN.L02","view_id":"nature","report_row_id":"tax_assets","weight":1},{"leg_id":"MAP.COST.REG.LEGAL_RUN.L02","view_id":"function","report_row_id":"balance_sheet","weight":1},{"leg_id":"MAP.COST.REG.LEGAL_RUN.L02","view_id":"cost_centre","report_row_id":"COMP","weight":1},{"leg_id":"MAP.COST.REG.LEGAL_RUN.L02","view_id":"vendor","report_row_id":"UNKNOWN_FORECAST","weight":1},{"leg_id":"MAP.COST.REG.LEGAL_RUN.L02","view_id":"recurrence","report_row_id":"not_applicable","weight":1},{"leg_id":"MAP.COST.REG.LEGAL_RUN.L02","view_id":"commitment","report_row_id":"not_applicable","weight":1},{"leg_id":"MAP.COST.REG.LEGAL_RUN.L02","view_id":"behaviour","report_row_id":"not_applicable","weight":1},{"leg_id":"MAP.COST.REG.LEGAL_RUN.L03","view_id":"statement","report_row_id":"BS.AP","weight":1},{"leg_id":"MAP.COST.REG.LEGAL_RUN.L03","view_id":"nature","report_row_id":"ap","weight":1},{"leg_id":"MAP.COST.REG.LEGAL_RUN.L03","view_id":"function","report_row_id":"balance_sheet","weight":1},{"leg_id":"MAP.COST.REG.LEGAL_RUN.L03","view_id":"cost_centre","report_row_id":"COMP","weight":1},{"leg_id":"MAP.COST.REG.LEGAL_RUN.L03","view_id":"vendor","report_row_id":"UNKNOWN_FORECAST","weight":1},{"leg_id":"MAP.COST.REG.LEGAL_RUN.L03","view_id":"recurrence","report_row_id":"not_applicable","weight":1},{"leg_id":"MAP.COST.REG.LEGAL_RUN.L03","view_id":"commitment","report_row_id":"not_applicable","weight":1},{"leg_id":"MAP.COST.REG.LEGAL_RUN.L03","view_id":"behaviour","report_row_id":"not_applicable","weight":1}]},{"mapping_id":"MAP.COST.REG.DORA_TEST","source_row_id":"OPX.REG.DORA_TEST","posting_owner":"Opex","stream":"CORPORATE","cost_centre":"COMP","vendor_id":"UNKNOWN_FORECAST","tax_code":"DE_IN19","cash_class":"operating","classification":{"recurrence":"recurring","commitment":"committed","behaviour":"fixed"},"legs":[{"leg_id":"MAP.COST.REG.DORA_TEST.L01","side":"debit","account_id":"GL.OPEX.REG.DORA_TEST","amount_component":"net_plus_unrecoverable_vat"},{"leg_id":"MAP.COST.REG.DORA_TEST.L02","side":"debit","account_id":"GL.VAT.DOM_ASSET","amount_component":"recoverable_vat"},{"leg_id":"MAP.COST.REG.DORA_TEST.L03","side":"credit","account_id":"GL.AP.SUPPLIER","amount_component":"gross"}],"report_allocations":[{"leg_id":"MAP.COST.REG.DORA_TEST.L01","view_id":"statement","report_row_id":"PNL.OPEX","weight":1},{"leg_id":"MAP.COST.REG.DORA_TEST.L01","view_id":"nature","report_row_id":"operating_expense","weight":1},{"leg_id":"MAP.COST.REG.DORA_TEST.L01","view_id":"function","report_row_id":"general_admin","weight":1},{"leg_id":"MAP.COST.REG.DORA_TEST.L01","view_id":"cost_centre","report_row_id":"COMP","weight":1},{"leg_id":"MAP.COST.REG.DORA_TEST.L01","view_id":"vendor","report_row_id":"UNKNOWN_FORECAST","weight":1},{"leg_id":"MAP.COST.REG.DORA_TEST.L01","view_id":"recurrence","report_row_id":"recurring","weight":1},{"leg_id":"MAP.COST.REG.DORA_TEST.L01","view_id":"commitment","report_row_id":"committed","weight":1},{"leg_id":"MAP.COST.REG.DORA_TEST.L01","view_id":"behaviour","report_row_id":"fixed","weight":1},{"leg_id":"MAP.COST.REG.DORA_TEST.L02","view_id":"statement","report_row_id":"BS.TAX_ASSETS","weight":1},{"leg_id":"MAP.COST.REG.DORA_TEST.L02","view_id":"nature","report_row_id":"tax_assets","weight":1},{"leg_id":"MAP.COST.REG.DORA_TEST.L02","view_id":"function","report_row_id":"balance_sheet","weight":1},{"leg_id":"MAP.COST.REG.DORA_TEST.L02","view_id":"cost_centre","report_row_id":"COMP","weight":1},{"leg_id":"MAP.COST.REG.DORA_TEST.L02","view_id":"vendor","report_row_id":"UNKNOWN_FORECAST","weight":1},{"leg_id":"MAP.COST.REG.DORA_TEST.L02","view_id":"recurrence","report_row_id":"not_applicable","weight":1},{"leg_id":"MAP.COST.REG.DORA_TEST.L02","view_id":"commitment","report_row_id":"not_applicable","weight":1},{"leg_id":"MAP.COST.REG.DORA_TEST.L02","view_id":"behaviour","report_row_id":"not_applicable","weight":1},{"leg_id":"MAP.COST.REG.DORA_TEST.L03","view_id":"statement","report_row_id":"BS.AP","weight":1},{"leg_id":"MAP.COST.REG.DORA_TEST.L03","view_id":"nature","report_row_id":"ap","weight":1},{"leg_id":"MAP.COST.REG.DORA_TEST.L03","view_id":"function","report_row_id":"balance_sheet","weight":1},{"leg_id":"MAP.COST.REG.DORA_TEST.L03","view_id":"cost_centre","report_row_id":"COMP","weight":1},{"leg_id":"MAP.COST.REG.DORA_TEST.L03","view_id":"vendor","report_row_id":"UNKNOWN_FORECAST","weight":1},{"leg_id":"MAP.COST.REG.DORA_TEST.L03","view_id":"recurrence","report_row_id":"not_applicable","weight":1},{"leg_id":"MAP.COST.REG.DORA_TEST.L03","view_id":"commitment","report_row_id":"not_applicable","weight":1},{"leg_id":"MAP.COST.REG.DORA_TEST.L03","view_id":"behaviour","report_row_id":"not_applicable","weight":1}]},{"mapping_id":"MAP.COST.RC.REG.SURVEIL","source_row_id":"OPX.REG.SURVEIL","posting_owner":"Opex","stream":"CORPORATE","cost_centre":"COMP","vendor_id":"UNKNOWN_FORECAST","tax_code":"RC_IN19","cash_class":"operating","classification":{"recurrence":"recurring","commitment":"committed","behaviour":"fixed"},"legs":[{"leg_id":"MAP.COST.RC.REG.SURVEIL.L01","side":"debit","account_id":"GL.OPEX.REG.SURVEIL","amount_component":"net_plus_unrecoverable_vat"},{"leg_id":"MAP.COST.RC.REG.SURVEIL.L02","side":"debit","account_id":"GL.VAT.DOM_ASSET","amount_component":"recoverable_vat"},{"leg_id":"MAP.COST.RC.REG.SURVEIL.L03","side":"credit","account_id":"GL.AP.SUPPLIER","amount_component":"net"},{"leg_id":"MAP.COST.RC.REG.SURVEIL.L04","side":"credit","account_id":"GL.VAT.DOM_LIAB","amount_component":"self_assessed_vat"}],"report_allocations":[{"leg_id":"MAP.COST.RC.REG.SURVEIL.L01","view_id":"statement","report_row_id":"PNL.OPEX","weight":1},{"leg_id":"MAP.COST.RC.REG.SURVEIL.L01","view_id":"nature","report_row_id":"operating_expense","weight":1},{"leg_id":"MAP.COST.RC.REG.SURVEIL.L01","view_id":"function","report_row_id":"general_admin","weight":1},{"leg_id":"MAP.COST.RC.REG.SURVEIL.L01","view_id":"cost_centre","report_row_id":"COMP","weight":1},{"leg_id":"MAP.COST.RC.REG.SURVEIL.L01","view_id":"vendor","report_row_id":"UNKNOWN_FORECAST","weight":1},{"leg_id":"MAP.COST.RC.REG.SURVEIL.L01","view_id":"recurrence","report_row_id":"recurring","weight":1},{"leg_id":"MAP.COST.RC.REG.SURVEIL.L01","view_id":"commitment","report_row_id":"committed","weight":1},{"leg_id":"MAP.COST.RC.REG.SURVEIL.L01","view_id":"behaviour","report_row_id":"fixed","weight":1},{"leg_id":"MAP.COST.RC.REG.SURVEIL.L02","view_id":"statement","report_row_id":"BS.TAX_ASSETS","weight":1},{"leg_id":"MAP.COST.RC.REG.SURVEIL.L02","view_id":"nature","report_row_id":"tax_assets","weight":1},{"leg_id":"MAP.COST.RC.REG.SURVEIL.L02","view_id":"function","report_row_id":"balance_sheet","weight":1},{"leg_id":"MAP.COST.RC.REG.SURVEIL.L02","view_id":"cost_centre","report_row_id":"COMP","weight":1},{"leg_id":"MAP.COST.RC.REG.SURVEIL.L02","view_id":"vendor","report_row_id":"UNKNOWN_FORECAST","weight":1},{"leg_id":"MAP.COST.RC.REG.SURVEIL.L02","view_id":"recurrence","report_row_id":"not_applicable","weight":1},{"leg_id":"MAP.COST.RC.REG.SURVEIL.L02","view_id":"commitment","report_row_id":"not_applicable","weight":1},{"leg_id":"MAP.COST.RC.REG.SURVEIL.L02","view_id":"behaviour","report_row_id":"not_applicable","weight":1},{"leg_id":"MAP.COST.RC.REG.SURVEIL.L03","view_id":"statement","report_row_id":"BS.AP","weight":1},{"leg_id":"MAP.COST.RC.REG.SURVEIL.L03","view_id":"nature","report_row_id":"ap","weight":1},{"leg_id":"MAP.COST.RC.REG.SURVEIL.L03","view_id":"function","report_row_id":"balance_sheet","weight":1},{"leg_id":"MAP.COST.RC.REG.SURVEIL.L03","view_id":"cost_centre","report_row_id":"COMP","weight":1},{"leg_id":"MAP.COST.RC.REG.SURVEIL.L03","view_id":"vendor","report_row_id":"UNKNOWN_FORECAST","weight":1},{"leg_id":"MAP.COST.RC.REG.SURVEIL.L03","view_id":"recurrence","report_row_id":"not_applicable","weight":1},{"leg_id":"MAP.COST.RC.REG.SURVEIL.L03","view_id":"commitment","report_row_id":"not_applicable","weight":1},{"leg_id":"MAP.COST.RC.REG.SURVEIL.L03","view_id":"behaviour","report_row_id":"not_applicable","weight":1},{"leg_id":"MAP.COST.RC.REG.SURVEIL.L04","view_id":"statement","report_row_id":"BS.TAX_LIABILITIES","weight":1},{"leg_id":"MAP.COST.RC.REG.SURVEIL.L04","view_id":"nature","report_row_id":"tax_liabilities","weight":1},{"leg_id":"MAP.COST.RC.REG.SURVEIL.L04","view_id":"function","report_row_id":"balance_sheet","weight":1},{"leg_id":"MAP.COST.RC.REG.SURVEIL.L04","view_id":"cost_centre","report_row_id":"COMP","weight":1},{"leg_id":"MAP.COST.RC.REG.SURVEIL.L04","view_id":"vendor","report_row_id":"UNKNOWN_FORECAST","weight":1},{"leg_id":"MAP.COST.RC.REG.SURVEIL.L04","view_id":"recurrence","report_row_id":"not_applicable","weight":1},{"leg_id":"MAP.COST.RC.REG.SURVEIL.L04","view_id":"commitment","report_row_id":"not_applicable","weight":1},{"leg_id":"MAP.COST.RC.REG.SURVEIL.L04","view_id":"behaviour","report_row_id":"not_applicable","weight":1}]},{"mapping_id":"MAP.COST.REG.INSURANCE","source_row_id":"OPX.REG.INSURANCE","posting_owner":"Opex","stream":"CORPORATE","cost_centre":"COMP","vendor_id":"UNKNOWN_FORECAST","tax_code":"NONE","cash_class":"operating","classification":{"recurrence":"recurring","commitment":"committed","behaviour":"fixed"},"legs":[{"leg_id":"MAP.COST.REG.INSURANCE.L01","side":"debit","account_id":"GL.OPEX.REG.INSURANCE","amount_component":"net"},{"leg_id":"MAP.COST.REG.INSURANCE.L02","side":"credit","account_id":"GL.AP.SUPPLIER","amount_component":"net"}],"report_allocations":[{"leg_id":"MAP.COST.REG.INSURANCE.L01","view_id":"statement","report_row_id":"PNL.OPEX","weight":1},{"leg_id":"MAP.COST.REG.INSURANCE.L01","view_id":"nature","report_row_id":"operating_expense","weight":1},{"leg_id":"MAP.COST.REG.INSURANCE.L01","view_id":"function","report_row_id":"general_admin","weight":1},{"leg_id":"MAP.COST.REG.INSURANCE.L01","view_id":"cost_centre","report_row_id":"COMP","weight":1},{"leg_id":"MAP.COST.REG.INSURANCE.L01","view_id":"vendor","report_row_id":"UNKNOWN_FORECAST","weight":1},{"leg_id":"MAP.COST.REG.INSURANCE.L01","view_id":"recurrence","report_row_id":"recurring","weight":1},{"leg_id":"MAP.COST.REG.INSURANCE.L01","view_id":"commitment","report_row_id":"committed","weight":1},{"leg_id":"MAP.COST.REG.INSURANCE.L01","view_id":"behaviour","report_row_id":"fixed","weight":1},{"leg_id":"MAP.COST.REG.INSURANCE.L02","view_id":"statement","report_row_id":"BS.AP","weight":1},{"leg_id":"MAP.COST.REG.INSURANCE.L02","view_id":"nature","report_row_id":"ap","weight":1},{"leg_id":"MAP.COST.REG.INSURANCE.L02","view_id":"function","report_row_id":"balance_sheet","weight":1},{"leg_id":"MAP.COST.REG.INSURANCE.L02","view_id":"cost_centre","report_row_id":"COMP","weight":1},{"leg_id":"MAP.COST.REG.INSURANCE.L02","view_id":"vendor","report_row_id":"UNKNOWN_FORECAST","weight":1},{"leg_id":"MAP.COST.REG.INSURANCE.L02","view_id":"recurrence","report_row_id":"not_applicable","weight":1},{"leg_id":"MAP.COST.REG.INSURANCE.L02","view_id":"commitment","report_row_id":"not_applicable","weight":1},{"leg_id":"MAP.COST.REG.INSURANCE.L02","view_id":"behaviour","report_row_id":"not_applicable","weight":1}]},{"mapping_id":"MAP.R1.MONTHLY.WEB.DE","source_row_id":"SUB.NET_BILLING","posting_owner":"R1","stream":"R1","cost_centre":"CORP","vendor_id":"CARD_PROCESSOR","tax_code":"DE_OUT19","cash_class":"operating","classification":{"recurrence":"recurring","commitment":"committed","behaviour":"variable"},"legs":[{"leg_id":"MAP.R1.MONTHLY.WEB.DE.L01","side":"debit","account_id":"GL.CASH","amount_component":"max_gross_less_fee_loss_zero"},{"leg_id":"MAP.R1.MONTHLY.WEB.DE.L02","side":"debit","account_id":"GL.COGS.PROCESSOR","amount_component":"processor_fee"},{"leg_id":"MAP.R1.MONTHLY.WEB.DE.L03","side":"debit","account_id":"GL.COGS.BILLING","amount_component":"billing_fee"},{"leg_id":"MAP.R1.MONTHLY.WEB.DE.L04","side":"debit","account_id":"GL.COGS.DISPUTE","amount_component":"dispute_loss"},{"leg_id":"MAP.R1.MONTHLY.WEB.DE.L05","side":"debit","account_id":"GL.COGS.FRAUD","amount_component":"fraud_loss"},{"leg_id":"MAP.R1.MONTHLY.WEB.DE.L06","side":"credit","account_id":"GL.CASH","amount_component":"max_fee_loss_less_gross_zero"},{"leg_id":"MAP.R1.MONTHLY.WEB.DE.L07","side":"credit","account_id":"GL.REV.R1","amount_component":"net"},{"leg_id":"MAP.R1.MONTHLY.WEB.DE.L08","side":"credit","account_id":"GL.VAT.DOM_LIAB","amount_component":"vat"}],"report_allocations":[{"leg_id":"MAP.R1.MONTHLY.WEB.DE.L01","view_id":"statement","report_row_id":"BS.CASH","weight":1},{"leg_id":"MAP.R1.MONTHLY.WEB.DE.L01","view_id":"nature","report_row_id":"cash","weight":1},{"leg_id":"MAP.R1.MONTHLY.WEB.DE.L01","view_id":"function","report_row_id":"balance_sheet","weight":1},{"leg_id":"MAP.R1.MONTHLY.WEB.DE.L01","view_id":"cost_centre","report_row_id":"CORP","weight":1},{"leg_id":"MAP.R1.MONTHLY.WEB.DE.L01","view_id":"vendor","report_row_id":"CARD_PROCESSOR","weight":1},{"leg_id":"MAP.R1.MONTHLY.WEB.DE.L01","view_id":"recurrence","report_row_id":"not_applicable","weight":1},{"leg_id":"MAP.R1.MONTHLY.WEB.DE.L01","view_id":"commitment","report_row_id":"not_applicable","weight":1},{"leg_id":"MAP.R1.MONTHLY.WEB.DE.L01","view_id":"behaviour","report_row_id":"not_applicable","weight":1},{"leg_id":"MAP.R1.MONTHLY.WEB.DE.L02","view_id":"statement","report_row_id":"PNL.COGS","weight":1},{"leg_id":"MAP.R1.MONTHLY.WEB.DE.L02","view_id":"nature","report_row_id":"cost_of_revenue","weight":1},{"leg_id":"MAP.R1.MONTHLY.WEB.DE.L02","view_id":"function","report_row_id":"cost_of_revenue","weight":1},{"leg_id":"MAP.R1.MONTHLY.WEB.DE.L02","view_id":"cost_centre","report_row_id":"CORP","weight":1},{"leg_id":"MAP.R1.MONTHLY.WEB.DE.L02","view_id":"vendor","report_row_id":"CARD_PROCESSOR","weight":1},{"leg_id":"MAP.R1.MONTHLY.WEB.DE.L02","view_id":"recurrence","report_row_id":"recurring","weight":1},{"leg_id":"MAP.R1.MONTHLY.WEB.DE.L02","view_id":"commitment","report_row_id":"committed","weight":1},{"leg_id":"MAP.R1.MONTHLY.WEB.DE.L02","view_id":"behaviour","report_row_id":"variable","weight":1},{"leg_id":"MAP.R1.MONTHLY.WEB.DE.L03","view_id":"statement","report_row_id":"PNL.COGS","weight":1},{"leg_id":"MAP.R1.MONTHLY.WEB.DE.L03","view_id":"nature","report_row_id":"cost_of_revenue","weight":1},{"leg_id":"MAP.R1.MONTHLY.WEB.DE.L03","view_id":"function","report_row_id":"cost_of_revenue","weight":1},{"leg_id":"MAP.R1.MONTHLY.WEB.DE.L03","view_id":"cost_centre","report_row_id":"CORP","weight":1},{"leg_id":"MAP.R1.MONTHLY.WEB.DE.L03","view_id":"vendor","report_row_id":"CARD_PROCESSOR","weight":1},{"leg_id":"MAP.R1.MONTHLY.WEB.DE.L03","view_id":"recurrence","report_row_id":"recurring","weight":1},{"leg_id":"MAP.R1.MONTHLY.WEB.DE.L03","view_id":"commitment","report_row_id":"committed","weight":1},{"leg_id":"MAP.R1.MONTHLY.WEB.DE.L03","view_id":"behaviour","report_row_id":"variable","weight":1},{"leg_id":"MAP.R1.MONTHLY.WEB.DE.L04","view_id":"statement","report_row_id":"PNL.COGS","weight":1},{"leg_id":"MAP.R1.MONTHLY.WEB.DE.L04","view_id":"nature","report_row_id":"cost_of_revenue","weight":1},{"leg_id":"MAP.R1.MONTHLY.WEB.DE.L04","view_id":"function","report_row_id":"cost_of_revenue","weight":1},{"leg_id":"MAP.R1.MONTHLY.WEB.DE.L04","view_id":"cost_centre","report_row_id":"CORP","weight":1},{"leg_id":"MAP.R1.MONTHLY.WEB.DE.L04","view_id":"vendor","report_row_id":"CARD_PROCESSOR","weight":1},{"leg_id":"MAP.R1.MONTHLY.WEB.DE.L04","view_id":"recurrence","report_row_id":"recurring","weight":1},{"leg_id":"MAP.R1.MONTHLY.WEB.DE.L04","view_id":"commitment","report_row_id":"committed","weight":1},{"leg_id":"MAP.R1.MONTHLY.WEB.DE.L04","view_id":"behaviour","report_row_id":"variable","weight":1},{"leg_id":"MAP.R1.MONTHLY.WEB.DE.L05","view_id":"statement","report_row_id":"PNL.COGS","weight":1},{"leg_id":"MAP.R1.MONTHLY.WEB.DE.L05","view_id":"nature","report_row_id":"cost_of_revenue","weight":1},{"leg_id":"MAP.R1.MONTHLY.WEB.DE.L05","view_id":"function","report_row_id":"cost_of_revenue","weight":1},{"leg_id":"MAP.R1.MONTHLY.WEB.DE.L05","view_id":"cost_centre","report_row_id":"CORP","weight":1},{"leg_id":"MAP.R1.MONTHLY.WEB.DE.L05","view_id":"vendor","report_row_id":"CARD_PROCESSOR","weight":1},{"leg_id":"MAP.R1.MONTHLY.WEB.DE.L05","view_id":"recurrence","report_row_id":"recurring","weight":1},{"leg_id":"MAP.R1.MONTHLY.WEB.DE.L05","view_id":"commitment","report_row_id":"committed","weight":1},{"leg_id":"MAP.R1.MONTHLY.WEB.DE.L05","view_id":"behaviour","report_row_id":"variable","weight":1},{"leg_id":"MAP.R1.MONTHLY.WEB.DE.L06","view_id":"statement","report_row_id":"BS.CASH","weight":1},{"leg_id":"MAP.R1.MONTHLY.WEB.DE.L06","view_id":"nature","report_row_id":"cash","weight":1},{"leg_id":"MAP.R1.MONTHLY.WEB.DE.L06","view_id":"function","report_row_id":"balance_sheet","weight":1},{"leg_id":"MAP.R1.MONTHLY.WEB.DE.L06","view_id":"cost_centre","report_row_id":"CORP","weight":1},{"leg_id":"MAP.R1.MONTHLY.WEB.DE.L06","view_id":"vendor","report_row_id":"CARD_PROCESSOR","weight":1},{"leg_id":"MAP.R1.MONTHLY.WEB.DE.L06","view_id":"recurrence","report_row_id":"not_applicable","weight":1},{"leg_id":"MAP.R1.MONTHLY.WEB.DE.L06","view_id":"commitment","report_row_id":"not_applicable","weight":1},{"leg_id":"MAP.R1.MONTHLY.WEB.DE.L06","view_id":"behaviour","report_row_id":"not_applicable","weight":1},{"leg_id":"MAP.R1.MONTHLY.WEB.DE.L07","view_id":"statement","report_row_id":"PNL.REVENUE","weight":1},{"leg_id":"MAP.R1.MONTHLY.WEB.DE.L07","view_id":"nature","report_row_id":"revenue","weight":1},{"leg_id":"MAP.R1.MONTHLY.WEB.DE.L07","view_id":"function","report_row_id":"revenue","weight":1},{"leg_id":"MAP.R1.MONTHLY.WEB.DE.L07","view_id":"cost_centre","report_row_id":"CORP","weight":1},{"leg_id":"MAP.R1.MONTHLY.WEB.DE.L07","view_id":"vendor","report_row_id":"CARD_PROCESSOR","weight":1},{"leg_id":"MAP.R1.MONTHLY.WEB.DE.L07","view_id":"recurrence","report_row_id":"recurring","weight":1},{"leg_id":"MAP.R1.MONTHLY.WEB.DE.L07","view_id":"commitment","report_row_id":"committed","weight":1},{"leg_id":"MAP.R1.MONTHLY.WEB.DE.L07","view_id":"behaviour","report_row_id":"fixed","weight":1},{"leg_id":"MAP.R1.MONTHLY.WEB.DE.L08","view_id":"statement","report_row_id":"BS.TAX_LIABILITIES","weight":1},{"leg_id":"MAP.R1.MONTHLY.WEB.DE.L08","view_id":"nature","report_row_id":"tax_liabilities","weight":1},{"leg_id":"MAP.R1.MONTHLY.WEB.DE.L08","view_id":"function","report_row_id":"balance_sheet","weight":1},{"leg_id":"MAP.R1.MONTHLY.WEB.DE.L08","view_id":"cost_centre","report_row_id":"CORP","weight":1},{"leg_id":"MAP.R1.MONTHLY.WEB.DE.L08","view_id":"vendor","report_row_id":"CARD_PROCESSOR","weight":1},{"leg_id":"MAP.R1.MONTHLY.WEB.DE.L08","view_id":"recurrence","report_row_id":"not_applicable","weight":1},{"leg_id":"MAP.R1.MONTHLY.WEB.DE.L08","view_id":"commitment","report_row_id":"not_applicable","weight":1},{"leg_id":"MAP.R1.MONTHLY.WEB.DE.L08","view_id":"behaviour","report_row_id":"not_applicable","weight":1}]},{"mapping_id":"MAP.R1.MONTHLY.WEB.AT","source_row_id":"SUB.NET_BILLING","posting_owner":"R1","stream":"R1","cost_centre":"CORP","vendor_id":"CARD_PROCESSOR","tax_code":"AT_OSS20","cash_class":"operating","classification":{"recurrence":"recurring","commitment":"committed","behaviour":"variable"},"legs":[{"leg_id":"MAP.R1.MONTHLY.WEB.AT.L01","side":"debit","account_id":"GL.CASH","amount_component":"max_gross_less_fee_loss_zero"},{"leg_id":"MAP.R1.MONTHLY.WEB.AT.L02","side":"debit","account_id":"GL.COGS.PROCESSOR","amount_component":"processor_fee"},{"leg_id":"MAP.R1.MONTHLY.WEB.AT.L03","side":"debit","account_id":"GL.COGS.BILLING","amount_component":"billing_fee"},{"leg_id":"MAP.R1.MONTHLY.WEB.AT.L04","side":"debit","account_id":"GL.COGS.DISPUTE","amount_component":"dispute_loss"},{"leg_id":"MAP.R1.MONTHLY.WEB.AT.L05","side":"debit","account_id":"GL.COGS.FRAUD","amount_component":"fraud_loss"},{"leg_id":"MAP.R1.MONTHLY.WEB.AT.L06","side":"credit","account_id":"GL.CASH","amount_component":"max_fee_loss_less_gross_zero"},{"leg_id":"MAP.R1.MONTHLY.WEB.AT.L07","side":"credit","account_id":"GL.REV.R1","amount_component":"net"},{"leg_id":"MAP.R1.MONTHLY.WEB.AT.L08","side":"credit","account_id":"GL.VAT.OSS","amount_component":"vat"}],"report_allocations":[{"leg_id":"MAP.R1.MONTHLY.WEB.AT.L01","view_id":"statement","report_row_id":"BS.CASH","weight":1},{"leg_id":"MAP.R1.MONTHLY.WEB.AT.L01","view_id":"nature","report_row_id":"cash","weight":1},{"leg_id":"MAP.R1.MONTHLY.WEB.AT.L01","view_id":"function","report_row_id":"balance_sheet","weight":1},{"leg_id":"MAP.R1.MONTHLY.WEB.AT.L01","view_id":"cost_centre","report_row_id":"CORP","weight":1},{"leg_id":"MAP.R1.MONTHLY.WEB.AT.L01","view_id":"vendor","report_row_id":"CARD_PROCESSOR","weight":1},{"leg_id":"MAP.R1.MONTHLY.WEB.AT.L01","view_id":"recurrence","report_row_id":"not_applicable","weight":1},{"leg_id":"MAP.R1.MONTHLY.WEB.AT.L01","view_id":"commitment","report_row_id":"not_applicable","weight":1},{"leg_id":"MAP.R1.MONTHLY.WEB.AT.L01","view_id":"behaviour","report_row_id":"not_applicable","weight":1},{"leg_id":"MAP.R1.MONTHLY.WEB.AT.L02","view_id":"statement","report_row_id":"PNL.COGS","weight":1},{"leg_id":"MAP.R1.MONTHLY.WEB.AT.L02","view_id":"nature","report_row_id":"cost_of_revenue","weight":1},{"leg_id":"MAP.R1.MONTHLY.WEB.AT.L02","view_id":"function","report_row_id":"cost_of_revenue","weight":1},{"leg_id":"MAP.R1.MONTHLY.WEB.AT.L02","view_id":"cost_centre","report_row_id":"CORP","weight":1},{"leg_id":"MAP.R1.MONTHLY.WEB.AT.L02","view_id":"vendor","report_row_id":"CARD_PROCESSOR","weight":1},{"leg_id":"MAP.R1.MONTHLY.WEB.AT.L02","view_id":"recurrence","report_row_id":"recurring","weight":1},{"leg_id":"MAP.R1.MONTHLY.WEB.AT.L02","view_id":"commitment","report_row_id":"committed","weight":1},{"leg_id":"MAP.R1.MONTHLY.WEB.AT.L02","view_id":"behaviour","report_row_id":"variable","weight":1},{"leg_id":"MAP.R1.MONTHLY.WEB.AT.L03","view_id":"statement","report_row_id":"PNL.COGS","weight":1},{"leg_id":"MAP.R1.MONTHLY.WEB.AT.L03","view_id":"nature","report_row_id":"cost_of_revenue","weight":1},{"leg_id":"MAP.R1.MONTHLY.WEB.AT.L03","view_id":"function","report_row_id":"cost_of_revenue","weight":1},{"leg_id":"MAP.R1.MONTHLY.WEB.AT.L03","view_id":"cost_centre","report_row_id":"CORP","weight":1},{"leg_id":"MAP.R1.MONTHLY.WEB.AT.L03","view_id":"vendor","report_row_id":"CARD_PROCESSOR","weight":1},{"leg_id":"MAP.R1.MONTHLY.WEB.AT.L03","view_id":"recurrence","report_row_id":"recurring","weight":1},{"leg_id":"MAP.R1.MONTHLY.WEB.AT.L03","view_id":"commitment","report_row_id":"committed","weight":1},{"leg_id":"MAP.R1.MONTHLY.WEB.AT.L03","view_id":"behaviour","report_row_id":"variable","weight":1},{"leg_id":"MAP.R1.MONTHLY.WEB.AT.L04","view_id":"statement","report_row_id":"PNL.COGS","weight":1},{"leg_id":"MAP.R1.MONTHLY.WEB.AT.L04","view_id":"nature","report_row_id":"cost_of_revenue","weight":1},{"leg_id":"MAP.R1.MONTHLY.WEB.AT.L04","view_id":"function","report_row_id":"cost_of_revenue","weight":1},{"leg_id":"MAP.R1.MONTHLY.WEB.AT.L04","view_id":"cost_centre","report_row_id":"CORP","weight":1},{"leg_id":"MAP.R1.MONTHLY.WEB.AT.L04","view_id":"vendor","report_row_id":"CARD_PROCESSOR","weight":1},{"leg_id":"MAP.R1.MONTHLY.WEB.AT.L04","view_id":"recurrence","report_row_id":"recurring","weight":1},{"leg_id":"MAP.R1.MONTHLY.WEB.AT.L04","view_id":"commitment","report_row_id":"committed","weight":1},{"leg_id":"MAP.R1.MONTHLY.WEB.AT.L04","view_id":"behaviour","report_row_id":"variable","weight":1},{"leg_id":"MAP.R1.MONTHLY.WEB.AT.L05","view_id":"statement","report_row_id":"PNL.COGS","weight":1},{"leg_id":"MAP.R1.MONTHLY.WEB.AT.L05","view_id":"nature","report_row_id":"cost_of_revenue","weight":1},{"leg_id":"MAP.R1.MONTHLY.WEB.AT.L05","view_id":"function","report_row_id":"cost_of_revenue","weight":1},{"leg_id":"MAP.R1.MONTHLY.WEB.AT.L05","view_id":"cost_centre","report_row_id":"CORP","weight":1},{"leg_id":"MAP.R1.MONTHLY.WEB.AT.L05","view_id":"vendor","report_row_id":"CARD_PROCESSOR","weight":1},{"leg_id":"MAP.R1.MONTHLY.WEB.AT.L05","view_id":"recurrence","report_row_id":"recurring","weight":1},{"leg_id":"MAP.R1.MONTHLY.WEB.AT.L05","view_id":"commitment","report_row_id":"committed","weight":1},{"leg_id":"MAP.R1.MONTHLY.WEB.AT.L05","view_id":"behaviour","report_row_id":"variable","weight":1},{"leg_id":"MAP.R1.MONTHLY.WEB.AT.L06","view_id":"statement","report_row_id":"BS.CASH","weight":1},{"leg_id":"MAP.R1.MONTHLY.WEB.AT.L06","view_id":"nature","report_row_id":"cash","weight":1},{"leg_id":"MAP.R1.MONTHLY.WEB.AT.L06","view_id":"function","report_row_id":"balance_sheet","weight":1},{"leg_id":"MAP.R1.MONTHLY.WEB.AT.L06","view_id":"cost_centre","report_row_id":"CORP","weight":1},{"leg_id":"MAP.R1.MONTHLY.WEB.AT.L06","view_id":"vendor","report_row_id":"CARD_PROCESSOR","weight":1},{"leg_id":"MAP.R1.MONTHLY.WEB.AT.L06","view_id":"recurrence","report_row_id":"not_applicable","weight":1},{"leg_id":"MAP.R1.MONTHLY.WEB.AT.L06","view_id":"commitment","report_row_id":"not_applicable","weight":1},{"leg_id":"MAP.R1.MONTHLY.WEB.AT.L06","view_id":"behaviour","report_row_id":"not_applicable","weight":1},{"leg_id":"MAP.R1.MONTHLY.WEB.AT.L07","view_id":"statement","report_row_id":"PNL.REVENUE","weight":1},{"leg_id":"MAP.R1.MONTHLY.WEB.AT.L07","view_id":"nature","report_row_id":"revenue","weight":1},{"leg_id":"MAP.R1.MONTHLY.WEB.AT.L07","view_id":"function","report_row_id":"revenue","weight":1},{"leg_id":"MAP.R1.MONTHLY.WEB.AT.L07","view_id":"cost_centre","report_row_id":"CORP","weight":1},{"leg_id":"MAP.R1.MONTHLY.WEB.AT.L07","view_id":"vendor","report_row_id":"CARD_PROCESSOR","weight":1},{"leg_id":"MAP.R1.MONTHLY.WEB.AT.L07","view_id":"recurrence","report_row_id":"recurring","weight":1},{"leg_id":"MAP.R1.MONTHLY.WEB.AT.L07","view_id":"commitment","report_row_id":"committed","weight":1},{"leg_id":"MAP.R1.MONTHLY.WEB.AT.L07","view_id":"behaviour","report_row_id":"fixed","weight":1},{"leg_id":"MAP.R1.MONTHLY.WEB.AT.L08","view_id":"statement","report_row_id":"BS.TAX_LIABILITIES","weight":1},{"leg_id":"MAP.R1.MONTHLY.WEB.AT.L08","view_id":"nature","report_row_id":"tax_liabilities","weight":1},{"leg_id":"MAP.R1.MONTHLY.WEB.AT.L08","view_id":"function","report_row_id":"balance_sheet","weight":1},{"leg_id":"MAP.R1.MONTHLY.WEB.AT.L08","view_id":"cost_centre","report_row_id":"CORP","weight":1},{"leg_id":"MAP.R1.MONTHLY.WEB.AT.L08","view_id":"vendor","report_row_id":"CARD_PROCESSOR","weight":1},{"leg_id":"MAP.R1.MONTHLY.WEB.AT.L08","view_id":"recurrence","report_row_id":"not_applicable","weight":1},{"leg_id":"MAP.R1.MONTHLY.WEB.AT.L08","view_id":"commitment","report_row_id":"not_applicable","weight":1},{"leg_id":"MAP.R1.MONTHLY.WEB.AT.L08","view_id":"behaviour","report_row_id":"not_applicable","weight":1}]},{"mapping_id":"MAP.R1.ANNUAL.WEB.DE","source_row_id":"SUB.NET_BILLING","posting_owner":"R1","stream":"R1","cost_centre":"CORP","vendor_id":"CARD_PROCESSOR","tax_code":"DE_OUT19","cash_class":"operating","classification":{"recurrence":"recurring","commitment":"committed","behaviour":"variable"},"legs":[{"leg_id":"MAP.R1.ANNUAL.WEB.DE.L01","side":"debit","account_id":"GL.CASH","amount_component":"max_gross_less_fee_loss_zero"},{"leg_id":"MAP.R1.ANNUAL.WEB.DE.L02","side":"debit","account_id":"GL.COGS.PROCESSOR","amount_component":"processor_fee"},{"leg_id":"MAP.R1.ANNUAL.WEB.DE.L03","side":"debit","account_id":"GL.COGS.BILLING","amount_component":"billing_fee"},{"leg_id":"MAP.R1.ANNUAL.WEB.DE.L04","side":"debit","account_id":"GL.COGS.DISPUTE","amount_component":"dispute_loss"},{"leg_id":"MAP.R1.ANNUAL.WEB.DE.L05","side":"debit","account_id":"GL.COGS.FRAUD","amount_component":"fraud_loss"},{"leg_id":"MAP.R1.ANNUAL.WEB.DE.L06","side":"credit","account_id":"GL.CASH","amount_component":"max_fee_loss_less_gross_zero"},{"leg_id":"MAP.R1.ANNUAL.WEB.DE.L07","side":"credit","account_id":"GL.CL.R1","amount_component":"net"},{"leg_id":"MAP.R1.ANNUAL.WEB.DE.L08","side":"credit","account_id":"GL.VAT.DOM_LIAB","amount_component":"vat"}],"report_allocations":[{"leg_id":"MAP.R1.ANNUAL.WEB.DE.L01","view_id":"statement","report_row_id":"BS.CASH","weight":1},{"leg_id":"MAP.R1.ANNUAL.WEB.DE.L01","view_id":"nature","report_row_id":"cash","weight":1},{"leg_id":"MAP.R1.ANNUAL.WEB.DE.L01","view_id":"function","report_row_id":"balance_sheet","weight":1},{"leg_id":"MAP.R1.ANNUAL.WEB.DE.L01","view_id":"cost_centre","report_row_id":"CORP","weight":1},{"leg_id":"MAP.R1.ANNUAL.WEB.DE.L01","view_id":"vendor","report_row_id":"CARD_PROCESSOR","weight":1},{"leg_id":"MAP.R1.ANNUAL.WEB.DE.L01","view_id":"recurrence","report_row_id":"not_applicable","weight":1},{"leg_id":"MAP.R1.ANNUAL.WEB.DE.L01","view_id":"commitment","report_row_id":"not_applicable","weight":1},{"leg_id":"MAP.R1.ANNUAL.WEB.DE.L01","view_id":"behaviour","report_row_id":"not_applicable","weight":1},{"leg_id":"MAP.R1.ANNUAL.WEB.DE.L02","view_id":"statement","report_row_id":"PNL.COGS","weight":1},{"leg_id":"MAP.R1.ANNUAL.WEB.DE.L02","view_id":"nature","report_row_id":"cost_of_revenue","weight":1},{"leg_id":"MAP.R1.ANNUAL.WEB.DE.L02","view_id":"function","report_row_id":"cost_of_revenue","weight":1},{"leg_id":"MAP.R1.ANNUAL.WEB.DE.L02","view_id":"cost_centre","report_row_id":"CORP","weight":1},{"leg_id":"MAP.R1.ANNUAL.WEB.DE.L02","view_id":"vendor","report_row_id":"CARD_PROCESSOR","weight":1},{"leg_id":"MAP.R1.ANNUAL.WEB.DE.L02","view_id":"recurrence","report_row_id":"recurring","weight":1},{"leg_id":"MAP.R1.ANNUAL.WEB.DE.L02","view_id":"commitment","report_row_id":"committed","weight":1},{"leg_id":"MAP.R1.ANNUAL.WEB.DE.L02","view_id":"behaviour","report_row_id":"variable","weight":1},{"leg_id":"MAP.R1.ANNUAL.WEB.DE.L03","view_id":"statement","report_row_id":"PNL.COGS","weight":1},{"leg_id":"MAP.R1.ANNUAL.WEB.DE.L03","view_id":"nature","report_row_id":"cost_of_revenue","weight":1},{"leg_id":"MAP.R1.ANNUAL.WEB.DE.L03","view_id":"function","report_row_id":"cost_of_revenue","weight":1},{"leg_id":"MAP.R1.ANNUAL.WEB.DE.L03","view_id":"cost_centre","report_row_id":"CORP","weight":1},{"leg_id":"MAP.R1.ANNUAL.WEB.DE.L03","view_id":"vendor","report_row_id":"CARD_PROCESSOR","weight":1},{"leg_id":"MAP.R1.ANNUAL.WEB.DE.L03","view_id":"recurrence","report_row_id":"recurring","weight":1},{"leg_id":"MAP.R1.ANNUAL.WEB.DE.L03","view_id":"commitment","report_row_id":"committed","weight":1},{"leg_id":"MAP.R1.ANNUAL.WEB.DE.L03","view_id":"behaviour","report_row_id":"variable","weight":1},{"leg_id":"MAP.R1.ANNUAL.WEB.DE.L04","view_id":"statement","report_row_id":"PNL.COGS","weight":1},{"leg_id":"MAP.R1.ANNUAL.WEB.DE.L04","view_id":"nature","report_row_id":"cost_of_revenue","weight":1},{"leg_id":"MAP.R1.ANNUAL.WEB.DE.L04","view_id":"function","report_row_id":"cost_of_revenue","weight":1},{"leg_id":"MAP.R1.ANNUAL.WEB.DE.L04","view_id":"cost_centre","report_row_id":"CORP","weight":1},{"leg_id":"MAP.R1.ANNUAL.WEB.DE.L04","view_id":"vendor","report_row_id":"CARD_PROCESSOR","weight":1},{"leg_id":"MAP.R1.ANNUAL.WEB.DE.L04","view_id":"recurrence","report_row_id":"recurring","weight":1},{"leg_id":"MAP.R1.ANNUAL.WEB.DE.L04","view_id":"commitment","report_row_id":"committed","weight":1},{"leg_id":"MAP.R1.ANNUAL.WEB.DE.L04","view_id":"behaviour","report_row_id":"variable","weight":1},{"leg_id":"MAP.R1.ANNUAL.WEB.DE.L05","view_id":"statement","report_row_id":"PNL.COGS","weight":1},{"leg_id":"MAP.R1.ANNUAL.WEB.DE.L05","view_id":"nature","report_row_id":"cost_of_revenue","weight":1},{"leg_id":"MAP.R1.ANNUAL.WEB.DE.L05","view_id":"function","report_row_id":"cost_of_revenue","weight":1},{"leg_id":"MAP.R1.ANNUAL.WEB.DE.L05","view_id":"cost_centre","report_row_id":"CORP","weight":1},{"leg_id":"MAP.R1.ANNUAL.WEB.DE.L05","view_id":"vendor","report_row_id":"CARD_PROCESSOR","weight":1},{"leg_id":"MAP.R1.ANNUAL.WEB.DE.L05","view_id":"recurrence","report_row_id":"recurring","weight":1},{"leg_id":"MAP.R1.ANNUAL.WEB.DE.L05","view_id":"commitment","report_row_id":"committed","weight":1},{"leg_id":"MAP.R1.ANNUAL.WEB.DE.L05","view_id":"behaviour","report_row_id":"variable","weight":1},{"leg_id":"MAP.R1.ANNUAL.WEB.DE.L06","view_id":"statement","report_row_id":"BS.CASH","weight":1},{"leg_id":"MAP.R1.ANNUAL.WEB.DE.L06","view_id":"nature","report_row_id":"cash","weight":1},{"leg_id":"MAP.R1.ANNUAL.WEB.DE.L06","view_id":"function","report_row_id":"balance_sheet","weight":1},{"leg_id":"MAP.R1.ANNUAL.WEB.DE.L06","view_id":"cost_centre","report_row_id":"CORP","weight":1},{"leg_id":"MAP.R1.ANNUAL.WEB.DE.L06","view_id":"vendor","report_row_id":"CARD_PROCESSOR","weight":1},{"leg_id":"MAP.R1.ANNUAL.WEB.DE.L06","view_id":"recurrence","report_row_id":"not_applicable","weight":1},{"leg_id":"MAP.R1.ANNUAL.WEB.DE.L06","view_id":"commitment","report_row_id":"not_applicable","weight":1},{"leg_id":"MAP.R1.ANNUAL.WEB.DE.L06","view_id":"behaviour","report_row_id":"not_applicable","weight":1},{"leg_id":"MAP.R1.ANNUAL.WEB.DE.L07","view_id":"statement","report_row_id":"BS.CL","weight":1},{"leg_id":"MAP.R1.ANNUAL.WEB.DE.L07","view_id":"nature","report_row_id":"cl","weight":1},{"leg_id":"MAP.R1.ANNUAL.WEB.DE.L07","view_id":"function","report_row_id":"balance_sheet","weight":1},{"leg_id":"MAP.R1.ANNUAL.WEB.DE.L07","view_id":"cost_centre","report_row_id":"CORP","weight":1},{"leg_id":"MAP.R1.ANNUAL.WEB.DE.L07","view_id":"vendor","report_row_id":"CARD_PROCESSOR","weight":1},{"leg_id":"MAP.R1.ANNUAL.WEB.DE.L07","view_id":"recurrence","report_row_id":"not_applicable","weight":1},{"leg_id":"MAP.R1.ANNUAL.WEB.DE.L07","view_id":"commitment","report_row_id":"not_applicable","weight":1},{"leg_id":"MAP.R1.ANNUAL.WEB.DE.L07","view_id":"behaviour","report_row_id":"not_applicable","weight":1},{"leg_id":"MAP.R1.ANNUAL.WEB.DE.L08","view_id":"statement","report_row_id":"BS.TAX_LIABILITIES","weight":1},{"leg_id":"MAP.R1.ANNUAL.WEB.DE.L08","view_id":"nature","report_row_id":"tax_liabilities","weight":1},{"leg_id":"MAP.R1.ANNUAL.WEB.DE.L08","view_id":"function","report_row_id":"balance_sheet","weight":1},{"leg_id":"MAP.R1.ANNUAL.WEB.DE.L08","view_id":"cost_centre","report_row_id":"CORP","weight":1},{"leg_id":"MAP.R1.ANNUAL.WEB.DE.L08","view_id":"vendor","report_row_id":"CARD_PROCESSOR","weight":1},{"leg_id":"MAP.R1.ANNUAL.WEB.DE.L08","view_id":"recurrence","report_row_id":"not_applicable","weight":1},{"leg_id":"MAP.R1.ANNUAL.WEB.DE.L08","view_id":"commitment","report_row_id":"not_applicable","weight":1},{"leg_id":"MAP.R1.ANNUAL.WEB.DE.L08","view_id":"behaviour","report_row_id":"not_applicable","weight":1}]},{"mapping_id":"MAP.R1.ANNUAL.WEB.AT","source_row_id":"SUB.NET_BILLING","posting_owner":"R1","stream":"R1","cost_centre":"CORP","vendor_id":"CARD_PROCESSOR","tax_code":"AT_OSS20","cash_class":"operating","classification":{"recurrence":"recurring","commitment":"committed","behaviour":"variable"},"legs":[{"leg_id":"MAP.R1.ANNUAL.WEB.AT.L01","side":"debit","account_id":"GL.CASH","amount_component":"max_gross_less_fee_loss_zero"},{"leg_id":"MAP.R1.ANNUAL.WEB.AT.L02","side":"debit","account_id":"GL.COGS.PROCESSOR","amount_component":"processor_fee"},{"leg_id":"MAP.R1.ANNUAL.WEB.AT.L03","side":"debit","account_id":"GL.COGS.BILLING","amount_component":"billing_fee"},{"leg_id":"MAP.R1.ANNUAL.WEB.AT.L04","side":"debit","account_id":"GL.COGS.DISPUTE","amount_component":"dispute_loss"},{"leg_id":"MAP.R1.ANNUAL.WEB.AT.L05","side":"debit","account_id":"GL.COGS.FRAUD","amount_component":"fraud_loss"},{"leg_id":"MAP.R1.ANNUAL.WEB.AT.L06","side":"credit","account_id":"GL.CASH","amount_component":"max_fee_loss_less_gross_zero"},{"leg_id":"MAP.R1.ANNUAL.WEB.AT.L07","side":"credit","account_id":"GL.CL.R1","amount_component":"net"},{"leg_id":"MAP.R1.ANNUAL.WEB.AT.L08","side":"credit","account_id":"GL.VAT.OSS","amount_component":"vat"}],"report_allocations":[{"leg_id":"MAP.R1.ANNUAL.WEB.AT.L01","view_id":"statement","report_row_id":"BS.CASH","weight":1},{"leg_id":"MAP.R1.ANNUAL.WEB.AT.L01","view_id":"nature","report_row_id":"cash","weight":1},{"leg_id":"MAP.R1.ANNUAL.WEB.AT.L01","view_id":"function","report_row_id":"balance_sheet","weight":1},{"leg_id":"MAP.R1.ANNUAL.WEB.AT.L01","view_id":"cost_centre","report_row_id":"CORP","weight":1},{"leg_id":"MAP.R1.ANNUAL.WEB.AT.L01","view_id":"vendor","report_row_id":"CARD_PROCESSOR","weight":1},{"leg_id":"MAP.R1.ANNUAL.WEB.AT.L01","view_id":"recurrence","report_row_id":"not_applicable","weight":1},{"leg_id":"MAP.R1.ANNUAL.WEB.AT.L01","view_id":"commitment","report_row_id":"not_applicable","weight":1},{"leg_id":"MAP.R1.ANNUAL.WEB.AT.L01","view_id":"behaviour","report_row_id":"not_applicable","weight":1},{"leg_id":"MAP.R1.ANNUAL.WEB.AT.L02","view_id":"statement","report_row_id":"PNL.COGS","weight":1},{"leg_id":"MAP.R1.ANNUAL.WEB.AT.L02","view_id":"nature","report_row_id":"cost_of_revenue","weight":1},{"leg_id":"MAP.R1.ANNUAL.WEB.AT.L02","view_id":"function","report_row_id":"cost_of_revenue","weight":1},{"leg_id":"MAP.R1.ANNUAL.WEB.AT.L02","view_id":"cost_centre","report_row_id":"CORP","weight":1},{"leg_id":"MAP.R1.ANNUAL.WEB.AT.L02","view_id":"vendor","report_row_id":"CARD_PROCESSOR","weight":1},{"leg_id":"MAP.R1.ANNUAL.WEB.AT.L02","view_id":"recurrence","report_row_id":"recurring","weight":1},{"leg_id":"MAP.R1.ANNUAL.WEB.AT.L02","view_id":"commitment","report_row_id":"committed","weight":1},{"leg_id":"MAP.R1.ANNUAL.WEB.AT.L02","view_id":"behaviour","report_row_id":"variable","weight":1},{"leg_id":"MAP.R1.ANNUAL.WEB.AT.L03","view_id":"statement","report_row_id":"PNL.COGS","weight":1},{"leg_id":"MAP.R1.ANNUAL.WEB.AT.L03","view_id":"nature","report_row_id":"cost_of_revenue","weight":1},{"leg_id":"MAP.R1.ANNUAL.WEB.AT.L03","view_id":"function","report_row_id":"cost_of_revenue","weight":1},{"leg_id":"MAP.R1.ANNUAL.WEB.AT.L03","view_id":"cost_centre","report_row_id":"CORP","weight":1},{"leg_id":"MAP.R1.ANNUAL.WEB.AT.L03","view_id":"vendor","report_row_id":"CARD_PROCESSOR","weight":1},{"leg_id":"MAP.R1.ANNUAL.WEB.AT.L03","view_id":"recurrence","report_row_id":"recurring","weight":1},{"leg_id":"MAP.R1.ANNUAL.WEB.AT.L03","view_id":"commitment","report_row_id":"committed","weight":1},{"leg_id":"MAP.R1.ANNUAL.WEB.AT.L03","view_id":"behaviour","report_row_id":"variable","weight":1},{"leg_id":"MAP.R1.ANNUAL.WEB.AT.L04","view_id":"statement","report_row_id":"PNL.COGS","weight":1},{"leg_id":"MAP.R1.ANNUAL.WEB.AT.L04","view_id":"nature","report_row_id":"cost_of_revenue","weight":1},{"leg_id":"MAP.R1.ANNUAL.WEB.AT.L04","view_id":"function","report_row_id":"cost_of_revenue","weight":1},{"leg_id":"MAP.R1.ANNUAL.WEB.AT.L04","view_id":"cost_centre","report_row_id":"CORP","weight":1},{"leg_id":"MAP.R1.ANNUAL.WEB.AT.L04","view_id":"vendor","report_row_id":"CARD_PROCESSOR","weight":1},{"leg_id":"MAP.R1.ANNUAL.WEB.AT.L04","view_id":"recurrence","report_row_id":"recurring","weight":1},{"leg_id":"MAP.R1.ANNUAL.WEB.AT.L04","view_id":"commitment","report_row_id":"committed","weight":1},{"leg_id":"MAP.R1.ANNUAL.WEB.AT.L04","view_id":"behaviour","report_row_id":"variable","weight":1},{"leg_id":"MAP.R1.ANNUAL.WEB.AT.L05","view_id":"statement","report_row_id":"PNL.COGS","weight":1},{"leg_id":"MAP.R1.ANNUAL.WEB.AT.L05","view_id":"nature","report_row_id":"cost_of_revenue","weight":1},{"leg_id":"MAP.R1.ANNUAL.WEB.AT.L05","view_id":"function","report_row_id":"cost_of_revenue","weight":1},{"leg_id":"MAP.R1.ANNUAL.WEB.AT.L05","view_id":"cost_centre","report_row_id":"CORP","weight":1},{"leg_id":"MAP.R1.ANNUAL.WEB.AT.L05","view_id":"vendor","report_row_id":"CARD_PROCESSOR","weight":1},{"leg_id":"MAP.R1.ANNUAL.WEB.AT.L05","view_id":"recurrence","report_row_id":"recurring","weight":1},{"leg_id":"MAP.R1.ANNUAL.WEB.AT.L05","view_id":"commitment","report_row_id":"committed","weight":1},{"leg_id":"MAP.R1.ANNUAL.WEB.AT.L05","view_id":"behaviour","report_row_id":"variable","weight":1},{"leg_id":"MAP.R1.ANNUAL.WEB.AT.L06","view_id":"statement","report_row_id":"BS.CASH","weight":1},{"leg_id":"MAP.R1.ANNUAL.WEB.AT.L06","view_id":"nature","report_row_id":"cash","weight":1},{"leg_id":"MAP.R1.ANNUAL.WEB.AT.L06","view_id":"function","report_row_id":"balance_sheet","weight":1},{"leg_id":"MAP.R1.ANNUAL.WEB.AT.L06","view_id":"cost_centre","report_row_id":"CORP","weight":1},{"leg_id":"MAP.R1.ANNUAL.WEB.AT.L06","view_id":"vendor","report_row_id":"CARD_PROCESSOR","weight":1},{"leg_id":"MAP.R1.ANNUAL.WEB.AT.L06","view_id":"recurrence","report_row_id":"not_applicable","weight":1},{"leg_id":"MAP.R1.ANNUAL.WEB.AT.L06","view_id":"commitment","report_row_id":"not_applicable","weight":1},{"leg_id":"MAP.R1.ANNUAL.WEB.AT.L06","view_id":"behaviour","report_row_id":"not_applicable","weight":1},{"leg_id":"MAP.R1.ANNUAL.WEB.AT.L07","view_id":"statement","report_row_id":"BS.CL","weight":1},{"leg_id":"MAP.R1.ANNUAL.WEB.AT.L07","view_id":"nature","report_row_id":"cl","weight":1},{"leg_id":"MAP.R1.ANNUAL.WEB.AT.L07","view_id":"function","report_row_id":"balance_sheet","weight":1},{"leg_id":"MAP.R1.ANNUAL.WEB.AT.L07","view_id":"cost_centre","report_row_id":"CORP","weight":1},{"leg_id":"MAP.R1.ANNUAL.WEB.AT.L07","view_id":"vendor","report_row_id":"CARD_PROCESSOR","weight":1},{"leg_id":"MAP.R1.ANNUAL.WEB.AT.L07","view_id":"recurrence","report_row_id":"not_applicable","weight":1},{"leg_id":"MAP.R1.ANNUAL.WEB.AT.L07","view_id":"commitment","report_row_id":"not_applicable","weight":1},{"leg_id":"MAP.R1.ANNUAL.WEB.AT.L07","view_id":"behaviour","report_row_id":"not_applicable","weight":1},{"leg_id":"MAP.R1.ANNUAL.WEB.AT.L08","view_id":"statement","report_row_id":"BS.TAX_LIABILITIES","weight":1},{"leg_id":"MAP.R1.ANNUAL.WEB.AT.L08","view_id":"nature","report_row_id":"tax_liabilities","weight":1},{"leg_id":"MAP.R1.ANNUAL.WEB.AT.L08","view_id":"function","report_row_id":"balance_sheet","weight":1},{"leg_id":"MAP.R1.ANNUAL.WEB.AT.L08","view_id":"cost_centre","report_row_id":"CORP","weight":1},{"leg_id":"MAP.R1.ANNUAL.WEB.AT.L08","view_id":"vendor","report_row_id":"CARD_PROCESSOR","weight":1},{"leg_id":"MAP.R1.ANNUAL.WEB.AT.L08","view_id":"recurrence","report_row_id":"not_applicable","weight":1},{"leg_id":"MAP.R1.ANNUAL.WEB.AT.L08","view_id":"commitment","report_row_id":"not_applicable","weight":1},{"leg_id":"MAP.R1.ANNUAL.WEB.AT.L08","view_id":"behaviour","report_row_id":"not_applicable","weight":1}]},{"mapping_id":"MAP.R2.WEB.DE","source_row_id":"COPY.GROSS","posting_owner":"R2","stream":"R2","cost_centre":"CORP","vendor_id":"CARD_PROCESSOR","tax_code":"DE_OUT19","cash_class":"operating","classification":{"recurrence":"recurring","commitment":"committed","behaviour":"variable"},"legs":[{"leg_id":"MAP.R2.WEB.DE.L01","side":"debit","account_id":"GL.CASH","amount_component":"max_gross_less_fee_loss_zero"},{"leg_id":"MAP.R2.WEB.DE.L02","side":"debit","account_id":"GL.COGS.PROCESSOR","amount_component":"processor_fee"},{"leg_id":"MAP.R2.WEB.DE.L03","side":"debit","account_id":"GL.COGS.BILLING","amount_component":"billing_fee"},{"leg_id":"MAP.R2.WEB.DE.L04","side":"debit","account_id":"GL.COGS.DISPUTE","amount_component":"dispute_loss"},{"leg_id":"MAP.R2.WEB.DE.L05","side":"debit","account_id":"GL.COGS.FRAUD","amount_component":"fraud_loss"},{"leg_id":"MAP.R2.WEB.DE.L06","side":"credit","account_id":"GL.CASH","amount_component":"max_fee_loss_less_gross_zero"},{"leg_id":"MAP.R2.WEB.DE.L07","side":"credit","account_id":"GL.REV.R2","amount_component":"net"},{"leg_id":"MAP.R2.WEB.DE.L08","side":"credit","account_id":"GL.VAT.DOM_LIAB","amount_component":"vat"}],"report_allocations":[{"leg_id":"MAP.R2.WEB.DE.L01","view_id":"statement","report_row_id":"BS.CASH","weight":1},{"leg_id":"MAP.R2.WEB.DE.L01","view_id":"nature","report_row_id":"cash","weight":1},{"leg_id":"MAP.R2.WEB.DE.L01","view_id":"function","report_row_id":"balance_sheet","weight":1},{"leg_id":"MAP.R2.WEB.DE.L01","view_id":"cost_centre","report_row_id":"CORP","weight":1},{"leg_id":"MAP.R2.WEB.DE.L01","view_id":"vendor","report_row_id":"CARD_PROCESSOR","weight":1},{"leg_id":"MAP.R2.WEB.DE.L01","view_id":"recurrence","report_row_id":"not_applicable","weight":1},{"leg_id":"MAP.R2.WEB.DE.L01","view_id":"commitment","report_row_id":"not_applicable","weight":1},{"leg_id":"MAP.R2.WEB.DE.L01","view_id":"behaviour","report_row_id":"not_applicable","weight":1},{"leg_id":"MAP.R2.WEB.DE.L02","view_id":"statement","report_row_id":"PNL.COGS","weight":1},{"leg_id":"MAP.R2.WEB.DE.L02","view_id":"nature","report_row_id":"cost_of_revenue","weight":1},{"leg_id":"MAP.R2.WEB.DE.L02","view_id":"function","report_row_id":"cost_of_revenue","weight":1},{"leg_id":"MAP.R2.WEB.DE.L02","view_id":"cost_centre","report_row_id":"CORP","weight":1},{"leg_id":"MAP.R2.WEB.DE.L02","view_id":"vendor","report_row_id":"CARD_PROCESSOR","weight":1},{"leg_id":"MAP.R2.WEB.DE.L02","view_id":"recurrence","report_row_id":"recurring","weight":1},{"leg_id":"MAP.R2.WEB.DE.L02","view_id":"commitment","report_row_id":"committed","weight":1},{"leg_id":"MAP.R2.WEB.DE.L02","view_id":"behaviour","report_row_id":"variable","weight":1},{"leg_id":"MAP.R2.WEB.DE.L03","view_id":"statement","report_row_id":"PNL.COGS","weight":1},{"leg_id":"MAP.R2.WEB.DE.L03","view_id":"nature","report_row_id":"cost_of_revenue","weight":1},{"leg_id":"MAP.R2.WEB.DE.L03","view_id":"function","report_row_id":"cost_of_revenue","weight":1},{"leg_id":"MAP.R2.WEB.DE.L03","view_id":"cost_centre","report_row_id":"CORP","weight":1},{"leg_id":"MAP.R2.WEB.DE.L03","view_id":"vendor","report_row_id":"CARD_PROCESSOR","weight":1},{"leg_id":"MAP.R2.WEB.DE.L03","view_id":"recurrence","report_row_id":"recurring","weight":1},{"leg_id":"MAP.R2.WEB.DE.L03","view_id":"commitment","report_row_id":"committed","weight":1},{"leg_id":"MAP.R2.WEB.DE.L03","view_id":"behaviour","report_row_id":"variable","weight":1},{"leg_id":"MAP.R2.WEB.DE.L04","view_id":"statement","report_row_id":"PNL.COGS","weight":1},{"leg_id":"MAP.R2.WEB.DE.L04","view_id":"nature","report_row_id":"cost_of_revenue","weight":1},{"leg_id":"MAP.R2.WEB.DE.L04","view_id":"function","report_row_id":"cost_of_revenue","weight":1},{"leg_id":"MAP.R2.WEB.DE.L04","view_id":"cost_centre","report_row_id":"CORP","weight":1},{"leg_id":"MAP.R2.WEB.DE.L04","view_id":"vendor","report_row_id":"CARD_PROCESSOR","weight":1},{"leg_id":"MAP.R2.WEB.DE.L04","view_id":"recurrence","report_row_id":"recurring","weight":1},{"leg_id":"MAP.R2.WEB.DE.L04","view_id":"commitment","report_row_id":"committed","weight":1},{"leg_id":"MAP.R2.WEB.DE.L04","view_id":"behaviour","report_row_id":"variable","weight":1},{"leg_id":"MAP.R2.WEB.DE.L05","view_id":"statement","report_row_id":"PNL.COGS","weight":1},{"leg_id":"MAP.R2.WEB.DE.L05","view_id":"nature","report_row_id":"cost_of_revenue","weight":1},{"leg_id":"MAP.R2.WEB.DE.L05","view_id":"function","report_row_id":"cost_of_revenue","weight":1},{"leg_id":"MAP.R2.WEB.DE.L05","view_id":"cost_centre","report_row_id":"CORP","weight":1},{"leg_id":"MAP.R2.WEB.DE.L05","view_id":"vendor","report_row_id":"CARD_PROCESSOR","weight":1},{"leg_id":"MAP.R2.WEB.DE.L05","view_id":"recurrence","report_row_id":"recurring","weight":1},{"leg_id":"MAP.R2.WEB.DE.L05","view_id":"commitment","report_row_id":"committed","weight":1},{"leg_id":"MAP.R2.WEB.DE.L05","view_id":"behaviour","report_row_id":"variable","weight":1},{"leg_id":"MAP.R2.WEB.DE.L06","view_id":"statement","report_row_id":"BS.CASH","weight":1},{"leg_id":"MAP.R2.WEB.DE.L06","view_id":"nature","report_row_id":"cash","weight":1},{"leg_id":"MAP.R2.WEB.DE.L06","view_id":"function","report_row_id":"balance_sheet","weight":1},{"leg_id":"MAP.R2.WEB.DE.L06","view_id":"cost_centre","report_row_id":"CORP","weight":1},{"leg_id":"MAP.R2.WEB.DE.L06","view_id":"vendor","report_row_id":"CARD_PROCESSOR","weight":1},{"leg_id":"MAP.R2.WEB.DE.L06","view_id":"recurrence","report_row_id":"not_applicable","weight":1},{"leg_id":"MAP.R2.WEB.DE.L06","view_id":"commitment","report_row_id":"not_applicable","weight":1},{"leg_id":"MAP.R2.WEB.DE.L06","view_id":"behaviour","report_row_id":"not_applicable","weight":1},{"leg_id":"MAP.R2.WEB.DE.L07","view_id":"statement","report_row_id":"PNL.REVENUE","weight":1},{"leg_id":"MAP.R2.WEB.DE.L07","view_id":"nature","report_row_id":"revenue","weight":1},{"leg_id":"MAP.R2.WEB.DE.L07","view_id":"function","report_row_id":"revenue","weight":1},{"leg_id":"MAP.R2.WEB.DE.L07","view_id":"cost_centre","report_row_id":"CORP","weight":1},{"leg_id":"MAP.R2.WEB.DE.L07","view_id":"vendor","report_row_id":"CARD_PROCESSOR","weight":1},{"leg_id":"MAP.R2.WEB.DE.L07","view_id":"recurrence","report_row_id":"recurring","weight":1},{"leg_id":"MAP.R2.WEB.DE.L07","view_id":"commitment","report_row_id":"committed","weight":1},{"leg_id":"MAP.R2.WEB.DE.L07","view_id":"behaviour","report_row_id":"fixed","weight":1},{"leg_id":"MAP.R2.WEB.DE.L08","view_id":"statement","report_row_id":"BS.TAX_LIABILITIES","weight":1},{"leg_id":"MAP.R2.WEB.DE.L08","view_id":"nature","report_row_id":"tax_liabilities","weight":1},{"leg_id":"MAP.R2.WEB.DE.L08","view_id":"function","report_row_id":"balance_sheet","weight":1},{"leg_id":"MAP.R2.WEB.DE.L08","view_id":"cost_centre","report_row_id":"CORP","weight":1},{"leg_id":"MAP.R2.WEB.DE.L08","view_id":"vendor","report_row_id":"CARD_PROCESSOR","weight":1},{"leg_id":"MAP.R2.WEB.DE.L08","view_id":"recurrence","report_row_id":"not_applicable","weight":1},{"leg_id":"MAP.R2.WEB.DE.L08","view_id":"commitment","report_row_id":"not_applicable","weight":1},{"leg_id":"MAP.R2.WEB.DE.L08","view_id":"behaviour","report_row_id":"not_applicable","weight":1}]},{"mapping_id":"MAP.R2.WEB.AT","source_row_id":"COPY.GROSS","posting_owner":"R2","stream":"R2","cost_centre":"CORP","vendor_id":"CARD_PROCESSOR","tax_code":"AT_OSS20","cash_class":"operating","classification":{"recurrence":"recurring","commitment":"committed","behaviour":"variable"},"legs":[{"leg_id":"MAP.R2.WEB.AT.L01","side":"debit","account_id":"GL.CASH","amount_component":"max_gross_less_fee_loss_zero"},{"leg_id":"MAP.R2.WEB.AT.L02","side":"debit","account_id":"GL.COGS.PROCESSOR","amount_component":"processor_fee"},{"leg_id":"MAP.R2.WEB.AT.L03","side":"debit","account_id":"GL.COGS.BILLING","amount_component":"billing_fee"},{"leg_id":"MAP.R2.WEB.AT.L04","side":"debit","account_id":"GL.COGS.DISPUTE","amount_component":"dispute_loss"},{"leg_id":"MAP.R2.WEB.AT.L05","side":"debit","account_id":"GL.COGS.FRAUD","amount_component":"fraud_loss"},{"leg_id":"MAP.R2.WEB.AT.L06","side":"credit","account_id":"GL.CASH","amount_component":"max_fee_loss_less_gross_zero"},{"leg_id":"MAP.R2.WEB.AT.L07","side":"credit","account_id":"GL.REV.R2","amount_component":"net"},{"leg_id":"MAP.R2.WEB.AT.L08","side":"credit","account_id":"GL.VAT.OSS","amount_component":"vat"}],"report_allocations":[{"leg_id":"MAP.R2.WEB.AT.L01","view_id":"statement","report_row_id":"BS.CASH","weight":1},{"leg_id":"MAP.R2.WEB.AT.L01","view_id":"nature","report_row_id":"cash","weight":1},{"leg_id":"MAP.R2.WEB.AT.L01","view_id":"function","report_row_id":"balance_sheet","weight":1},{"leg_id":"MAP.R2.WEB.AT.L01","view_id":"cost_centre","report_row_id":"CORP","weight":1},{"leg_id":"MAP.R2.WEB.AT.L01","view_id":"vendor","report_row_id":"CARD_PROCESSOR","weight":1},{"leg_id":"MAP.R2.WEB.AT.L01","view_id":"recurrence","report_row_id":"not_applicable","weight":1},{"leg_id":"MAP.R2.WEB.AT.L01","view_id":"commitment","report_row_id":"not_applicable","weight":1},{"leg_id":"MAP.R2.WEB.AT.L01","view_id":"behaviour","report_row_id":"not_applicable","weight":1},{"leg_id":"MAP.R2.WEB.AT.L02","view_id":"statement","report_row_id":"PNL.COGS","weight":1},{"leg_id":"MAP.R2.WEB.AT.L02","view_id":"nature","report_row_id":"cost_of_revenue","weight":1},{"leg_id":"MAP.R2.WEB.AT.L02","view_id":"function","report_row_id":"cost_of_revenue","weight":1},{"leg_id":"MAP.R2.WEB.AT.L02","view_id":"cost_centre","report_row_id":"CORP","weight":1},{"leg_id":"MAP.R2.WEB.AT.L02","view_id":"vendor","report_row_id":"CARD_PROCESSOR","weight":1},{"leg_id":"MAP.R2.WEB.AT.L02","view_id":"recurrence","report_row_id":"recurring","weight":1},{"leg_id":"MAP.R2.WEB.AT.L02","view_id":"commitment","report_row_id":"committed","weight":1},{"leg_id":"MAP.R2.WEB.AT.L02","view_id":"behaviour","report_row_id":"variable","weight":1},{"leg_id":"MAP.R2.WEB.AT.L03","view_id":"statement","report_row_id":"PNL.COGS","weight":1},{"leg_id":"MAP.R2.WEB.AT.L03","view_id":"nature","report_row_id":"cost_of_revenue","weight":1},{"leg_id":"MAP.R2.WEB.AT.L03","view_id":"function","report_row_id":"cost_of_revenue","weight":1},{"leg_id":"MAP.R2.WEB.AT.L03","view_id":"cost_centre","report_row_id":"CORP","weight":1},{"leg_id":"MAP.R2.WEB.AT.L03","view_id":"vendor","report_row_id":"CARD_PROCESSOR","weight":1},{"leg_id":"MAP.R2.WEB.AT.L03","view_id":"recurrence","report_row_id":"recurring","weight":1},{"leg_id":"MAP.R2.WEB.AT.L03","view_id":"commitment","report_row_id":"committed","weight":1},{"leg_id":"MAP.R2.WEB.AT.L03","view_id":"behaviour","report_row_id":"variable","weight":1},{"leg_id":"MAP.R2.WEB.AT.L04","view_id":"statement","report_row_id":"PNL.COGS","weight":1},{"leg_id":"MAP.R2.WEB.AT.L04","view_id":"nature","report_row_id":"cost_of_revenue","weight":1},{"leg_id":"MAP.R2.WEB.AT.L04","view_id":"function","report_row_id":"cost_of_revenue","weight":1},{"leg_id":"MAP.R2.WEB.AT.L04","view_id":"cost_centre","report_row_id":"CORP","weight":1},{"leg_id":"MAP.R2.WEB.AT.L04","view_id":"vendor","report_row_id":"CARD_PROCESSOR","weight":1},{"leg_id":"MAP.R2.WEB.AT.L04","view_id":"recurrence","report_row_id":"recurring","weight":1},{"leg_id":"MAP.R2.WEB.AT.L04","view_id":"commitment","report_row_id":"committed","weight":1},{"leg_id":"MAP.R2.WEB.AT.L04","view_id":"behaviour","report_row_id":"variable","weight":1},{"leg_id":"MAP.R2.WEB.AT.L05","view_id":"statement","report_row_id":"PNL.COGS","weight":1},{"leg_id":"MAP.R2.WEB.AT.L05","view_id":"nature","report_row_id":"cost_of_revenue","weight":1},{"leg_id":"MAP.R2.WEB.AT.L05","view_id":"function","report_row_id":"cost_of_revenue","weight":1},{"leg_id":"MAP.R2.WEB.AT.L05","view_id":"cost_centre","report_row_id":"CORP","weight":1},{"leg_id":"MAP.R2.WEB.AT.L05","view_id":"vendor","report_row_id":"CARD_PROCESSOR","weight":1},{"leg_id":"MAP.R2.WEB.AT.L05","view_id":"recurrence","report_row_id":"recurring","weight":1},{"leg_id":"MAP.R2.WEB.AT.L05","view_id":"commitment","report_row_id":"committed","weight":1},{"leg_id":"MAP.R2.WEB.AT.L05","view_id":"behaviour","report_row_id":"variable","weight":1},{"leg_id":"MAP.R2.WEB.AT.L06","view_id":"statement","report_row_id":"BS.CASH","weight":1},{"leg_id":"MAP.R2.WEB.AT.L06","view_id":"nature","report_row_id":"cash","weight":1},{"leg_id":"MAP.R2.WEB.AT.L06","view_id":"function","report_row_id":"balance_sheet","weight":1},{"leg_id":"MAP.R2.WEB.AT.L06","view_id":"cost_centre","report_row_id":"CORP","weight":1},{"leg_id":"MAP.R2.WEB.AT.L06","view_id":"vendor","report_row_id":"CARD_PROCESSOR","weight":1},{"leg_id":"MAP.R2.WEB.AT.L06","view_id":"recurrence","report_row_id":"not_applicable","weight":1},{"leg_id":"MAP.R2.WEB.AT.L06","view_id":"commitment","report_row_id":"not_applicable","weight":1},{"leg_id":"MAP.R2.WEB.AT.L06","view_id":"behaviour","report_row_id":"not_applicable","weight":1},{"leg_id":"MAP.R2.WEB.AT.L07","view_id":"statement","report_row_id":"PNL.REVENUE","weight":1},{"leg_id":"MAP.R2.WEB.AT.L07","view_id":"nature","report_row_id":"revenue","weight":1},{"leg_id":"MAP.R2.WEB.AT.L07","view_id":"function","report_row_id":"revenue","weight":1},{"leg_id":"MAP.R2.WEB.AT.L07","view_id":"cost_centre","report_row_id":"CORP","weight":1},{"leg_id":"MAP.R2.WEB.AT.L07","view_id":"vendor","report_row_id":"CARD_PROCESSOR","weight":1},{"leg_id":"MAP.R2.WEB.AT.L07","view_id":"recurrence","report_row_id":"recurring","weight":1},{"leg_id":"MAP.R2.WEB.AT.L07","view_id":"commitment","report_row_id":"committed","weight":1},{"leg_id":"MAP.R2.WEB.AT.L07","view_id":"behaviour","report_row_id":"fixed","weight":1},{"leg_id":"MAP.R2.WEB.AT.L08","view_id":"statement","report_row_id":"BS.TAX_LIABILITIES","weight":1},{"leg_id":"MAP.R2.WEB.AT.L08","view_id":"nature","report_row_id":"tax_liabilities","weight":1},{"leg_id":"MAP.R2.WEB.AT.L08","view_id":"function","report_row_id":"balance_sheet","weight":1},{"leg_id":"MAP.R2.WEB.AT.L08","view_id":"cost_centre","report_row_id":"CORP","weight":1},{"leg_id":"MAP.R2.WEB.AT.L08","view_id":"vendor","report_row_id":"CARD_PROCESSOR","weight":1},{"leg_id":"MAP.R2.WEB.AT.L08","view_id":"recurrence","report_row_id":"not_applicable","weight":1},{"leg_id":"MAP.R2.WEB.AT.L08","view_id":"commitment","report_row_id":"not_applicable","weight":1},{"leg_id":"MAP.R2.WEB.AT.L08","view_id":"behaviour","report_row_id":"not_applicable","weight":1}]},{"mapping_id":"MAP.R1.STORE.MONTHLY.APPLE","source_row_id":"SUB.NET_BILLING","posting_owner":"R1","stream":"R1","cost_centre":"CORP","vendor_id":"STORE_APPLE","tax_code":"STORE_DEEMED","cash_class":"operating","classification":{"recurrence":"recurring","commitment":"committed","behaviour":"variable"},"legs":[{"leg_id":"MAP.R1.STORE.MONTHLY.APPLE.L01","side":"debit","account_id":"GL.AR.STORE","amount_component":"net_less_store_fee"},{"leg_id":"MAP.R1.STORE.MONTHLY.APPLE.L02","side":"debit","account_id":"GL.COGS.STORE","amount_component":"store_fee"},{"leg_id":"MAP.R1.STORE.MONTHLY.APPLE.L03","side":"credit","account_id":"GL.REV.R1","amount_component":"net"}],"report_allocations":[{"leg_id":"MAP.R1.STORE.MONTHLY.APPLE.L01","view_id":"statement","report_row_id":"BS.AR","weight":1},{"leg_id":"MAP.R1.STORE.MONTHLY.APPLE.L01","view_id":"nature","report_row_id":"ar","weight":1},{"leg_id":"MAP.R1.STORE.MONTHLY.APPLE.L01","view_id":"function","report_row_id":"balance_sheet","weight":1},{"leg_id":"MAP.R1.STORE.MONTHLY.APPLE.L01","view_id":"cost_centre","report_row_id":"CORP","weight":1},{"leg_id":"MAP.R1.STORE.MONTHLY.APPLE.L01","view_id":"vendor","report_row_id":"STORE_APPLE","weight":1},{"leg_id":"MAP.R1.STORE.MONTHLY.APPLE.L01","view_id":"recurrence","report_row_id":"not_applicable","weight":1},{"leg_id":"MAP.R1.STORE.MONTHLY.APPLE.L01","view_id":"commitment","report_row_id":"not_applicable","weight":1},{"leg_id":"MAP.R1.STORE.MONTHLY.APPLE.L01","view_id":"behaviour","report_row_id":"not_applicable","weight":1},{"leg_id":"MAP.R1.STORE.MONTHLY.APPLE.L02","view_id":"statement","report_row_id":"PNL.COGS","weight":1},{"leg_id":"MAP.R1.STORE.MONTHLY.APPLE.L02","view_id":"nature","report_row_id":"cost_of_revenue","weight":1},{"leg_id":"MAP.R1.STORE.MONTHLY.APPLE.L02","view_id":"function","report_row_id":"cost_of_revenue","weight":1},{"leg_id":"MAP.R1.STORE.MONTHLY.APPLE.L02","view_id":"cost_centre","report_row_id":"CORP","weight":1},{"leg_id":"MAP.R1.STORE.MONTHLY.APPLE.L02","view_id":"vendor","report_row_id":"STORE_APPLE","weight":1},{"leg_id":"MAP.R1.STORE.MONTHLY.APPLE.L02","view_id":"recurrence","report_row_id":"recurring","weight":1},{"leg_id":"MAP.R1.STORE.MONTHLY.APPLE.L02","view_id":"commitment","report_row_id":"committed","weight":1},{"leg_id":"MAP.R1.STORE.MONTHLY.APPLE.L02","view_id":"behaviour","report_row_id":"variable","weight":1},{"leg_id":"MAP.R1.STORE.MONTHLY.APPLE.L03","view_id":"statement","report_row_id":"PNL.REVENUE","weight":1},{"leg_id":"MAP.R1.STORE.MONTHLY.APPLE.L03","view_id":"nature","report_row_id":"revenue","weight":1},{"leg_id":"MAP.R1.STORE.MONTHLY.APPLE.L03","view_id":"function","report_row_id":"revenue","weight":1},{"leg_id":"MAP.R1.STORE.MONTHLY.APPLE.L03","view_id":"cost_centre","report_row_id":"CORP","weight":1},{"leg_id":"MAP.R1.STORE.MONTHLY.APPLE.L03","view_id":"vendor","report_row_id":"STORE_APPLE","weight":1},{"leg_id":"MAP.R1.STORE.MONTHLY.APPLE.L03","view_id":"recurrence","report_row_id":"recurring","weight":1},{"leg_id":"MAP.R1.STORE.MONTHLY.APPLE.L03","view_id":"commitment","report_row_id":"committed","weight":1},{"leg_id":"MAP.R1.STORE.MONTHLY.APPLE.L03","view_id":"behaviour","report_row_id":"fixed","weight":1}]},{"mapping_id":"MAP.R1.STORE.MONTHLY.GOOGLE","source_row_id":"SUB.NET_BILLING","posting_owner":"R1","stream":"R1","cost_centre":"CORP","vendor_id":"STORE_GOOGLE","tax_code":"STORE_DEEMED","cash_class":"operating","classification":{"recurrence":"recurring","commitment":"committed","behaviour":"variable"},"legs":[{"leg_id":"MAP.R1.STORE.MONTHLY.GOOGLE.L01","side":"debit","account_id":"GL.AR.STORE","amount_component":"net_less_store_fee"},{"leg_id":"MAP.R1.STORE.MONTHLY.GOOGLE.L02","side":"debit","account_id":"GL.COGS.STORE","amount_component":"store_fee"},{"leg_id":"MAP.R1.STORE.MONTHLY.GOOGLE.L03","side":"credit","account_id":"GL.REV.R1","amount_component":"net"}],"report_allocations":[{"leg_id":"MAP.R1.STORE.MONTHLY.GOOGLE.L01","view_id":"statement","report_row_id":"BS.AR","weight":1},{"leg_id":"MAP.R1.STORE.MONTHLY.GOOGLE.L01","view_id":"nature","report_row_id":"ar","weight":1},{"leg_id":"MAP.R1.STORE.MONTHLY.GOOGLE.L01","view_id":"function","report_row_id":"balance_sheet","weight":1},{"leg_id":"MAP.R1.STORE.MONTHLY.GOOGLE.L01","view_id":"cost_centre","report_row_id":"CORP","weight":1},{"leg_id":"MAP.R1.STORE.MONTHLY.GOOGLE.L01","view_id":"vendor","report_row_id":"STORE_GOOGLE","weight":1},{"leg_id":"MAP.R1.STORE.MONTHLY.GOOGLE.L01","view_id":"recurrence","report_row_id":"not_applicable","weight":1},{"leg_id":"MAP.R1.STORE.MONTHLY.GOOGLE.L01","view_id":"commitment","report_row_id":"not_applicable","weight":1},{"leg_id":"MAP.R1.STORE.MONTHLY.GOOGLE.L01","view_id":"behaviour","report_row_id":"not_applicable","weight":1},{"leg_id":"MAP.R1.STORE.MONTHLY.GOOGLE.L02","view_id":"statement","report_row_id":"PNL.COGS","weight":1},{"leg_id":"MAP.R1.STORE.MONTHLY.GOOGLE.L02","view_id":"nature","report_row_id":"cost_of_revenue","weight":1},{"leg_id":"MAP.R1.STORE.MONTHLY.GOOGLE.L02","view_id":"function","report_row_id":"cost_of_revenue","weight":1},{"leg_id":"MAP.R1.STORE.MONTHLY.GOOGLE.L02","view_id":"cost_centre","report_row_id":"CORP","weight":1},{"leg_id":"MAP.R1.STORE.MONTHLY.GOOGLE.L02","view_id":"vendor","report_row_id":"STORE_GOOGLE","weight":1},{"leg_id":"MAP.R1.STORE.MONTHLY.GOOGLE.L02","view_id":"recurrence","report_row_id":"recurring","weight":1},{"leg_id":"MAP.R1.STORE.MONTHLY.GOOGLE.L02","view_id":"commitment","report_row_id":"committed","weight":1},{"leg_id":"MAP.R1.STORE.MONTHLY.GOOGLE.L02","view_id":"behaviour","report_row_id":"variable","weight":1},{"leg_id":"MAP.R1.STORE.MONTHLY.GOOGLE.L03","view_id":"statement","report_row_id":"PNL.REVENUE","weight":1},{"leg_id":"MAP.R1.STORE.MONTHLY.GOOGLE.L03","view_id":"nature","report_row_id":"revenue","weight":1},{"leg_id":"MAP.R1.STORE.MONTHLY.GOOGLE.L03","view_id":"function","report_row_id":"revenue","weight":1},{"leg_id":"MAP.R1.STORE.MONTHLY.GOOGLE.L03","view_id":"cost_centre","report_row_id":"CORP","weight":1},{"leg_id":"MAP.R1.STORE.MONTHLY.GOOGLE.L03","view_id":"vendor","report_row_id":"STORE_GOOGLE","weight":1},{"leg_id":"MAP.R1.STORE.MONTHLY.GOOGLE.L03","view_id":"recurrence","report_row_id":"recurring","weight":1},{"leg_id":"MAP.R1.STORE.MONTHLY.GOOGLE.L03","view_id":"commitment","report_row_id":"committed","weight":1},{"leg_id":"MAP.R1.STORE.MONTHLY.GOOGLE.L03","view_id":"behaviour","report_row_id":"fixed","weight":1}]},{"mapping_id":"MAP.R1.STORE.ANNUAL.APPLE","source_row_id":"SUB.NET_BILLING","posting_owner":"R1","stream":"R1","cost_centre":"CORP","vendor_id":"STORE_APPLE","tax_code":"STORE_DEEMED","cash_class":"operating","classification":{"recurrence":"recurring","commitment":"committed","behaviour":"variable"},"legs":[{"leg_id":"MAP.R1.STORE.ANNUAL.APPLE.L01","side":"debit","account_id":"GL.AR.STORE","amount_component":"net_less_store_fee"},{"leg_id":"MAP.R1.STORE.ANNUAL.APPLE.L02","side":"debit","account_id":"GL.COGS.STORE","amount_component":"store_fee"},{"leg_id":"MAP.R1.STORE.ANNUAL.APPLE.L03","side":"credit","account_id":"GL.CL.R1","amount_component":"net"}],"report_allocations":[{"leg_id":"MAP.R1.STORE.ANNUAL.APPLE.L01","view_id":"statement","report_row_id":"BS.AR","weight":1},{"leg_id":"MAP.R1.STORE.ANNUAL.APPLE.L01","view_id":"nature","report_row_id":"ar","weight":1},{"leg_id":"MAP.R1.STORE.ANNUAL.APPLE.L01","view_id":"function","report_row_id":"balance_sheet","weight":1},{"leg_id":"MAP.R1.STORE.ANNUAL.APPLE.L01","view_id":"cost_centre","report_row_id":"CORP","weight":1},{"leg_id":"MAP.R1.STORE.ANNUAL.APPLE.L01","view_id":"vendor","report_row_id":"STORE_APPLE","weight":1},{"leg_id":"MAP.R1.STORE.ANNUAL.APPLE.L01","view_id":"recurrence","report_row_id":"not_applicable","weight":1},{"leg_id":"MAP.R1.STORE.ANNUAL.APPLE.L01","view_id":"commitment","report_row_id":"not_applicable","weight":1},{"leg_id":"MAP.R1.STORE.ANNUAL.APPLE.L01","view_id":"behaviour","report_row_id":"not_applicable","weight":1},{"leg_id":"MAP.R1.STORE.ANNUAL.APPLE.L02","view_id":"statement","report_row_id":"PNL.COGS","weight":1},{"leg_id":"MAP.R1.STORE.ANNUAL.APPLE.L02","view_id":"nature","report_row_id":"cost_of_revenue","weight":1},{"leg_id":"MAP.R1.STORE.ANNUAL.APPLE.L02","view_id":"function","report_row_id":"cost_of_revenue","weight":1},{"leg_id":"MAP.R1.STORE.ANNUAL.APPLE.L02","view_id":"cost_centre","report_row_id":"CORP","weight":1},{"leg_id":"MAP.R1.STORE.ANNUAL.APPLE.L02","view_id":"vendor","report_row_id":"STORE_APPLE","weight":1},{"leg_id":"MAP.R1.STORE.ANNUAL.APPLE.L02","view_id":"recurrence","report_row_id":"recurring","weight":1},{"leg_id":"MAP.R1.STORE.ANNUAL.APPLE.L02","view_id":"commitment","report_row_id":"committed","weight":1},{"leg_id":"MAP.R1.STORE.ANNUAL.APPLE.L02","view_id":"behaviour","report_row_id":"variable","weight":1},{"leg_id":"MAP.R1.STORE.ANNUAL.APPLE.L03","view_id":"statement","report_row_id":"BS.CL","weight":1},{"leg_id":"MAP.R1.STORE.ANNUAL.APPLE.L03","view_id":"nature","report_row_id":"cl","weight":1},{"leg_id":"MAP.R1.STORE.ANNUAL.APPLE.L03","view_id":"function","report_row_id":"balance_sheet","weight":1},{"leg_id":"MAP.R1.STORE.ANNUAL.APPLE.L03","view_id":"cost_centre","report_row_id":"CORP","weight":1},{"leg_id":"MAP.R1.STORE.ANNUAL.APPLE.L03","view_id":"vendor","report_row_id":"STORE_APPLE","weight":1},{"leg_id":"MAP.R1.STORE.ANNUAL.APPLE.L03","view_id":"recurrence","report_row_id":"not_applicable","weight":1},{"leg_id":"MAP.R1.STORE.ANNUAL.APPLE.L03","view_id":"commitment","report_row_id":"not_applicable","weight":1},{"leg_id":"MAP.R1.STORE.ANNUAL.APPLE.L03","view_id":"behaviour","report_row_id":"not_applicable","weight":1}]},{"mapping_id":"MAP.R1.STORE.ANNUAL.GOOGLE","source_row_id":"SUB.NET_BILLING","posting_owner":"R1","stream":"R1","cost_centre":"CORP","vendor_id":"STORE_GOOGLE","tax_code":"STORE_DEEMED","cash_class":"operating","classification":{"recurrence":"recurring","commitment":"committed","behaviour":"variable"},"legs":[{"leg_id":"MAP.R1.STORE.ANNUAL.GOOGLE.L01","side":"debit","account_id":"GL.AR.STORE","amount_component":"net_less_store_fee"},{"leg_id":"MAP.R1.STORE.ANNUAL.GOOGLE.L02","side":"debit","account_id":"GL.COGS.STORE","amount_component":"store_fee"},{"leg_id":"MAP.R1.STORE.ANNUAL.GOOGLE.L03","side":"credit","account_id":"GL.CL.R1","amount_component":"net"}],"report_allocations":[{"leg_id":"MAP.R1.STORE.ANNUAL.GOOGLE.L01","view_id":"statement","report_row_id":"BS.AR","weight":1},{"leg_id":"MAP.R1.STORE.ANNUAL.GOOGLE.L01","view_id":"nature","report_row_id":"ar","weight":1},{"leg_id":"MAP.R1.STORE.ANNUAL.GOOGLE.L01","view_id":"function","report_row_id":"balance_sheet","weight":1},{"leg_id":"MAP.R1.STORE.ANNUAL.GOOGLE.L01","view_id":"cost_centre","report_row_id":"CORP","weight":1},{"leg_id":"MAP.R1.STORE.ANNUAL.GOOGLE.L01","view_id":"vendor","report_row_id":"STORE_GOOGLE","weight":1},{"leg_id":"MAP.R1.STORE.ANNUAL.GOOGLE.L01","view_id":"recurrence","report_row_id":"not_applicable","weight":1},{"leg_id":"MAP.R1.STORE.ANNUAL.GOOGLE.L01","view_id":"commitment","report_row_id":"not_applicable","weight":1},{"leg_id":"MAP.R1.STORE.ANNUAL.GOOGLE.L01","view_id":"behaviour","report_row_id":"not_applicable","weight":1},{"leg_id":"MAP.R1.STORE.ANNUAL.GOOGLE.L02","view_id":"statement","report_row_id":"PNL.COGS","weight":1},{"leg_id":"MAP.R1.STORE.ANNUAL.GOOGLE.L02","view_id":"nature","report_row_id":"cost_of_revenue","weight":1},{"leg_id":"MAP.R1.STORE.ANNUAL.GOOGLE.L02","view_id":"function","report_row_id":"cost_of_revenue","weight":1},{"leg_id":"MAP.R1.STORE.ANNUAL.GOOGLE.L02","view_id":"cost_centre","report_row_id":"CORP","weight":1},{"leg_id":"MAP.R1.STORE.ANNUAL.GOOGLE.L02","view_id":"vendor","report_row_id":"STORE_GOOGLE","weight":1},{"leg_id":"MAP.R1.STORE.ANNUAL.GOOGLE.L02","view_id":"recurrence","report_row_id":"recurring","weight":1},{"leg_id":"MAP.R1.STORE.ANNUAL.GOOGLE.L02","view_id":"commitment","report_row_id":"committed","weight":1},{"leg_id":"MAP.R1.STORE.ANNUAL.GOOGLE.L02","view_id":"behaviour","report_row_id":"variable","weight":1},{"leg_id":"MAP.R1.STORE.ANNUAL.GOOGLE.L03","view_id":"statement","report_row_id":"BS.CL","weight":1},{"leg_id":"MAP.R1.STORE.ANNUAL.GOOGLE.L03","view_id":"nature","report_row_id":"cl","weight":1},{"leg_id":"MAP.R1.STORE.ANNUAL.GOOGLE.L03","view_id":"function","report_row_id":"balance_sheet","weight":1},{"leg_id":"MAP.R1.STORE.ANNUAL.GOOGLE.L03","view_id":"cost_centre","report_row_id":"CORP","weight":1},{"leg_id":"MAP.R1.STORE.ANNUAL.GOOGLE.L03","view_id":"vendor","report_row_id":"STORE_GOOGLE","weight":1},{"leg_id":"MAP.R1.STORE.ANNUAL.GOOGLE.L03","view_id":"recurrence","report_row_id":"not_applicable","weight":1},{"leg_id":"MAP.R1.STORE.ANNUAL.GOOGLE.L03","view_id":"commitment","report_row_id":"not_applicable","weight":1},{"leg_id":"MAP.R1.STORE.ANNUAL.GOOGLE.L03","view_id":"behaviour","report_row_id":"not_applicable","weight":1}]},{"mapping_id":"MAP.R1.RELEASE","source_row_id":"SUB.Y.REVENUE","posting_owner":"R1","stream":"R1","cost_centre":"CORP","vendor_id":"UNKNOWN_FORECAST","tax_code":"NONE","cash_class":"noncash","classification":{"recurrence":"not_applicable","commitment":"not_applicable","behaviour":"not_applicable"},"legs":[{"leg_id":"MAP.R1.RELEASE.L01","side":"debit","account_id":"GL.CL.R1","amount_component":"service_release"},{"leg_id":"MAP.R1.RELEASE.L02","side":"credit","account_id":"GL.REV.R1","amount_component":"service_release"}],"report_allocations":[{"leg_id":"MAP.R1.RELEASE.L01","view_id":"statement","report_row_id":"BS.CL","weight":1},{"leg_id":"MAP.R1.RELEASE.L01","view_id":"nature","report_row_id":"cl","weight":1},{"leg_id":"MAP.R1.RELEASE.L01","view_id":"function","report_row_id":"balance_sheet","weight":1},{"leg_id":"MAP.R1.RELEASE.L01","view_id":"cost_centre","report_row_id":"CORP","weight":1},{"leg_id":"MAP.R1.RELEASE.L01","view_id":"vendor","report_row_id":"UNKNOWN_FORECAST","weight":1},{"leg_id":"MAP.R1.RELEASE.L01","view_id":"recurrence","report_row_id":"not_applicable","weight":1},{"leg_id":"MAP.R1.RELEASE.L01","view_id":"commitment","report_row_id":"not_applicable","weight":1},{"leg_id":"MAP.R1.RELEASE.L01","view_id":"behaviour","report_row_id":"not_applicable","weight":1},{"leg_id":"MAP.R1.RELEASE.L02","view_id":"statement","report_row_id":"PNL.REVENUE","weight":1},{"leg_id":"MAP.R1.RELEASE.L02","view_id":"nature","report_row_id":"revenue","weight":1},{"leg_id":"MAP.R1.RELEASE.L02","view_id":"function","report_row_id":"revenue","weight":1},{"leg_id":"MAP.R1.RELEASE.L02","view_id":"cost_centre","report_row_id":"CORP","weight":1},{"leg_id":"MAP.R1.RELEASE.L02","view_id":"vendor","report_row_id":"UNKNOWN_FORECAST","weight":1},{"leg_id":"MAP.R1.RELEASE.L02","view_id":"recurrence","report_row_id":"recurring","weight":1},{"leg_id":"MAP.R1.RELEASE.L02","view_id":"commitment","report_row_id":"committed","weight":1},{"leg_id":"MAP.R1.RELEASE.L02","view_id":"behaviour","report_row_id":"fixed","weight":1}]},{"mapping_id":"MAP.R7.RELEASE","source_row_id":"B2B.ONBOARD_REV","posting_owner":"R7","stream":"R7","cost_centre":"CORP","vendor_id":"UNKNOWN_FORECAST","tax_code":"NONE","cash_class":"noncash","classification":{"recurrence":"not_applicable","commitment":"not_applicable","behaviour":"not_applicable"},"legs":[{"leg_id":"MAP.R7.RELEASE.L01","side":"debit","account_id":"GL.CL.R7","amount_component":"service_release"},{"leg_id":"MAP.R7.RELEASE.L02","side":"credit","account_id":"GL.REV.R7_ONBOARD","amount_component":"service_release"}],"report_allocations":[{"leg_id":"MAP.R7.RELEASE.L01","view_id":"statement","report_row_id":"BS.CL","weight":1},{"leg_id":"MAP.R7.RELEASE.L01","view_id":"nature","report_row_id":"cl","weight":1},{"leg_id":"MAP.R7.RELEASE.L01","view_id":"function","report_row_id":"balance_sheet","weight":1},{"leg_id":"MAP.R7.RELEASE.L01","view_id":"cost_centre","report_row_id":"CORP","weight":1},{"leg_id":"MAP.R7.RELEASE.L01","view_id":"vendor","report_row_id":"UNKNOWN_FORECAST","weight":1},{"leg_id":"MAP.R7.RELEASE.L01","view_id":"recurrence","report_row_id":"not_applicable","weight":1},{"leg_id":"MAP.R7.RELEASE.L01","view_id":"commitment","report_row_id":"not_applicable","weight":1},{"leg_id":"MAP.R7.RELEASE.L01","view_id":"behaviour","report_row_id":"not_applicable","weight":1},{"leg_id":"MAP.R7.RELEASE.L02","view_id":"statement","report_row_id":"PNL.REVENUE","weight":1},{"leg_id":"MAP.R7.RELEASE.L02","view_id":"nature","report_row_id":"revenue","weight":1},{"leg_id":"MAP.R7.RELEASE.L02","view_id":"function","report_row_id":"revenue","weight":1},{"leg_id":"MAP.R7.RELEASE.L02","view_id":"cost_centre","report_row_id":"CORP","weight":1},{"leg_id":"MAP.R7.RELEASE.L02","view_id":"vendor","report_row_id":"UNKNOWN_FORECAST","weight":1},{"leg_id":"MAP.R7.RELEASE.L02","view_id":"recurrence","report_row_id":"recurring","weight":1},{"leg_id":"MAP.R7.RELEASE.L02","view_id":"commitment","report_row_id":"committed","weight":1},{"leg_id":"MAP.R7.RELEASE.L02","view_id":"behaviour","report_row_id":"fixed","weight":1}]},{"mapping_id":"MAP.STORE.RECEIPT","source_row_id":"SUB.CASH","posting_owner":"STORE","stream":"CORPORATE","cost_centre":"CORP","vendor_id":"UNKNOWN_FORECAST","tax_code":"NONE","cash_class":"operating","classification":{"recurrence":"not_applicable","commitment":"not_applicable","behaviour":"not_applicable"},"legs":[{"leg_id":"MAP.STORE.RECEIPT.L01","side":"debit","account_id":"GL.CASH","amount_component":"collection"},{"leg_id":"MAP.STORE.RECEIPT.L02","side":"credit","account_id":"GL.AR.STORE","amount_component":"collection"}],"report_allocations":[{"leg_id":"MAP.STORE.RECEIPT.L01","view_id":"statement","report_row_id":"BS.CASH","weight":1},{"leg_id":"MAP.STORE.RECEIPT.L01","view_id":"nature","report_row_id":"cash","weight":1},{"leg_id":"MAP.STORE.RECEIPT.L01","view_id":"function","report_row_id":"balance_sheet","weight":1},{"leg_id":"MAP.STORE.RECEIPT.L01","view_id":"cost_centre","report_row_id":"CORP","weight":1},{"leg_id":"MAP.STORE.RECEIPT.L01","view_id":"vendor","report_row_id":"UNKNOWN_FORECAST","weight":1},{"leg_id":"MAP.STORE.RECEIPT.L01","view_id":"recurrence","report_row_id":"not_applicable","weight":1},{"leg_id":"MAP.STORE.RECEIPT.L01","view_id":"commitment","report_row_id":"not_applicable","weight":1},{"leg_id":"MAP.STORE.RECEIPT.L01","view_id":"behaviour","report_row_id":"not_applicable","weight":1},{"leg_id":"MAP.STORE.RECEIPT.L02","view_id":"statement","report_row_id":"BS.AR","weight":1},{"leg_id":"MAP.STORE.RECEIPT.L02","view_id":"nature","report_row_id":"ar","weight":1},{"leg_id":"MAP.STORE.RECEIPT.L02","view_id":"function","report_row_id":"balance_sheet","weight":1},{"leg_id":"MAP.STORE.RECEIPT.L02","view_id":"cost_centre","report_row_id":"CORP","weight":1},{"leg_id":"MAP.STORE.RECEIPT.L02","view_id":"vendor","report_row_id":"UNKNOWN_FORECAST","weight":1},{"leg_id":"MAP.STORE.RECEIPT.L02","view_id":"recurrence","report_row_id":"not_applicable","weight":1},{"leg_id":"MAP.STORE.RECEIPT.L02","view_id":"commitment","report_row_id":"not_applicable","weight":1},{"leg_id":"MAP.STORE.RECEIPT.L02","view_id":"behaviour","report_row_id":"not_applicable","weight":1}]},{"mapping_id":"MAP.B2B.RECEIPT","source_row_id":"B2B.CASH","posting_owner":"B2B","stream":"CORPORATE","cost_centre":"CORP","vendor_id":"UNKNOWN_FORECAST","tax_code":"NONE","cash_class":"operating","classification":{"recurrence":"not_applicable","commitment":"not_applicable","behaviour":"not_applicable"},"legs":[{"leg_id":"MAP.B2B.RECEIPT.L01","side":"debit","account_id":"GL.CASH","amount_component":"collection"},{"leg_id":"MAP.B2B.RECEIPT.L02","side":"credit","account_id":"GL.AR.B2B","amount_component":"collection"}],"report_allocations":[{"leg_id":"MAP.B2B.RECEIPT.L01","view_id":"statement","report_row_id":"BS.CASH","weight":1},{"leg_id":"MAP.B2B.RECEIPT.L01","view_id":"nature","report_row_id":"cash","weight":1},{"leg_id":"MAP.B2B.RECEIPT.L01","view_id":"function","report_row_id":"balance_sheet","weight":1},{"leg_id":"MAP.B2B.RECEIPT.L01","view_id":"cost_centre","report_row_id":"CORP","weight":1},{"leg_id":"MAP.B2B.RECEIPT.L01","view_id":"vendor","report_row_id":"UNKNOWN_FORECAST","weight":1},{"leg_id":"MAP.B2B.RECEIPT.L01","view_id":"recurrence","report_row_id":"not_applicable","weight":1},{"leg_id":"MAP.B2B.RECEIPT.L01","view_id":"commitment","report_row_id":"not_applicable","weight":1},{"leg_id":"MAP.B2B.RECEIPT.L01","view_id":"behaviour","report_row_id":"not_applicable","weight":1},{"leg_id":"MAP.B2B.RECEIPT.L02","view_id":"statement","report_row_id":"BS.AR","weight":1},{"leg_id":"MAP.B2B.RECEIPT.L02","view_id":"nature","report_row_id":"ar","weight":1},{"leg_id":"MAP.B2B.RECEIPT.L02","view_id":"function","report_row_id":"balance_sheet","weight":1},{"leg_id":"MAP.B2B.RECEIPT.L02","view_id":"cost_centre","report_row_id":"CORP","weight":1},{"leg_id":"MAP.B2B.RECEIPT.L02","view_id":"vendor","report_row_id":"UNKNOWN_FORECAST","weight":1},{"leg_id":"MAP.B2B.RECEIPT.L02","view_id":"recurrence","report_row_id":"not_applicable","weight":1},{"leg_id":"MAP.B2B.RECEIPT.L02","view_id":"commitment","report_row_id":"not_applicable","weight":1},{"leg_id":"MAP.B2B.RECEIPT.L02","view_id":"behaviour","report_row_id":"not_applicable","weight":1}]},{"mapping_id":"MAP.AFF.RECEIPT","source_row_id":"AFF.CASH","posting_owner":"AFF","stream":"CORPORATE","cost_centre":"CORP","vendor_id":"UNKNOWN_FORECAST","tax_code":"NONE","cash_class":"operating","classification":{"recurrence":"not_applicable","commitment":"not_applicable","behaviour":"not_applicable"},"legs":[{"leg_id":"MAP.AFF.RECEIPT.L01","side":"debit","account_id":"GL.CASH","amount_component":"collection"},{"leg_id":"MAP.AFF.RECEIPT.L02","side":"credit","account_id":"GL.AR.AFF","amount_component":"collection"}],"report_allocations":[{"leg_id":"MAP.AFF.RECEIPT.L01","view_id":"statement","report_row_id":"BS.CASH","weight":1},{"leg_id":"MAP.AFF.RECEIPT.L01","view_id":"nature","report_row_id":"cash","weight":1},{"leg_id":"MAP.AFF.RECEIPT.L01","view_id":"function","report_row_id":"balance_sheet","weight":1},{"leg_id":"MAP.AFF.RECEIPT.L01","view_id":"cost_centre","report_row_id":"CORP","weight":1},{"leg_id":"MAP.AFF.RECEIPT.L01","view_id":"vendor","report_row_id":"UNKNOWN_FORECAST","weight":1},{"leg_id":"MAP.AFF.RECEIPT.L01","view_id":"recurrence","report_row_id":"not_applicable","weight":1},{"leg_id":"MAP.AFF.RECEIPT.L01","view_id":"commitment","report_row_id":"not_applicable","weight":1},{"leg_id":"MAP.AFF.RECEIPT.L01","view_id":"behaviour","report_row_id":"not_applicable","weight":1},{"leg_id":"MAP.AFF.RECEIPT.L02","view_id":"statement","report_row_id":"BS.AR","weight":1},{"leg_id":"MAP.AFF.RECEIPT.L02","view_id":"nature","report_row_id":"ar","weight":1},{"leg_id":"MAP.AFF.RECEIPT.L02","view_id":"function","report_row_id":"balance_sheet","weight":1},{"leg_id":"MAP.AFF.RECEIPT.L02","view_id":"cost_centre","report_row_id":"CORP","weight":1},{"leg_id":"MAP.AFF.RECEIPT.L02","view_id":"vendor","report_row_id":"UNKNOWN_FORECAST","weight":1},{"leg_id":"MAP.AFF.RECEIPT.L02","view_id":"recurrence","report_row_id":"not_applicable","weight":1},{"leg_id":"MAP.AFF.RECEIPT.L02","view_id":"commitment","report_row_id":"not_applicable","weight":1},{"leg_id":"MAP.AFF.RECEIPT.L02","view_id":"behaviour","report_row_id":"not_applicable","weight":1}]},{"mapping_id":"MAP.R2.TRADER","source_row_id":"COPY.TRADER_EXPENSE","posting_owner":"R2","stream":"R2","cost_centre":"CORP","vendor_id":"SIGNAL_SUPPLIER","tax_code":"TRADER_SMALL","cash_class":"operating","classification":{"recurrence":"recurring","commitment":"committed","behaviour":"variable"},"legs":[{"leg_id":"MAP.R2.TRADER.L01","side":"debit","account_id":"GL.COGS.TRADER","amount_component":"net"},{"leg_id":"MAP.R2.TRADER.L02","side":"credit","account_id":"GL.AP.TRADER","amount_component":"net"}],"report_allocations":[{"leg_id":"MAP.R2.TRADER.L01","view_id":"statement","report_row_id":"PNL.COGS","weight":1},{"leg_id":"MAP.R2.TRADER.L01","view_id":"nature","report_row_id":"cost_of_revenue","weight":1},{"leg_id":"MAP.R2.TRADER.L01","view_id":"function","report_row_id":"cost_of_revenue","weight":1},{"leg_id":"MAP.R2.TRADER.L01","view_id":"cost_centre","report_row_id":"CORP","weight":1},{"leg_id":"MAP.R2.TRADER.L01","view_id":"vendor","report_row_id":"SIGNAL_SUPPLIER","weight":1},{"leg_id":"MAP.R2.TRADER.L01","view_id":"recurrence","report_row_id":"recurring","weight":1},{"leg_id":"MAP.R2.TRADER.L01","view_id":"commitment","report_row_id":"committed","weight":1},{"leg_id":"MAP.R2.TRADER.L01","view_id":"behaviour","report_row_id":"variable","weight":1},{"leg_id":"MAP.R2.TRADER.L02","view_id":"statement","report_row_id":"BS.AP","weight":1},{"leg_id":"MAP.R2.TRADER.L02","view_id":"nature","report_row_id":"ap","weight":1},{"leg_id":"MAP.R2.TRADER.L02","view_id":"function","report_row_id":"balance_sheet","weight":1},{"leg_id":"MAP.R2.TRADER.L02","view_id":"cost_centre","report_row_id":"CORP","weight":1},{"leg_id":"MAP.R2.TRADER.L02","view_id":"vendor","report_row_id":"SIGNAL_SUPPLIER","weight":1},{"leg_id":"MAP.R2.TRADER.L02","view_id":"recurrence","report_row_id":"not_applicable","weight":1},{"leg_id":"MAP.R2.TRADER.L02","view_id":"commitment","report_row_id":"not_applicable","weight":1},{"leg_id":"MAP.R2.TRADER.L02","view_id":"behaviour","report_row_id":"not_applicable","weight":1}]},{"mapping_id":"MAP.R2.TRADER.RC","source_row_id":"COPY.TRADER_EXPENSE","posting_owner":"R2","stream":"R2","cost_centre":"CORP","vendor_id":"SIGNAL_SUPPLIER","tax_code":"TRADER_RC","cash_class":"operating","classification":{"recurrence":"recurring","commitment":"committed","behaviour":"variable"},"legs":[{"leg_id":"MAP.R2.TRADER.RC.L01","side":"debit","account_id":"GL.COGS.TRADER","amount_component":"net_plus_unrecoverable_vat"},{"leg_id":"MAP.R2.TRADER.RC.L02","side":"debit","account_id":"GL.VAT.DOM_ASSET","amount_component":"recoverable_vat"},{"leg_id":"MAP.R2.TRADER.RC.L03","side":"credit","account_id":"GL.AP.TRADER","amount_component":"net"},{"leg_id":"MAP.R2.TRADER.RC.L04","side":"credit","account_id":"GL.VAT.DOM_LIAB","amount_component":"self_assessed_vat"}],"report_allocations":[{"leg_id":"MAP.R2.TRADER.RC.L01","view_id":"statement","report_row_id":"PNL.COGS","weight":1},{"leg_id":"MAP.R2.TRADER.RC.L01","view_id":"nature","report_row_id":"cost_of_revenue","weight":1},{"leg_id":"MAP.R2.TRADER.RC.L01","view_id":"function","report_row_id":"cost_of_revenue","weight":1},{"leg_id":"MAP.R2.TRADER.RC.L01","view_id":"cost_centre","report_row_id":"CORP","weight":1},{"leg_id":"MAP.R2.TRADER.RC.L01","view_id":"vendor","report_row_id":"SIGNAL_SUPPLIER","weight":1},{"leg_id":"MAP.R2.TRADER.RC.L01","view_id":"recurrence","report_row_id":"recurring","weight":1},{"leg_id":"MAP.R2.TRADER.RC.L01","view_id":"commitment","report_row_id":"committed","weight":1},{"leg_id":"MAP.R2.TRADER.RC.L01","view_id":"behaviour","report_row_id":"variable","weight":1},{"leg_id":"MAP.R2.TRADER.RC.L02","view_id":"statement","report_row_id":"BS.TAX_ASSETS","weight":1},{"leg_id":"MAP.R2.TRADER.RC.L02","view_id":"nature","report_row_id":"tax_assets","weight":1},{"leg_id":"MAP.R2.TRADER.RC.L02","view_id":"function","report_row_id":"balance_sheet","weight":1},{"leg_id":"MAP.R2.TRADER.RC.L02","view_id":"cost_centre","report_row_id":"CORP","weight":1},{"leg_id":"MAP.R2.TRADER.RC.L02","view_id":"vendor","report_row_id":"SIGNAL_SUPPLIER","weight":1},{"leg_id":"MAP.R2.TRADER.RC.L02","view_id":"recurrence","report_row_id":"not_applicable","weight":1},{"leg_id":"MAP.R2.TRADER.RC.L02","view_id":"commitment","report_row_id":"not_applicable","weight":1},{"leg_id":"MAP.R2.TRADER.RC.L02","view_id":"behaviour","report_row_id":"not_applicable","weight":1},{"leg_id":"MAP.R2.TRADER.RC.L03","view_id":"statement","report_row_id":"BS.AP","weight":1},{"leg_id":"MAP.R2.TRADER.RC.L03","view_id":"nature","report_row_id":"ap","weight":1},{"leg_id":"MAP.R2.TRADER.RC.L03","view_id":"function","report_row_id":"balance_sheet","weight":1},{"leg_id":"MAP.R2.TRADER.RC.L03","view_id":"cost_centre","report_row_id":"CORP","weight":1},{"leg_id":"MAP.R2.TRADER.RC.L03","view_id":"vendor","report_row_id":"SIGNAL_SUPPLIER","weight":1},{"leg_id":"MAP.R2.TRADER.RC.L03","view_id":"recurrence","report_row_id":"not_applicable","weight":1},{"leg_id":"MAP.R2.TRADER.RC.L03","view_id":"commitment","report_row_id":"not_applicable","weight":1},{"leg_id":"MAP.R2.TRADER.RC.L03","view_id":"behaviour","report_row_id":"not_applicable","weight":1},{"leg_id":"MAP.R2.TRADER.RC.L04","view_id":"statement","report_row_id":"BS.TAX_LIABILITIES","weight":1},{"leg_id":"MAP.R2.TRADER.RC.L04","view_id":"nature","report_row_id":"tax_liabilities","weight":1},{"leg_id":"MAP.R2.TRADER.RC.L04","view_id":"function","report_row_id":"balance_sheet","weight":1},{"leg_id":"MAP.R2.TRADER.RC.L04","view_id":"cost_centre","report_row_id":"CORP","weight":1},{"leg_id":"MAP.R2.TRADER.RC.L04","view_id":"vendor","report_row_id":"SIGNAL_SUPPLIER","weight":1},{"leg_id":"MAP.R2.TRADER.RC.L04","view_id":"recurrence","report_row_id":"not_applicable","weight":1},{"leg_id":"MAP.R2.TRADER.RC.L04","view_id":"commitment","report_row_id":"not_applicable","weight":1},{"leg_id":"MAP.R2.TRADER.RC.L04","view_id":"behaviour","report_row_id":"not_applicable","weight":1}]},{"mapping_id":"MAP.R2.PAYOUT","source_row_id":"COPY.TRADER_PAID","posting_owner":"R2","stream":"R2","cost_centre":"CORP","vendor_id":"CARD_PROCESSOR","tax_code":"NONE","cash_class":"operating","classification":{"recurrence":"recurring","commitment":"committed","behaviour":"variable"},"legs":[{"leg_id":"MAP.R2.PAYOUT.L01","side":"debit","account_id":"GL.AP.TRADER","amount_component":"payout"},{"leg_id":"MAP.R2.PAYOUT.L02","side":"debit","account_id":"GL.COGS.CONNECT","amount_component":"connect_fee"},{"leg_id":"MAP.R2.PAYOUT.L03","side":"credit","account_id":"GL.CASH","amount_component":"payout_plus_connect_fee"}],"report_allocations":[{"leg_id":"MAP.R2.PAYOUT.L01","view_id":"statement","report_row_id":"BS.AP","weight":1},{"leg_id":"MAP.R2.PAYOUT.L01","view_id":"nature","report_row_id":"ap","weight":1},{"leg_id":"MAP.R2.PAYOUT.L01","view_id":"function","report_row_id":"balance_sheet","weight":1},{"leg_id":"MAP.R2.PAYOUT.L01","view_id":"cost_centre","report_row_id":"CORP","weight":1},{"leg_id":"MAP.R2.PAYOUT.L01","view_id":"vendor","report_row_id":"CARD_PROCESSOR","weight":1},{"leg_id":"MAP.R2.PAYOUT.L01","view_id":"recurrence","report_row_id":"not_applicable","weight":1},{"leg_id":"MAP.R2.PAYOUT.L01","view_id":"commitment","report_row_id":"not_applicable","weight":1},{"leg_id":"MAP.R2.PAYOUT.L01","view_id":"behaviour","report_row_id":"not_applicable","weight":1},{"leg_id":"MAP.R2.PAYOUT.L02","view_id":"statement","report_row_id":"PNL.COGS","weight":1},{"leg_id":"MAP.R2.PAYOUT.L02","view_id":"nature","report_row_id":"cost_of_revenue","weight":1},{"leg_id":"MAP.R2.PAYOUT.L02","view_id":"function","report_row_id":"cost_of_revenue","weight":1},{"leg_id":"MAP.R2.PAYOUT.L02","view_id":"cost_centre","report_row_id":"CORP","weight":1},{"leg_id":"MAP.R2.PAYOUT.L02","view_id":"vendor","report_row_id":"CARD_PROCESSOR","weight":1},{"leg_id":"MAP.R2.PAYOUT.L02","view_id":"recurrence","report_row_id":"recurring","weight":1},{"leg_id":"MAP.R2.PAYOUT.L02","view_id":"commitment","report_row_id":"committed","weight":1},{"leg_id":"MAP.R2.PAYOUT.L02","view_id":"behaviour","report_row_id":"variable","weight":1},{"leg_id":"MAP.R2.PAYOUT.L03","view_id":"statement","report_row_id":"BS.CASH","weight":1},{"leg_id":"MAP.R2.PAYOUT.L03","view_id":"nature","report_row_id":"cash","weight":1},{"leg_id":"MAP.R2.PAYOUT.L03","view_id":"function","report_row_id":"balance_sheet","weight":1},{"leg_id":"MAP.R2.PAYOUT.L03","view_id":"cost_centre","report_row_id":"CORP","weight":1},{"leg_id":"MAP.R2.PAYOUT.L03","view_id":"vendor","report_row_id":"CARD_PROCESSOR","weight":1},{"leg_id":"MAP.R2.PAYOUT.L03","view_id":"recurrence","report_row_id":"not_applicable","weight":1},{"leg_id":"MAP.R2.PAYOUT.L03","view_id":"commitment","report_row_id":"not_applicable","weight":1},{"leg_id":"MAP.R2.PAYOUT.L03","view_id":"behaviour","report_row_id":"not_applicable","weight":1}]},{"mapping_id":"MAP.R7.SEATS.DE","source_row_id":"B2B.SEAT_REV","posting_owner":"R7","stream":"R7","cost_centre":"CORP","vendor_id":"UNKNOWN_FORECAST","tax_code":"DE_OUT19","cash_class":"operating","classification":{"recurrence":"not_applicable","commitment":"not_applicable","behaviour":"not_applicable"},"legs":[{"leg_id":"MAP.R7.SEATS.DE.L01","side":"debit","account_id":"GL.AR.B2B","amount_component":"gross"},{"leg_id":"MAP.R7.SEATS.DE.L02","side":"credit","account_id":"GL.REV.R7_SEATS","amount_component":"net"},{"leg_id":"MAP.R7.SEATS.DE.L03","side":"credit","account_id":"GL.VAT.DOM_LIAB","amount_component":"vat"}],"report_allocations":[{"leg_id":"MAP.R7.SEATS.DE.L01","view_id":"statement","report_row_id":"BS.AR","weight":1},{"leg_id":"MAP.R7.SEATS.DE.L01","view_id":"nature","report_row_id":"ar","weight":1},{"leg_id":"MAP.R7.SEATS.DE.L01","view_id":"function","report_row_id":"balance_sheet","weight":1},{"leg_id":"MAP.R7.SEATS.DE.L01","view_id":"cost_centre","report_row_id":"CORP","weight":1},{"leg_id":"MAP.R7.SEATS.DE.L01","view_id":"vendor","report_row_id":"UNKNOWN_FORECAST","weight":1},{"leg_id":"MAP.R7.SEATS.DE.L01","view_id":"recurrence","report_row_id":"not_applicable","weight":1},{"leg_id":"MAP.R7.SEATS.DE.L01","view_id":"commitment","report_row_id":"not_applicable","weight":1},{"leg_id":"MAP.R7.SEATS.DE.L01","view_id":"behaviour","report_row_id":"not_applicable","weight":1},{"leg_id":"MAP.R7.SEATS.DE.L02","view_id":"statement","report_row_id":"PNL.REVENUE","weight":1},{"leg_id":"MAP.R7.SEATS.DE.L02","view_id":"nature","report_row_id":"revenue","weight":1},{"leg_id":"MAP.R7.SEATS.DE.L02","view_id":"function","report_row_id":"revenue","weight":1},{"leg_id":"MAP.R7.SEATS.DE.L02","view_id":"cost_centre","report_row_id":"CORP","weight":1},{"leg_id":"MAP.R7.SEATS.DE.L02","view_id":"vendor","report_row_id":"UNKNOWN_FORECAST","weight":1},{"leg_id":"MAP.R7.SEATS.DE.L02","view_id":"recurrence","report_row_id":"recurring","weight":1},{"leg_id":"MAP.R7.SEATS.DE.L02","view_id":"commitment","report_row_id":"committed","weight":1},{"leg_id":"MAP.R7.SEATS.DE.L02","view_id":"behaviour","report_row_id":"fixed","weight":1},{"leg_id":"MAP.R7.SEATS.DE.L03","view_id":"statement","report_row_id":"BS.TAX_LIABILITIES","weight":1},{"leg_id":"MAP.R7.SEATS.DE.L03","view_id":"nature","report_row_id":"tax_liabilities","weight":1},{"leg_id":"MAP.R7.SEATS.DE.L03","view_id":"function","report_row_id":"balance_sheet","weight":1},{"leg_id":"MAP.R7.SEATS.DE.L03","view_id":"cost_centre","report_row_id":"CORP","weight":1},{"leg_id":"MAP.R7.SEATS.DE.L03","view_id":"vendor","report_row_id":"UNKNOWN_FORECAST","weight":1},{"leg_id":"MAP.R7.SEATS.DE.L03","view_id":"recurrence","report_row_id":"not_applicable","weight":1},{"leg_id":"MAP.R7.SEATS.DE.L03","view_id":"commitment","report_row_id":"not_applicable","weight":1},{"leg_id":"MAP.R7.SEATS.DE.L03","view_id":"behaviour","report_row_id":"not_applicable","weight":1}]},{"mapping_id":"MAP.R7.SEATS.AT","source_row_id":"B2B.SEAT_REV","posting_owner":"R7","stream":"R7","cost_centre":"CORP","vendor_id":"UNKNOWN_FORECAST","tax_code":"B2B_AT_RC","cash_class":"operating","classification":{"recurrence":"not_applicable","commitment":"not_applicable","behaviour":"not_applicable"},"legs":[{"leg_id":"MAP.R7.SEATS.AT.L01","side":"debit","account_id":"GL.AR.B2B","amount_component":"gross"},{"leg_id":"MAP.R7.SEATS.AT.L02","side":"credit","account_id":"GL.REV.R7_SEATS","amount_component":"net"}],"report_allocations":[{"leg_id":"MAP.R7.SEATS.AT.L01","view_id":"statement","report_row_id":"BS.AR","weight":1},{"leg_id":"MAP.R7.SEATS.AT.L01","view_id":"nature","report_row_id":"ar","weight":1},{"leg_id":"MAP.R7.SEATS.AT.L01","view_id":"function","report_row_id":"balance_sheet","weight":1},{"leg_id":"MAP.R7.SEATS.AT.L01","view_id":"cost_centre","report_row_id":"CORP","weight":1},{"leg_id":"MAP.R7.SEATS.AT.L01","view_id":"vendor","report_row_id":"UNKNOWN_FORECAST","weight":1},{"leg_id":"MAP.R7.SEATS.AT.L01","view_id":"recurrence","report_row_id":"not_applicable","weight":1},{"leg_id":"MAP.R7.SEATS.AT.L01","view_id":"commitment","report_row_id":"not_applicable","weight":1},{"leg_id":"MAP.R7.SEATS.AT.L01","view_id":"behaviour","report_row_id":"not_applicable","weight":1},{"leg_id":"MAP.R7.SEATS.AT.L02","view_id":"statement","report_row_id":"PNL.REVENUE","weight":1},{"leg_id":"MAP.R7.SEATS.AT.L02","view_id":"nature","report_row_id":"revenue","weight":1},{"leg_id":"MAP.R7.SEATS.AT.L02","view_id":"function","report_row_id":"revenue","weight":1},{"leg_id":"MAP.R7.SEATS.AT.L02","view_id":"cost_centre","report_row_id":"CORP","weight":1},{"leg_id":"MAP.R7.SEATS.AT.L02","view_id":"vendor","report_row_id":"UNKNOWN_FORECAST","weight":1},{"leg_id":"MAP.R7.SEATS.AT.L02","view_id":"recurrence","report_row_id":"recurring","weight":1},{"leg_id":"MAP.R7.SEATS.AT.L02","view_id":"commitment","report_row_id":"committed","weight":1},{"leg_id":"MAP.R7.SEATS.AT.L02","view_id":"behaviour","report_row_id":"fixed","weight":1}]},{"mapping_id":"MAP.R7.ONBOARD.DE","source_row_id":"B2B.BILLING","posting_owner":"R7","stream":"R7","cost_centre":"CORP","vendor_id":"UNKNOWN_FORECAST","tax_code":"DE_OUT19","cash_class":"operating","classification":{"recurrence":"not_applicable","commitment":"not_applicable","behaviour":"not_applicable"},"legs":[{"leg_id":"MAP.R7.ONBOARD.DE.L01","side":"debit","account_id":"GL.AR.B2B","amount_component":"gross"},{"leg_id":"MAP.R7.ONBOARD.DE.L02","side":"credit","account_id":"GL.CL.R7","amount_component":"net"},{"leg_id":"MAP.R7.ONBOARD.DE.L03","side":"credit","account_id":"GL.VAT.DOM_LIAB","amount_component":"vat"}],"report_allocations":[{"leg_id":"MAP.R7.ONBOARD.DE.L01","view_id":"statement","report_row_id":"BS.AR","weight":1},{"leg_id":"MAP.R7.ONBOARD.DE.L01","view_id":"nature","report_row_id":"ar","weight":1},{"leg_id":"MAP.R7.ONBOARD.DE.L01","view_id":"function","report_row_id":"balance_sheet","weight":1},{"leg_id":"MAP.R7.ONBOARD.DE.L01","view_id":"cost_centre","report_row_id":"CORP","weight":1},{"leg_id":"MAP.R7.ONBOARD.DE.L01","view_id":"vendor","report_row_id":"UNKNOWN_FORECAST","weight":1},{"leg_id":"MAP.R7.ONBOARD.DE.L01","view_id":"recurrence","report_row_id":"not_applicable","weight":1},{"leg_id":"MAP.R7.ONBOARD.DE.L01","view_id":"commitment","report_row_id":"not_applicable","weight":1},{"leg_id":"MAP.R7.ONBOARD.DE.L01","view_id":"behaviour","report_row_id":"not_applicable","weight":1},{"leg_id":"MAP.R7.ONBOARD.DE.L02","view_id":"statement","report_row_id":"BS.CL","weight":1},{"leg_id":"MAP.R7.ONBOARD.DE.L02","view_id":"nature","report_row_id":"cl","weight":1},{"leg_id":"MAP.R7.ONBOARD.DE.L02","view_id":"function","report_row_id":"balance_sheet","weight":1},{"leg_id":"MAP.R7.ONBOARD.DE.L02","view_id":"cost_centre","report_row_id":"CORP","weight":1},{"leg_id":"MAP.R7.ONBOARD.DE.L02","view_id":"vendor","report_row_id":"UNKNOWN_FORECAST","weight":1},{"leg_id":"MAP.R7.ONBOARD.DE.L02","view_id":"recurrence","report_row_id":"not_applicable","weight":1},{"leg_id":"MAP.R7.ONBOARD.DE.L02","view_id":"commitment","report_row_id":"not_applicable","weight":1},{"leg_id":"MAP.R7.ONBOARD.DE.L02","view_id":"behaviour","report_row_id":"not_applicable","weight":1},{"leg_id":"MAP.R7.ONBOARD.DE.L03","view_id":"statement","report_row_id":"BS.TAX_LIABILITIES","weight":1},{"leg_id":"MAP.R7.ONBOARD.DE.L03","view_id":"nature","report_row_id":"tax_liabilities","weight":1},{"leg_id":"MAP.R7.ONBOARD.DE.L03","view_id":"function","report_row_id":"balance_sheet","weight":1},{"leg_id":"MAP.R7.ONBOARD.DE.L03","view_id":"cost_centre","report_row_id":"CORP","weight":1},{"leg_id":"MAP.R7.ONBOARD.DE.L03","view_id":"vendor","report_row_id":"UNKNOWN_FORECAST","weight":1},{"leg_id":"MAP.R7.ONBOARD.DE.L03","view_id":"recurrence","report_row_id":"not_applicable","weight":1},{"leg_id":"MAP.R7.ONBOARD.DE.L03","view_id":"commitment","report_row_id":"not_applicable","weight":1},{"leg_id":"MAP.R7.ONBOARD.DE.L03","view_id":"behaviour","report_row_id":"not_applicable","weight":1}]},{"mapping_id":"MAP.R7.ONBOARD.AT","source_row_id":"B2B.BILLING","posting_owner":"R7","stream":"R7","cost_centre":"CORP","vendor_id":"UNKNOWN_FORECAST","tax_code":"B2B_AT_RC","cash_class":"operating","classification":{"recurrence":"not_applicable","commitment":"not_applicable","behaviour":"not_applicable"},"legs":[{"leg_id":"MAP.R7.ONBOARD.AT.L01","side":"debit","account_id":"GL.AR.B2B","amount_component":"gross"},{"leg_id":"MAP.R7.ONBOARD.AT.L02","side":"credit","account_id":"GL.CL.R7","amount_component":"net"}],"report_allocations":[{"leg_id":"MAP.R7.ONBOARD.AT.L01","view_id":"statement","report_row_id":"BS.AR","weight":1},{"leg_id":"MAP.R7.ONBOARD.AT.L01","view_id":"nature","report_row_id":"ar","weight":1},{"leg_id":"MAP.R7.ONBOARD.AT.L01","view_id":"function","report_row_id":"balance_sheet","weight":1},{"leg_id":"MAP.R7.ONBOARD.AT.L01","view_id":"cost_centre","report_row_id":"CORP","weight":1},{"leg_id":"MAP.R7.ONBOARD.AT.L01","view_id":"vendor","report_row_id":"UNKNOWN_FORECAST","weight":1},{"leg_id":"MAP.R7.ONBOARD.AT.L01","view_id":"recurrence","report_row_id":"not_applicable","weight":1},{"leg_id":"MAP.R7.ONBOARD.AT.L01","view_id":"commitment","report_row_id":"not_applicable","weight":1},{"leg_id":"MAP.R7.ONBOARD.AT.L01","view_id":"behaviour","report_row_id":"not_applicable","weight":1},{"leg_id":"MAP.R7.ONBOARD.AT.L02","view_id":"statement","report_row_id":"BS.CL","weight":1},{"leg_id":"MAP.R7.ONBOARD.AT.L02","view_id":"nature","report_row_id":"cl","weight":1},{"leg_id":"MAP.R7.ONBOARD.AT.L02","view_id":"function","report_row_id":"balance_sheet","weight":1},{"leg_id":"MAP.R7.ONBOARD.AT.L02","view_id":"cost_centre","report_row_id":"CORP","weight":1},{"leg_id":"MAP.R7.ONBOARD.AT.L02","view_id":"vendor","report_row_id":"UNKNOWN_FORECAST","weight":1},{"leg_id":"MAP.R7.ONBOARD.AT.L02","view_id":"recurrence","report_row_id":"not_applicable","weight":1},{"leg_id":"MAP.R7.ONBOARD.AT.L02","view_id":"commitment","report_row_id":"not_applicable","weight":1},{"leg_id":"MAP.R7.ONBOARD.AT.L02","view_id":"behaviour","report_row_id":"not_applicable","weight":1}]},{"mapping_id":"MAP.AFF.BILL","source_row_id":"AFF.REVENUE","posting_owner":"R3","stream":"R3","cost_centre":"CORP","vendor_id":"UNKNOWN_FORECAST","tax_code":"B2B_AT_RC","cash_class":"operating","classification":{"recurrence":"not_applicable","commitment":"not_applicable","behaviour":"not_applicable"},"legs":[{"leg_id":"MAP.AFF.BILL.L01","side":"debit","account_id":"GL.AR.AFF","amount_component":"net"},{"leg_id":"MAP.AFF.BILL.L02","side":"credit","account_id":"GL.REV.R3","amount_component":"net"}],"report_allocations":[{"leg_id":"MAP.AFF.BILL.L01","view_id":"statement","report_row_id":"BS.AR","weight":1},{"leg_id":"MAP.AFF.BILL.L01","view_id":"nature","report_row_id":"ar","weight":1},{"leg_id":"MAP.AFF.BILL.L01","view_id":"function","report_row_id":"balance_sheet","weight":1},{"leg_id":"MAP.AFF.BILL.L01","view_id":"cost_centre","report_row_id":"CORP","weight":1},{"leg_id":"MAP.AFF.BILL.L01","view_id":"vendor","report_row_id":"UNKNOWN_FORECAST","weight":1},{"leg_id":"MAP.AFF.BILL.L01","view_id":"recurrence","report_row_id":"not_applicable","weight":1},{"leg_id":"MAP.AFF.BILL.L01","view_id":"commitment","report_row_id":"not_applicable","weight":1},{"leg_id":"MAP.AFF.BILL.L01","view_id":"behaviour","report_row_id":"not_applicable","weight":1},{"leg_id":"MAP.AFF.BILL.L02","view_id":"statement","report_row_id":"PNL.REVENUE","weight":1},{"leg_id":"MAP.AFF.BILL.L02","view_id":"nature","report_row_id":"revenue","weight":1},{"leg_id":"MAP.AFF.BILL.L02","view_id":"function","report_row_id":"revenue","weight":1},{"leg_id":"MAP.AFF.BILL.L02","view_id":"cost_centre","report_row_id":"CORP","weight":1},{"leg_id":"MAP.AFF.BILL.L02","view_id":"vendor","report_row_id":"UNKNOWN_FORECAST","weight":1},{"leg_id":"MAP.AFF.BILL.L02","view_id":"recurrence","report_row_id":"recurring","weight":1},{"leg_id":"MAP.AFF.BILL.L02","view_id":"commitment","report_row_id":"committed","weight":1},{"leg_id":"MAP.AFF.BILL.L02","view_id":"behaviour","report_row_id":"fixed","weight":1}]},{"mapping_id":"MAP.COST.PAY","source_row_id":"WC.SUPPLIER_AP","posting_owner":"WorkingCapital","stream":"CORPORATE","cost_centre":"CORP","vendor_id":"UNKNOWN_FORECAST","tax_code":"NONE","cash_class":"operating","classification":{"recurrence":"not_applicable","commitment":"not_applicable","behaviour":"not_applicable"},"legs":[{"leg_id":"MAP.COST.PAY.L01","side":"debit","account_id":"GL.AP.SUPPLIER","amount_component":"gross_payment"},{"leg_id":"MAP.COST.PAY.L02","side":"credit","account_id":"GL.CASH","amount_component":"gross_payment"}],"report_allocations":[{"leg_id":"MAP.COST.PAY.L01","view_id":"statement","report_row_id":"BS.AP","weight":1},{"leg_id":"MAP.COST.PAY.L01","view_id":"nature","report_row_id":"ap","weight":1},{"leg_id":"MAP.COST.PAY.L01","view_id":"function","report_row_id":"balance_sheet","weight":1},{"leg_id":"MAP.COST.PAY.L01","view_id":"cost_centre","report_row_id":"CORP","weight":1},{"leg_id":"MAP.COST.PAY.L01","view_id":"vendor","report_row_id":"UNKNOWN_FORECAST","weight":1},{"leg_id":"MAP.COST.PAY.L01","view_id":"recurrence","report_row_id":"not_applicable","weight":1},{"leg_id":"MAP.COST.PAY.L01","view_id":"commitment","report_row_id":"not_applicable","weight":1},{"leg_id":"MAP.COST.PAY.L01","view_id":"behaviour","report_row_id":"not_applicable","weight":1},{"leg_id":"MAP.COST.PAY.L02","view_id":"statement","report_row_id":"BS.CASH","weight":1},{"leg_id":"MAP.COST.PAY.L02","view_id":"nature","report_row_id":"cash","weight":1},{"leg_id":"MAP.COST.PAY.L02","view_id":"function","report_row_id":"balance_sheet","weight":1},{"leg_id":"MAP.COST.PAY.L02","view_id":"cost_centre","report_row_id":"CORP","weight":1},{"leg_id":"MAP.COST.PAY.L02","view_id":"vendor","report_row_id":"UNKNOWN_FORECAST","weight":1},{"leg_id":"MAP.COST.PAY.L02","view_id":"recurrence","report_row_id":"not_applicable","weight":1},{"leg_id":"MAP.COST.PAY.L02","view_id":"commitment","report_row_id":"not_applicable","weight":1},{"leg_id":"MAP.COST.PAY.L02","view_id":"behaviour","report_row_id":"not_applicable","weight":1}]},{"mapping_id":"MAP.CAPEX.PAY","source_row_id":"CAP.PAID","posting_owner":"Capex","stream":"CORPORATE","cost_centre":"CORP","vendor_id":"UNKNOWN_FORECAST","tax_code":"NONE","cash_class":"investing","classification":{"recurrence":"not_applicable","commitment":"not_applicable","behaviour":"not_applicable"},"legs":[{"leg_id":"MAP.CAPEX.PAY.L01","side":"debit","account_id":"GL.AP.CAPEX","amount_component":"gross_payment"},{"leg_id":"MAP.CAPEX.PAY.L02","side":"credit","account_id":"GL.CASH","amount_component":"gross_payment"}],"report_allocations":[{"leg_id":"MAP.CAPEX.PAY.L01","view_id":"statement","report_row_id":"BS.AP","weight":1},{"leg_id":"MAP.CAPEX.PAY.L01","view_id":"nature","report_row_id":"ap","weight":1},{"leg_id":"MAP.CAPEX.PAY.L01","view_id":"function","report_row_id":"balance_sheet","weight":1},{"leg_id":"MAP.CAPEX.PAY.L01","view_id":"cost_centre","report_row_id":"CORP","weight":1},{"leg_id":"MAP.CAPEX.PAY.L01","view_id":"vendor","report_row_id":"UNKNOWN_FORECAST","weight":1},{"leg_id":"MAP.CAPEX.PAY.L01","view_id":"recurrence","report_row_id":"not_applicable","weight":1},{"leg_id":"MAP.CAPEX.PAY.L01","view_id":"commitment","report_row_id":"not_applicable","weight":1},{"leg_id":"MAP.CAPEX.PAY.L01","view_id":"behaviour","report_row_id":"not_applicable","weight":1},{"leg_id":"MAP.CAPEX.PAY.L02","view_id":"statement","report_row_id":"BS.CASH","weight":1},{"leg_id":"MAP.CAPEX.PAY.L02","view_id":"nature","report_row_id":"cash","weight":1},{"leg_id":"MAP.CAPEX.PAY.L02","view_id":"function","report_row_id":"balance_sheet","weight":1},{"leg_id":"MAP.CAPEX.PAY.L02","view_id":"cost_centre","report_row_id":"CORP","weight":1},{"leg_id":"MAP.CAPEX.PAY.L02","view_id":"vendor","report_row_id":"UNKNOWN_FORECAST","weight":1},{"leg_id":"MAP.CAPEX.PAY.L02","view_id":"recurrence","report_row_id":"not_applicable","weight":1},{"leg_id":"MAP.CAPEX.PAY.L02","view_id":"commitment","report_row_id":"not_applicable","weight":1},{"leg_id":"MAP.CAPEX.PAY.L02","view_id":"behaviour","report_row_id":"not_applicable","weight":1}]},{"mapping_id":"MAP.PAYROLL.SALARY.MGMT","source_row_id":"PPL.SALARY","posting_owner":"People","stream":"CORPORATE","cost_centre":"MGMT","vendor_id":"PAYROLL","tax_code":"NONE","cash_class":"operating","classification":{"recurrence":"recurring","commitment":"committed","behaviour":"fixed"},"legs":[{"leg_id":"MAP.PAYROLL.SALARY.MGMT.L01","side":"debit","account_id":"GL.PEOPLE.SALARY","amount_component":"payroll_component"},{"leg_id":"MAP.PAYROLL.SALARY.MGMT.L02","side":"credit","account_id":"GL.CASH","amount_component":"payroll_component"}],"report_allocations":[{"leg_id":"MAP.PAYROLL.SALARY.MGMT.L01","view_id":"statement","report_row_id":"PNL.PEOPLE","weight":1},{"leg_id":"MAP.PAYROLL.SALARY.MGMT.L01","view_id":"nature","report_row_id":"people","weight":1},{"leg_id":"MAP.PAYROLL.SALARY.MGMT.L01","view_id":"function","report_row_id":"general_admin","weight":1},{"leg_id":"MAP.PAYROLL.SALARY.MGMT.L01","view_id":"cost_centre","report_row_id":"MGMT","weight":1},{"leg_id":"MAP.PAYROLL.SALARY.MGMT.L01","view_id":"vendor","report_row_id":"PAYROLL","weight":1},{"leg_id":"MAP.PAYROLL.SALARY.MGMT.L01","view_id":"recurrence","report_row_id":"recurring","weight":1},{"leg_id":"MAP.PAYROLL.SALARY.MGMT.L01","view_id":"commitment","report_row_id":"committed","weight":1},{"leg_id":"MAP.PAYROLL.SALARY.MGMT.L01","view_id":"behaviour","report_row_id":"fixed","weight":1},{"leg_id":"MAP.PAYROLL.SALARY.MGMT.L02","view_id":"statement","report_row_id":"BS.CASH","weight":1},{"leg_id":"MAP.PAYROLL.SALARY.MGMT.L02","view_id":"nature","report_row_id":"cash","weight":1},{"leg_id":"MAP.PAYROLL.SALARY.MGMT.L02","view_id":"function","report_row_id":"balance_sheet","weight":1},{"leg_id":"MAP.PAYROLL.SALARY.MGMT.L02","view_id":"cost_centre","report_row_id":"MGMT","weight":1},{"leg_id":"MAP.PAYROLL.SALARY.MGMT.L02","view_id":"vendor","report_row_id":"PAYROLL","weight":1},{"leg_id":"MAP.PAYROLL.SALARY.MGMT.L02","view_id":"recurrence","report_row_id":"not_applicable","weight":1},{"leg_id":"MAP.PAYROLL.SALARY.MGMT.L02","view_id":"commitment","report_row_id":"not_applicable","weight":1},{"leg_id":"MAP.PAYROLL.SALARY.MGMT.L02","view_id":"behaviour","report_row_id":"not_applicable","weight":1}]},{"mapping_id":"MAP.PAYROLL.SALARY.ENG","source_row_id":"PPL.SALARY","posting_owner":"People","stream":"CORPORATE","cost_centre":"ENG","vendor_id":"PAYROLL","tax_code":"NONE","cash_class":"operating","classification":{"recurrence":"recurring","commitment":"committed","behaviour":"fixed"},"legs":[{"leg_id":"MAP.PAYROLL.SALARY.ENG.L01","side":"debit","account_id":"GL.PEOPLE.SALARY","amount_component":"payroll_component"},{"leg_id":"MAP.PAYROLL.SALARY.ENG.L02","side":"credit","account_id":"GL.CASH","amount_component":"payroll_component"}],"report_allocations":[{"leg_id":"MAP.PAYROLL.SALARY.ENG.L01","view_id":"statement","report_row_id":"PNL.PEOPLE","weight":1},{"leg_id":"MAP.PAYROLL.SALARY.ENG.L01","view_id":"nature","report_row_id":"people","weight":1},{"leg_id":"MAP.PAYROLL.SALARY.ENG.L01","view_id":"function","report_row_id":"research_development","weight":1},{"leg_id":"MAP.PAYROLL.SALARY.ENG.L01","view_id":"cost_centre","report_row_id":"ENG","weight":1},{"leg_id":"MAP.PAYROLL.SALARY.ENG.L01","view_id":"vendor","report_row_id":"PAYROLL","weight":1},{"leg_id":"MAP.PAYROLL.SALARY.ENG.L01","view_id":"recurrence","report_row_id":"recurring","weight":1},{"leg_id":"MAP.PAYROLL.SALARY.ENG.L01","view_id":"commitment","report_row_id":"committed","weight":1},{"leg_id":"MAP.PAYROLL.SALARY.ENG.L01","view_id":"behaviour","report_row_id":"fixed","weight":1},{"leg_id":"MAP.PAYROLL.SALARY.ENG.L02","view_id":"statement","report_row_id":"BS.CASH","weight":1},{"leg_id":"MAP.PAYROLL.SALARY.ENG.L02","view_id":"nature","report_row_id":"cash","weight":1},{"leg_id":"MAP.PAYROLL.SALARY.ENG.L02","view_id":"function","report_row_id":"balance_sheet","weight":1},{"leg_id":"MAP.PAYROLL.SALARY.ENG.L02","view_id":"cost_centre","report_row_id":"ENG","weight":1},{"leg_id":"MAP.PAYROLL.SALARY.ENG.L02","view_id":"vendor","report_row_id":"PAYROLL","weight":1},{"leg_id":"MAP.PAYROLL.SALARY.ENG.L02","view_id":"recurrence","report_row_id":"not_applicable","weight":1},{"leg_id":"MAP.PAYROLL.SALARY.ENG.L02","view_id":"commitment","report_row_id":"not_applicable","weight":1},{"leg_id":"MAP.PAYROLL.SALARY.ENG.L02","view_id":"behaviour","report_row_id":"not_applicable","weight":1}]},{"mapping_id":"MAP.PAYROLL.SALARY.COMP","source_row_id":"PPL.SALARY","posting_owner":"People","stream":"CORPORATE","cost_centre":"COMP","vendor_id":"PAYROLL","tax_code":"NONE","cash_class":"operating","classification":{"recurrence":"recurring","commitment":"committed","behaviour":"fixed"},"legs":[{"leg_id":"MAP.PAYROLL.SALARY.COMP.L01","side":"debit","account_id":"GL.PEOPLE.SALARY","amount_component":"payroll_component"},{"leg_id":"MAP.PAYROLL.SALARY.COMP.L02","side":"credit","account_id":"GL.CASH","amount_component":"payroll_component"}],"report_allocations":[{"leg_id":"MAP.PAYROLL.SALARY.COMP.L01","view_id":"statement","report_row_id":"PNL.PEOPLE","weight":1},{"leg_id":"MAP.PAYROLL.SALARY.COMP.L01","view_id":"nature","report_row_id":"people","weight":1},{"leg_id":"MAP.PAYROLL.SALARY.COMP.L01","view_id":"function","report_row_id":"general_admin","weight":1},{"leg_id":"MAP.PAYROLL.SALARY.COMP.L01","view_id":"cost_centre","report_row_id":"COMP","weight":1},{"leg_id":"MAP.PAYROLL.SALARY.COMP.L01","view_id":"vendor","report_row_id":"PAYROLL","weight":1},{"leg_id":"MAP.PAYROLL.SALARY.COMP.L01","view_id":"recurrence","report_row_id":"recurring","weight":1},{"leg_id":"MAP.PAYROLL.SALARY.COMP.L01","view_id":"commitment","report_row_id":"committed","weight":1},{"leg_id":"MAP.PAYROLL.SALARY.COMP.L01","view_id":"behaviour","report_row_id":"fixed","weight":1},{"leg_id":"MAP.PAYROLL.SALARY.COMP.L02","view_id":"statement","report_row_id":"BS.CASH","weight":1},{"leg_id":"MAP.PAYROLL.SALARY.COMP.L02","view_id":"nature","report_row_id":"cash","weight":1},{"leg_id":"MAP.PAYROLL.SALARY.COMP.L02","view_id":"function","report_row_id":"balance_sheet","weight":1},{"leg_id":"MAP.PAYROLL.SALARY.COMP.L02","view_id":"cost_centre","report_row_id":"COMP","weight":1},{"leg_id":"MAP.PAYROLL.SALARY.COMP.L02","view_id":"vendor","report_row_id":"PAYROLL","weight":1},{"leg_id":"MAP.PAYROLL.SALARY.COMP.L02","view_id":"recurrence","report_row_id":"not_applicable","weight":1},{"leg_id":"MAP.PAYROLL.SALARY.COMP.L02","view_id":"commitment","report_row_id":"not_applicable","weight":1},{"leg_id":"MAP.PAYROLL.SALARY.COMP.L02","view_id":"behaviour","report_row_id":"not_applicable","weight":1}]},{"mapping_id":"MAP.PAYROLL.SALARY.PROD","source_row_id":"PPL.SALARY","posting_owner":"People","stream":"CORPORATE","cost_centre":"PROD","vendor_id":"PAYROLL","tax_code":"NONE","cash_class":"operating","classification":{"recurrence":"recurring","commitment":"committed","behaviour":"fixed"},"legs":[{"leg_id":"MAP.PAYROLL.SALARY.PROD.L01","side":"debit","account_id":"GL.PEOPLE.SALARY","amount_component":"payroll_component"},{"leg_id":"MAP.PAYROLL.SALARY.PROD.L02","side":"credit","account_id":"GL.CASH","amount_component":"payroll_component"}],"report_allocations":[{"leg_id":"MAP.PAYROLL.SALARY.PROD.L01","view_id":"statement","report_row_id":"PNL.PEOPLE","weight":1},{"leg_id":"MAP.PAYROLL.SALARY.PROD.L01","view_id":"nature","report_row_id":"people","weight":1},{"leg_id":"MAP.PAYROLL.SALARY.PROD.L01","view_id":"function","report_row_id":"research_development","weight":1},{"leg_id":"MAP.PAYROLL.SALARY.PROD.L01","view_id":"cost_centre","report_row_id":"PROD","weight":1},{"leg_id":"MAP.PAYROLL.SALARY.PROD.L01","view_id":"vendor","report_row_id":"PAYROLL","weight":1},{"leg_id":"MAP.PAYROLL.SALARY.PROD.L01","view_id":"recurrence","report_row_id":"recurring","weight":1},{"leg_id":"MAP.PAYROLL.SALARY.PROD.L01","view_id":"commitment","report_row_id":"committed","weight":1},{"leg_id":"MAP.PAYROLL.SALARY.PROD.L01","view_id":"behaviour","report_row_id":"fixed","weight":1},{"leg_id":"MAP.PAYROLL.SALARY.PROD.L02","view_id":"statement","report_row_id":"BS.CASH","weight":1},{"leg_id":"MAP.PAYROLL.SALARY.PROD.L02","view_id":"nature","report_row_id":"cash","weight":1},{"leg_id":"MAP.PAYROLL.SALARY.PROD.L02","view_id":"function","report_row_id":"balance_sheet","weight":1},{"leg_id":"MAP.PAYROLL.SALARY.PROD.L02","view_id":"cost_centre","report_row_id":"PROD","weight":1},{"leg_id":"MAP.PAYROLL.SALARY.PROD.L02","view_id":"vendor","report_row_id":"PAYROLL","weight":1},{"leg_id":"MAP.PAYROLL.SALARY.PROD.L02","view_id":"recurrence","report_row_id":"not_applicable","weight":1},{"leg_id":"MAP.PAYROLL.SALARY.PROD.L02","view_id":"commitment","report_row_id":"not_applicable","weight":1},{"leg_id":"MAP.PAYROLL.SALARY.PROD.L02","view_id":"behaviour","report_row_id":"not_applicable","weight":1}]},{"mapping_id":"MAP.PAYROLL.SALARY.MKT","source_row_id":"PPL.SALARY","posting_owner":"People","stream":"CORPORATE","cost_centre":"MKT","vendor_id":"PAYROLL","tax_code":"NONE","cash_class":"operating","classification":{"recurrence":"recurring","commitment":"committed","behaviour":"fixed"},"legs":[{"leg_id":"MAP.PAYROLL.SALARY.MKT.L01","side":"debit","account_id":"GL.PEOPLE.SALARY","amount_component":"payroll_component"},{"leg_id":"MAP.PAYROLL.SALARY.MKT.L02","side":"credit","account_id":"GL.CASH","amount_component":"payroll_component"}],"report_allocations":[{"leg_id":"MAP.PAYROLL.SALARY.MKT.L01","view_id":"statement","report_row_id":"PNL.PEOPLE","weight":1},{"leg_id":"MAP.PAYROLL.SALARY.MKT.L01","view_id":"nature","report_row_id":"people","weight":1},{"leg_id":"MAP.PAYROLL.SALARY.MKT.L01","view_id":"function","report_row_id":"sales_marketing","weight":1},{"leg_id":"MAP.PAYROLL.SALARY.MKT.L01","view_id":"cost_centre","report_row_id":"MKT","weight":1},{"leg_id":"MAP.PAYROLL.SALARY.MKT.L01","view_id":"vendor","report_row_id":"PAYROLL","weight":1},{"leg_id":"MAP.PAYROLL.SALARY.MKT.L01","view_id":"recurrence","report_row_id":"recurring","weight":1},{"leg_id":"MAP.PAYROLL.SALARY.MKT.L01","view_id":"commitment","report_row_id":"committed","weight":1},{"leg_id":"MAP.PAYROLL.SALARY.MKT.L01","view_id":"behaviour","report_row_id":"fixed","weight":1},{"leg_id":"MAP.PAYROLL.SALARY.MKT.L02","view_id":"statement","report_row_id":"BS.CASH","weight":1},{"leg_id":"MAP.PAYROLL.SALARY.MKT.L02","view_id":"nature","report_row_id":"cash","weight":1},{"leg_id":"MAP.PAYROLL.SALARY.MKT.L02","view_id":"function","report_row_id":"balance_sheet","weight":1},{"leg_id":"MAP.PAYROLL.SALARY.MKT.L02","view_id":"cost_centre","report_row_id":"MKT","weight":1},{"leg_id":"MAP.PAYROLL.SALARY.MKT.L02","view_id":"vendor","report_row_id":"PAYROLL","weight":1},{"leg_id":"MAP.PAYROLL.SALARY.MKT.L02","view_id":"recurrence","report_row_id":"not_applicable","weight":1},{"leg_id":"MAP.PAYROLL.SALARY.MKT.L02","view_id":"commitment","report_row_id":"not_applicable","weight":1},{"leg_id":"MAP.PAYROLL.SALARY.MKT.L02","view_id":"behaviour","report_row_id":"not_applicable","weight":1}]},{"mapping_id":"MAP.PAYROLL.SALARY.SUP","source_row_id":"PPL.SALARY","posting_owner":"People","stream":"CORPORATE","cost_centre":"SUP","vendor_id":"PAYROLL","tax_code":"NONE","cash_class":"operating","classification":{"recurrence":"recurring","commitment":"committed","behaviour":"fixed"},"legs":[{"leg_id":"MAP.PAYROLL.SALARY.SUP.L01","side":"debit","account_id":"GL.PEOPLE.SALARY","amount_component":"payroll_component"},{"leg_id":"MAP.PAYROLL.SALARY.SUP.L02","side":"credit","account_id":"GL.CASH","amount_component":"payroll_component"}],"report_allocations":[{"leg_id":"MAP.PAYROLL.SALARY.SUP.L01","view_id":"statement","report_row_id":"PNL.PEOPLE","weight":1},{"leg_id":"MAP.PAYROLL.SALARY.SUP.L01","view_id":"nature","report_row_id":"people","weight":1},{"leg_id":"MAP.PAYROLL.SALARY.SUP.L01","view_id":"function","report_row_id":"cost_of_revenue","weight":1},{"leg_id":"MAP.PAYROLL.SALARY.SUP.L01","view_id":"cost_centre","report_row_id":"SUP","weight":1},{"leg_id":"MAP.PAYROLL.SALARY.SUP.L01","view_id":"vendor","report_row_id":"PAYROLL","weight":1},{"leg_id":"MAP.PAYROLL.SALARY.SUP.L01","view_id":"recurrence","report_row_id":"recurring","weight":1},{"leg_id":"MAP.PAYROLL.SALARY.SUP.L01","view_id":"commitment","report_row_id":"committed","weight":1},{"leg_id":"MAP.PAYROLL.SALARY.SUP.L01","view_id":"behaviour","report_row_id":"fixed","weight":1},{"leg_id":"MAP.PAYROLL.SALARY.SUP.L02","view_id":"statement","report_row_id":"BS.CASH","weight":1},{"leg_id":"MAP.PAYROLL.SALARY.SUP.L02","view_id":"nature","report_row_id":"cash","weight":1},{"leg_id":"MAP.PAYROLL.SALARY.SUP.L02","view_id":"function","report_row_id":"balance_sheet","weight":1},{"leg_id":"MAP.PAYROLL.SALARY.SUP.L02","view_id":"cost_centre","report_row_id":"SUP","weight":1},{"leg_id":"MAP.PAYROLL.SALARY.SUP.L02","view_id":"vendor","report_row_id":"PAYROLL","weight":1},{"leg_id":"MAP.PAYROLL.SALARY.SUP.L02","view_id":"recurrence","report_row_id":"not_applicable","weight":1},{"leg_id":"MAP.PAYROLL.SALARY.SUP.L02","view_id":"commitment","report_row_id":"not_applicable","weight":1},{"leg_id":"MAP.PAYROLL.SALARY.SUP.L02","view_id":"behaviour","report_row_id":"not_applicable","weight":1}]},{"mapping_id":"MAP.PAYROLL.SALARY.FIN","source_row_id":"PPL.SALARY","posting_owner":"People","stream":"CORPORATE","cost_centre":"FIN","vendor_id":"PAYROLL","tax_code":"NONE","cash_class":"operating","classification":{"recurrence":"recurring","commitment":"committed","behaviour":"fixed"},"legs":[{"leg_id":"MAP.PAYROLL.SALARY.FIN.L01","side":"debit","account_id":"GL.PEOPLE.SALARY","amount_component":"payroll_component"},{"leg_id":"MAP.PAYROLL.SALARY.FIN.L02","side":"credit","account_id":"GL.CASH","amount_component":"payroll_component"}],"report_allocations":[{"leg_id":"MAP.PAYROLL.SALARY.FIN.L01","view_id":"statement","report_row_id":"PNL.PEOPLE","weight":1},{"leg_id":"MAP.PAYROLL.SALARY.FIN.L01","view_id":"nature","report_row_id":"people","weight":1},{"leg_id":"MAP.PAYROLL.SALARY.FIN.L01","view_id":"function","report_row_id":"general_admin","weight":1},{"leg_id":"MAP.PAYROLL.SALARY.FIN.L01","view_id":"cost_centre","report_row_id":"FIN","weight":1},{"leg_id":"MAP.PAYROLL.SALARY.FIN.L01","view_id":"vendor","report_row_id":"PAYROLL","weight":1},{"leg_id":"MAP.PAYROLL.SALARY.FIN.L01","view_id":"recurrence","report_row_id":"recurring","weight":1},{"leg_id":"MAP.PAYROLL.SALARY.FIN.L01","view_id":"commitment","report_row_id":"committed","weight":1},{"leg_id":"MAP.PAYROLL.SALARY.FIN.L01","view_id":"behaviour","report_row_id":"fixed","weight":1},{"leg_id":"MAP.PAYROLL.SALARY.FIN.L02","view_id":"statement","report_row_id":"BS.CASH","weight":1},{"leg_id":"MAP.PAYROLL.SALARY.FIN.L02","view_id":"nature","report_row_id":"cash","weight":1},{"leg_id":"MAP.PAYROLL.SALARY.FIN.L02","view_id":"function","report_row_id":"balance_sheet","weight":1},{"leg_id":"MAP.PAYROLL.SALARY.FIN.L02","view_id":"cost_centre","report_row_id":"FIN","weight":1},{"leg_id":"MAP.PAYROLL.SALARY.FIN.L02","view_id":"vendor","report_row_id":"PAYROLL","weight":1},{"leg_id":"MAP.PAYROLL.SALARY.FIN.L02","view_id":"recurrence","report_row_id":"not_applicable","weight":1},{"leg_id":"MAP.PAYROLL.SALARY.FIN.L02","view_id":"commitment","report_row_id":"not_applicable","weight":1},{"leg_id":"MAP.PAYROLL.SALARY.FIN.L02","view_id":"behaviour","report_row_id":"not_applicable","weight":1}]},{"mapping_id":"MAP.PAYROLL.SALARY.SALES","source_row_id":"PPL.SALARY","posting_owner":"People","stream":"CORPORATE","cost_centre":"SALES","vendor_id":"PAYROLL","tax_code":"NONE","cash_class":"operating","classification":{"recurrence":"recurring","commitment":"committed","behaviour":"fixed"},"legs":[{"leg_id":"MAP.PAYROLL.SALARY.SALES.L01","side":"debit","account_id":"GL.PEOPLE.SALARY","amount_component":"payroll_component"},{"leg_id":"MAP.PAYROLL.SALARY.SALES.L02","side":"credit","account_id":"GL.CASH","amount_component":"payroll_component"}],"report_allocations":[{"leg_id":"MAP.PAYROLL.SALARY.SALES.L01","view_id":"statement","report_row_id":"PNL.PEOPLE","weight":1},{"leg_id":"MAP.PAYROLL.SALARY.SALES.L01","view_id":"nature","report_row_id":"people","weight":1},{"leg_id":"MAP.PAYROLL.SALARY.SALES.L01","view_id":"function","report_row_id":"sales_marketing","weight":1},{"leg_id":"MAP.PAYROLL.SALARY.SALES.L01","view_id":"cost_centre","report_row_id":"SALES","weight":1},{"leg_id":"MAP.PAYROLL.SALARY.SALES.L01","view_id":"vendor","report_row_id":"PAYROLL","weight":1},{"leg_id":"MAP.PAYROLL.SALARY.SALES.L01","view_id":"recurrence","report_row_id":"recurring","weight":1},{"leg_id":"MAP.PAYROLL.SALARY.SALES.L01","view_id":"commitment","report_row_id":"committed","weight":1},{"leg_id":"MAP.PAYROLL.SALARY.SALES.L01","view_id":"behaviour","report_row_id":"fixed","weight":1},{"leg_id":"MAP.PAYROLL.SALARY.SALES.L02","view_id":"statement","report_row_id":"BS.CASH","weight":1},{"leg_id":"MAP.PAYROLL.SALARY.SALES.L02","view_id":"nature","report_row_id":"cash","weight":1},{"leg_id":"MAP.PAYROLL.SALARY.SALES.L02","view_id":"function","report_row_id":"balance_sheet","weight":1},{"leg_id":"MAP.PAYROLL.SALARY.SALES.L02","view_id":"cost_centre","report_row_id":"SALES","weight":1},{"leg_id":"MAP.PAYROLL.SALARY.SALES.L02","view_id":"vendor","report_row_id":"PAYROLL","weight":1},{"leg_id":"MAP.PAYROLL.SALARY.SALES.L02","view_id":"recurrence","report_row_id":"not_applicable","weight":1},{"leg_id":"MAP.PAYROLL.SALARY.SALES.L02","view_id":"commitment","report_row_id":"not_applicable","weight":1},{"leg_id":"MAP.PAYROLL.SALARY.SALES.L02","view_id":"behaviour","report_row_id":"not_applicable","weight":1}]},{"mapping_id":"MAP.PAYROLL.RV.MGMT","source_row_id":"PPL.RV","posting_owner":"People","stream":"CORPORATE","cost_centre":"MGMT","vendor_id":"PAYROLL","tax_code":"NONE","cash_class":"operating","classification":{"recurrence":"recurring","commitment":"committed","behaviour":"fixed"},"legs":[{"leg_id":"MAP.PAYROLL.RV.MGMT.L01","side":"debit","account_id":"GL.PEOPLE.RV","amount_component":"payroll_component"},{"leg_id":"MAP.PAYROLL.RV.MGMT.L02","side":"credit","account_id":"GL.CASH","amount_component":"payroll_component"}],"report_allocations":[{"leg_id":"MAP.PAYROLL.RV.MGMT.L01","view_id":"statement","report_row_id":"PNL.PEOPLE","weight":1},{"leg_id":"MAP.PAYROLL.RV.MGMT.L01","view_id":"nature","report_row_id":"people","weight":1},{"leg_id":"MAP.PAYROLL.RV.MGMT.L01","view_id":"function","report_row_id":"general_admin","weight":1},{"leg_id":"MAP.PAYROLL.RV.MGMT.L01","view_id":"cost_centre","report_row_id":"MGMT","weight":1},{"leg_id":"MAP.PAYROLL.RV.MGMT.L01","view_id":"vendor","report_row_id":"PAYROLL","weight":1},{"leg_id":"MAP.PAYROLL.RV.MGMT.L01","view_id":"recurrence","report_row_id":"recurring","weight":1},{"leg_id":"MAP.PAYROLL.RV.MGMT.L01","view_id":"commitment","report_row_id":"committed","weight":1},{"leg_id":"MAP.PAYROLL.RV.MGMT.L01","view_id":"behaviour","report_row_id":"fixed","weight":1},{"leg_id":"MAP.PAYROLL.RV.MGMT.L02","view_id":"statement","report_row_id":"BS.CASH","weight":1},{"leg_id":"MAP.PAYROLL.RV.MGMT.L02","view_id":"nature","report_row_id":"cash","weight":1},{"leg_id":"MAP.PAYROLL.RV.MGMT.L02","view_id":"function","report_row_id":"balance_sheet","weight":1},{"leg_id":"MAP.PAYROLL.RV.MGMT.L02","view_id":"cost_centre","report_row_id":"MGMT","weight":1},{"leg_id":"MAP.PAYROLL.RV.MGMT.L02","view_id":"vendor","report_row_id":"PAYROLL","weight":1},{"leg_id":"MAP.PAYROLL.RV.MGMT.L02","view_id":"recurrence","report_row_id":"not_applicable","weight":1},{"leg_id":"MAP.PAYROLL.RV.MGMT.L02","view_id":"commitment","report_row_id":"not_applicable","weight":1},{"leg_id":"MAP.PAYROLL.RV.MGMT.L02","view_id":"behaviour","report_row_id":"not_applicable","weight":1}]},{"mapping_id":"MAP.PAYROLL.RV.ENG","source_row_id":"PPL.RV","posting_owner":"People","stream":"CORPORATE","cost_centre":"ENG","vendor_id":"PAYROLL","tax_code":"NONE","cash_class":"operating","classification":{"recurrence":"recurring","commitment":"committed","behaviour":"fixed"},"legs":[{"leg_id":"MAP.PAYROLL.RV.ENG.L01","side":"debit","account_id":"GL.PEOPLE.RV","amount_component":"payroll_component"},{"leg_id":"MAP.PAYROLL.RV.ENG.L02","side":"credit","account_id":"GL.CASH","amount_component":"payroll_component"}],"report_allocations":[{"leg_id":"MAP.PAYROLL.RV.ENG.L01","view_id":"statement","report_row_id":"PNL.PEOPLE","weight":1},{"leg_id":"MAP.PAYROLL.RV.ENG.L01","view_id":"nature","report_row_id":"people","weight":1},{"leg_id":"MAP.PAYROLL.RV.ENG.L01","view_id":"function","report_row_id":"research_development","weight":1},{"leg_id":"MAP.PAYROLL.RV.ENG.L01","view_id":"cost_centre","report_row_id":"ENG","weight":1},{"leg_id":"MAP.PAYROLL.RV.ENG.L01","view_id":"vendor","report_row_id":"PAYROLL","weight":1},{"leg_id":"MAP.PAYROLL.RV.ENG.L01","view_id":"recurrence","report_row_id":"recurring","weight":1},{"leg_id":"MAP.PAYROLL.RV.ENG.L01","view_id":"commitment","report_row_id":"committed","weight":1},{"leg_id":"MAP.PAYROLL.RV.ENG.L01","view_id":"behaviour","report_row_id":"fixed","weight":1},{"leg_id":"MAP.PAYROLL.RV.ENG.L02","view_id":"statement","report_row_id":"BS.CASH","weight":1},{"leg_id":"MAP.PAYROLL.RV.ENG.L02","view_id":"nature","report_row_id":"cash","weight":1},{"leg_id":"MAP.PAYROLL.RV.ENG.L02","view_id":"function","report_row_id":"balance_sheet","weight":1},{"leg_id":"MAP.PAYROLL.RV.ENG.L02","view_id":"cost_centre","report_row_id":"ENG","weight":1},{"leg_id":"MAP.PAYROLL.RV.ENG.L02","view_id":"vendor","report_row_id":"PAYROLL","weight":1},{"leg_id":"MAP.PAYROLL.RV.ENG.L02","view_id":"recurrence","report_row_id":"not_applicable","weight":1},{"leg_id":"MAP.PAYROLL.RV.ENG.L02","view_id":"commitment","report_row_id":"not_applicable","weight":1},{"leg_id":"MAP.PAYROLL.RV.ENG.L02","view_id":"behaviour","report_row_id":"not_applicable","weight":1}]},{"mapping_id":"MAP.PAYROLL.RV.COMP","source_row_id":"PPL.RV","posting_owner":"People","stream":"CORPORATE","cost_centre":"COMP","vendor_id":"PAYROLL","tax_code":"NONE","cash_class":"operating","classification":{"recurrence":"recurring","commitment":"committed","behaviour":"fixed"},"legs":[{"leg_id":"MAP.PAYROLL.RV.COMP.L01","side":"debit","account_id":"GL.PEOPLE.RV","amount_component":"payroll_component"},{"leg_id":"MAP.PAYROLL.RV.COMP.L02","side":"credit","account_id":"GL.CASH","amount_component":"payroll_component"}],"report_allocations":[{"leg_id":"MAP.PAYROLL.RV.COMP.L01","view_id":"statement","report_row_id":"PNL.PEOPLE","weight":1},{"leg_id":"MAP.PAYROLL.RV.COMP.L01","view_id":"nature","report_row_id":"people","weight":1},{"leg_id":"MAP.PAYROLL.RV.COMP.L01","view_id":"function","report_row_id":"general_admin","weight":1},{"leg_id":"MAP.PAYROLL.RV.COMP.L01","view_id":"cost_centre","report_row_id":"COMP","weight":1},{"leg_id":"MAP.PAYROLL.RV.COMP.L01","view_id":"vendor","report_row_id":"PAYROLL","weight":1},{"leg_id":"MAP.PAYROLL.RV.COMP.L01","view_id":"recurrence","report_row_id":"recurring","weight":1},{"leg_id":"MAP.PAYROLL.RV.COMP.L01","view_id":"commitment","report_row_id":"committed","weight":1},{"leg_id":"MAP.PAYROLL.RV.COMP.L01","view_id":"behaviour","report_row_id":"fixed","weight":1},{"leg_id":"MAP.PAYROLL.RV.COMP.L02","view_id":"statement","report_row_id":"BS.CASH","weight":1},{"leg_id":"MAP.PAYROLL.RV.COMP.L02","view_id":"nature","report_row_id":"cash","weight":1},{"leg_id":"MAP.PAYROLL.RV.COMP.L02","view_id":"function","report_row_id":"balance_sheet","weight":1},{"leg_id":"MAP.PAYROLL.RV.COMP.L02","view_id":"cost_centre","report_row_id":"COMP","weight":1},{"leg_id":"MAP.PAYROLL.RV.COMP.L02","view_id":"vendor","report_row_id":"PAYROLL","weight":1},{"leg_id":"MAP.PAYROLL.RV.COMP.L02","view_id":"recurrence","report_row_id":"not_applicable","weight":1},{"leg_id":"MAP.PAYROLL.RV.COMP.L02","view_id":"commitment","report_row_id":"not_applicable","weight":1},{"leg_id":"MAP.PAYROLL.RV.COMP.L02","view_id":"behaviour","report_row_id":"not_applicable","weight":1}]},{"mapping_id":"MAP.PAYROLL.RV.PROD","source_row_id":"PPL.RV","posting_owner":"People","stream":"CORPORATE","cost_centre":"PROD","vendor_id":"PAYROLL","tax_code":"NONE","cash_class":"operating","classification":{"recurrence":"recurring","commitment":"committed","behaviour":"fixed"},"legs":[{"leg_id":"MAP.PAYROLL.RV.PROD.L01","side":"debit","account_id":"GL.PEOPLE.RV","amount_component":"payroll_component"},{"leg_id":"MAP.PAYROLL.RV.PROD.L02","side":"credit","account_id":"GL.CASH","amount_component":"payroll_component"}],"report_allocations":[{"leg_id":"MAP.PAYROLL.RV.PROD.L01","view_id":"statement","report_row_id":"PNL.PEOPLE","weight":1},{"leg_id":"MAP.PAYROLL.RV.PROD.L01","view_id":"nature","report_row_id":"people","weight":1},{"leg_id":"MAP.PAYROLL.RV.PROD.L01","view_id":"function","report_row_id":"research_development","weight":1},{"leg_id":"MAP.PAYROLL.RV.PROD.L01","view_id":"cost_centre","report_row_id":"PROD","weight":1},{"leg_id":"MAP.PAYROLL.RV.PROD.L01","view_id":"vendor","report_row_id":"PAYROLL","weight":1},{"leg_id":"MAP.PAYROLL.RV.PROD.L01","view_id":"recurrence","report_row_id":"recurring","weight":1},{"leg_id":"MAP.PAYROLL.RV.PROD.L01","view_id":"commitment","report_row_id":"committed","weight":1},{"leg_id":"MAP.PAYROLL.RV.PROD.L01","view_id":"behaviour","report_row_id":"fixed","weight":1},{"leg_id":"MAP.PAYROLL.RV.PROD.L02","view_id":"statement","report_row_id":"BS.CASH","weight":1},{"leg_id":"MAP.PAYROLL.RV.PROD.L02","view_id":"nature","report_row_id":"cash","weight":1},{"leg_id":"MAP.PAYROLL.RV.PROD.L02","view_id":"function","report_row_id":"balance_sheet","weight":1},{"leg_id":"MAP.PAYROLL.RV.PROD.L02","view_id":"cost_centre","report_row_id":"PROD","weight":1},{"leg_id":"MAP.PAYROLL.RV.PROD.L02","view_id":"vendor","report_row_id":"PAYROLL","weight":1},{"leg_id":"MAP.PAYROLL.RV.PROD.L02","view_id":"recurrence","report_row_id":"not_applicable","weight":1},{"leg_id":"MAP.PAYROLL.RV.PROD.L02","view_id":"commitment","report_row_id":"not_applicable","weight":1},{"leg_id":"MAP.PAYROLL.RV.PROD.L02","view_id":"behaviour","report_row_id":"not_applicable","weight":1}]},{"mapping_id":"MAP.PAYROLL.RV.MKT","source_row_id":"PPL.RV","posting_owner":"People","stream":"CORPORATE","cost_centre":"MKT","vendor_id":"PAYROLL","tax_code":"NONE","cash_class":"operating","classification":{"recurrence":"recurring","commitment":"committed","behaviour":"fixed"},"legs":[{"leg_id":"MAP.PAYROLL.RV.MKT.L01","side":"debit","account_id":"GL.PEOPLE.RV","amount_component":"payroll_component"},{"leg_id":"MAP.PAYROLL.RV.MKT.L02","side":"credit","account_id":"GL.CASH","amount_component":"payroll_component"}],"report_allocations":[{"leg_id":"MAP.PAYROLL.RV.MKT.L01","view_id":"statement","report_row_id":"PNL.PEOPLE","weight":1},{"leg_id":"MAP.PAYROLL.RV.MKT.L01","view_id":"nature","report_row_id":"people","weight":1},{"leg_id":"MAP.PAYROLL.RV.MKT.L01","view_id":"function","report_row_id":"sales_marketing","weight":1},{"leg_id":"MAP.PAYROLL.RV.MKT.L01","view_id":"cost_centre","report_row_id":"MKT","weight":1},{"leg_id":"MAP.PAYROLL.RV.MKT.L01","view_id":"vendor","report_row_id":"PAYROLL","weight":1},{"leg_id":"MAP.PAYROLL.RV.MKT.L01","view_id":"recurrence","report_row_id":"recurring","weight":1},{"leg_id":"MAP.PAYROLL.RV.MKT.L01","view_id":"commitment","report_row_id":"committed","weight":1},{"leg_id":"MAP.PAYROLL.RV.MKT.L01","view_id":"behaviour","report_row_id":"fixed","weight":1},{"leg_id":"MAP.PAYROLL.RV.MKT.L02","view_id":"statement","report_row_id":"BS.CASH","weight":1},{"leg_id":"MAP.PAYROLL.RV.MKT.L02","view_id":"nature","report_row_id":"cash","weight":1},{"leg_id":"MAP.PAYROLL.RV.MKT.L02","view_id":"function","report_row_id":"balance_sheet","weight":1},{"leg_id":"MAP.PAYROLL.RV.MKT.L02","view_id":"cost_centre","report_row_id":"MKT","weight":1},{"leg_id":"MAP.PAYROLL.RV.MKT.L02","view_id":"vendor","report_row_id":"PAYROLL","weight":1},{"leg_id":"MAP.PAYROLL.RV.MKT.L02","view_id":"recurrence","report_row_id":"not_applicable","weight":1},{"leg_id":"MAP.PAYROLL.RV.MKT.L02","view_id":"commitment","report_row_id":"not_applicable","weight":1},{"leg_id":"MAP.PAYROLL.RV.MKT.L02","view_id":"behaviour","report_row_id":"not_applicable","weight":1}]},{"mapping_id":"MAP.PAYROLL.RV.SUP","source_row_id":"PPL.RV","posting_owner":"People","stream":"CORPORATE","cost_centre":"SUP","vendor_id":"PAYROLL","tax_code":"NONE","cash_class":"operating","classification":{"recurrence":"recurring","commitment":"committed","behaviour":"fixed"},"legs":[{"leg_id":"MAP.PAYROLL.RV.SUP.L01","side":"debit","account_id":"GL.PEOPLE.RV","amount_component":"payroll_component"},{"leg_id":"MAP.PAYROLL.RV.SUP.L02","side":"credit","account_id":"GL.CASH","amount_component":"payroll_component"}],"report_allocations":[{"leg_id":"MAP.PAYROLL.RV.SUP.L01","view_id":"statement","report_row_id":"PNL.PEOPLE","weight":1},{"leg_id":"MAP.PAYROLL.RV.SUP.L01","view_id":"nature","report_row_id":"people","weight":1},{"leg_id":"MAP.PAYROLL.RV.SUP.L01","view_id":"function","report_row_id":"cost_of_revenue","weight":1},{"leg_id":"MAP.PAYROLL.RV.SUP.L01","view_id":"cost_centre","report_row_id":"SUP","weight":1},{"leg_id":"MAP.PAYROLL.RV.SUP.L01","view_id":"vendor","report_row_id":"PAYROLL","weight":1},{"leg_id":"MAP.PAYROLL.RV.SUP.L01","view_id":"recurrence","report_row_id":"recurring","weight":1},{"leg_id":"MAP.PAYROLL.RV.SUP.L01","view_id":"commitment","report_row_id":"committed","weight":1},{"leg_id":"MAP.PAYROLL.RV.SUP.L01","view_id":"behaviour","report_row_id":"fixed","weight":1},{"leg_id":"MAP.PAYROLL.RV.SUP.L02","view_id":"statement","report_row_id":"BS.CASH","weight":1},{"leg_id":"MAP.PAYROLL.RV.SUP.L02","view_id":"nature","report_row_id":"cash","weight":1},{"leg_id":"MAP.PAYROLL.RV.SUP.L02","view_id":"function","report_row_id":"balance_sheet","weight":1},{"leg_id":"MAP.PAYROLL.RV.SUP.L02","view_id":"cost_centre","report_row_id":"SUP","weight":1},{"leg_id":"MAP.PAYROLL.RV.SUP.L02","view_id":"vendor","report_row_id":"PAYROLL","weight":1},{"leg_id":"MAP.PAYROLL.RV.SUP.L02","view_id":"recurrence","report_row_id":"not_applicable","weight":1},{"leg_id":"MAP.PAYROLL.RV.SUP.L02","view_id":"commitment","report_row_id":"not_applicable","weight":1},{"leg_id":"MAP.PAYROLL.RV.SUP.L02","view_id":"behaviour","report_row_id":"not_applicable","weight":1}]},{"mapping_id":"MAP.PAYROLL.RV.FIN","source_row_id":"PPL.RV","posting_owner":"People","stream":"CORPORATE","cost_centre":"FIN","vendor_id":"PAYROLL","tax_code":"NONE","cash_class":"operating","classification":{"recurrence":"recurring","commitment":"committed","behaviour":"fixed"},"legs":[{"leg_id":"MAP.PAYROLL.RV.FIN.L01","side":"debit","account_id":"GL.PEOPLE.RV","amount_component":"payroll_component"},{"leg_id":"MAP.PAYROLL.RV.FIN.L02","side":"credit","account_id":"GL.CASH","amount_component":"payroll_component"}],"report_allocations":[{"leg_id":"MAP.PAYROLL.RV.FIN.L01","view_id":"statement","report_row_id":"PNL.PEOPLE","weight":1},{"leg_id":"MAP.PAYROLL.RV.FIN.L01","view_id":"nature","report_row_id":"people","weight":1},{"leg_id":"MAP.PAYROLL.RV.FIN.L01","view_id":"function","report_row_id":"general_admin","weight":1},{"leg_id":"MAP.PAYROLL.RV.FIN.L01","view_id":"cost_centre","report_row_id":"FIN","weight":1},{"leg_id":"MAP.PAYROLL.RV.FIN.L01","view_id":"vendor","report_row_id":"PAYROLL","weight":1},{"leg_id":"MAP.PAYROLL.RV.FIN.L01","view_id":"recurrence","report_row_id":"recurring","weight":1},{"leg_id":"MAP.PAYROLL.RV.FIN.L01","view_id":"commitment","report_row_id":"committed","weight":1},{"leg_id":"MAP.PAYROLL.RV.FIN.L01","view_id":"behaviour","report_row_id":"fixed","weight":1},{"leg_id":"MAP.PAYROLL.RV.FIN.L02","view_id":"statement","report_row_id":"BS.CASH","weight":1},{"leg_id":"MAP.PAYROLL.RV.FIN.L02","view_id":"nature","report_row_id":"cash","weight":1},{"leg_id":"MAP.PAYROLL.RV.FIN.L02","view_id":"function","report_row_id":"balance_sheet","weight":1},{"leg_id":"MAP.PAYROLL.RV.FIN.L02","view_id":"cost_centre","report_row_id":"FIN","weight":1},{"leg_id":"MAP.PAYROLL.RV.FIN.L02","view_id":"vendor","report_row_id":"PAYROLL","weight":1},{"leg_id":"MAP.PAYROLL.RV.FIN.L02","view_id":"recurrence","report_row_id":"not_applicable","weight":1},{"leg_id":"MAP.PAYROLL.RV.FIN.L02","view_id":"commitment","report_row_id":"not_applicable","weight":1},{"leg_id":"MAP.PAYROLL.RV.FIN.L02","view_id":"behaviour","report_row_id":"not_applicable","weight":1}]},{"mapping_id":"MAP.PAYROLL.RV.SALES","source_row_id":"PPL.RV","posting_owner":"People","stream":"CORPORATE","cost_centre":"SALES","vendor_id":"PAYROLL","tax_code":"NONE","cash_class":"operating","classification":{"recurrence":"recurring","commitment":"committed","behaviour":"fixed"},"legs":[{"leg_id":"MAP.PAYROLL.RV.SALES.L01","side":"debit","account_id":"GL.PEOPLE.RV","amount_component":"payroll_component"},{"leg_id":"MAP.PAYROLL.RV.SALES.L02","side":"credit","account_id":"GL.CASH","amount_component":"payroll_component"}],"report_allocations":[{"leg_id":"MAP.PAYROLL.RV.SALES.L01","view_id":"statement","report_row_id":"PNL.PEOPLE","weight":1},{"leg_id":"MAP.PAYROLL.RV.SALES.L01","view_id":"nature","report_row_id":"people","weight":1},{"leg_id":"MAP.PAYROLL.RV.SALES.L01","view_id":"function","report_row_id":"sales_marketing","weight":1},{"leg_id":"MAP.PAYROLL.RV.SALES.L01","view_id":"cost_centre","report_row_id":"SALES","weight":1},{"leg_id":"MAP.PAYROLL.RV.SALES.L01","view_id":"vendor","report_row_id":"PAYROLL","weight":1},{"leg_id":"MAP.PAYROLL.RV.SALES.L01","view_id":"recurrence","report_row_id":"recurring","weight":1},{"leg_id":"MAP.PAYROLL.RV.SALES.L01","view_id":"commitment","report_row_id":"committed","weight":1},{"leg_id":"MAP.PAYROLL.RV.SALES.L01","view_id":"behaviour","report_row_id":"fixed","weight":1},{"leg_id":"MAP.PAYROLL.RV.SALES.L02","view_id":"statement","report_row_id":"BS.CASH","weight":1},{"leg_id":"MAP.PAYROLL.RV.SALES.L02","view_id":"nature","report_row_id":"cash","weight":1},{"leg_id":"MAP.PAYROLL.RV.SALES.L02","view_id":"function","report_row_id":"balance_sheet","weight":1},{"leg_id":"MAP.PAYROLL.RV.SALES.L02","view_id":"cost_centre","report_row_id":"SALES","weight":1},{"leg_id":"MAP.PAYROLL.RV.SALES.L02","view_id":"vendor","report_row_id":"PAYROLL","weight":1},{"leg_id":"MAP.PAYROLL.RV.SALES.L02","view_id":"recurrence","report_row_id":"not_applicable","weight":1},{"leg_id":"MAP.PAYROLL.RV.SALES.L02","view_id":"commitment","report_row_id":"not_applicable","weight":1},{"leg_id":"MAP.PAYROLL.RV.SALES.L02","view_id":"behaviour","report_row_id":"not_applicable","weight":1}]},{"mapping_id":"MAP.PAYROLL.AV.MGMT","source_row_id":"PPL.AV","posting_owner":"People","stream":"CORPORATE","cost_centre":"MGMT","vendor_id":"PAYROLL","tax_code":"NONE","cash_class":"operating","classification":{"recurrence":"recurring","commitment":"committed","behaviour":"fixed"},"legs":[{"leg_id":"MAP.PAYROLL.AV.MGMT.L01","side":"debit","account_id":"GL.PEOPLE.AV","amount_component":"payroll_component"},{"leg_id":"MAP.PAYROLL.AV.MGMT.L02","side":"credit","account_id":"GL.CASH","amount_component":"payroll_component"}],"report_allocations":[{"leg_id":"MAP.PAYROLL.AV.MGMT.L01","view_id":"statement","report_row_id":"PNL.PEOPLE","weight":1},{"leg_id":"MAP.PAYROLL.AV.MGMT.L01","view_id":"nature","report_row_id":"people","weight":1},{"leg_id":"MAP.PAYROLL.AV.MGMT.L01","view_id":"function","report_row_id":"general_admin","weight":1},{"leg_id":"MAP.PAYROLL.AV.MGMT.L01","view_id":"cost_centre","report_row_id":"MGMT","weight":1},{"leg_id":"MAP.PAYROLL.AV.MGMT.L01","view_id":"vendor","report_row_id":"PAYROLL","weight":1},{"leg_id":"MAP.PAYROLL.AV.MGMT.L01","view_id":"recurrence","report_row_id":"recurring","weight":1},{"leg_id":"MAP.PAYROLL.AV.MGMT.L01","view_id":"commitment","report_row_id":"committed","weight":1},{"leg_id":"MAP.PAYROLL.AV.MGMT.L01","view_id":"behaviour","report_row_id":"fixed","weight":1},{"leg_id":"MAP.PAYROLL.AV.MGMT.L02","view_id":"statement","report_row_id":"BS.CASH","weight":1},{"leg_id":"MAP.PAYROLL.AV.MGMT.L02","view_id":"nature","report_row_id":"cash","weight":1},{"leg_id":"MAP.PAYROLL.AV.MGMT.L02","view_id":"function","report_row_id":"balance_sheet","weight":1},{"leg_id":"MAP.PAYROLL.AV.MGMT.L02","view_id":"cost_centre","report_row_id":"MGMT","weight":1},{"leg_id":"MAP.PAYROLL.AV.MGMT.L02","view_id":"vendor","report_row_id":"PAYROLL","weight":1},{"leg_id":"MAP.PAYROLL.AV.MGMT.L02","view_id":"recurrence","report_row_id":"not_applicable","weight":1},{"leg_id":"MAP.PAYROLL.AV.MGMT.L02","view_id":"commitment","report_row_id":"not_applicable","weight":1},{"leg_id":"MAP.PAYROLL.AV.MGMT.L02","view_id":"behaviour","report_row_id":"not_applicable","weight":1}]},{"mapping_id":"MAP.PAYROLL.AV.ENG","source_row_id":"PPL.AV","posting_owner":"People","stream":"CORPORATE","cost_centre":"ENG","vendor_id":"PAYROLL","tax_code":"NONE","cash_class":"operating","classification":{"recurrence":"recurring","commitment":"committed","behaviour":"fixed"},"legs":[{"leg_id":"MAP.PAYROLL.AV.ENG.L01","side":"debit","account_id":"GL.PEOPLE.AV","amount_component":"payroll_component"},{"leg_id":"MAP.PAYROLL.AV.ENG.L02","side":"credit","account_id":"GL.CASH","amount_component":"payroll_component"}],"report_allocations":[{"leg_id":"MAP.PAYROLL.AV.ENG.L01","view_id":"statement","report_row_id":"PNL.PEOPLE","weight":1},{"leg_id":"MAP.PAYROLL.AV.ENG.L01","view_id":"nature","report_row_id":"people","weight":1},{"leg_id":"MAP.PAYROLL.AV.ENG.L01","view_id":"function","report_row_id":"research_development","weight":1},{"leg_id":"MAP.PAYROLL.AV.ENG.L01","view_id":"cost_centre","report_row_id":"ENG","weight":1},{"leg_id":"MAP.PAYROLL.AV.ENG.L01","view_id":"vendor","report_row_id":"PAYROLL","weight":1},{"leg_id":"MAP.PAYROLL.AV.ENG.L01","view_id":"recurrence","report_row_id":"recurring","weight":1},{"leg_id":"MAP.PAYROLL.AV.ENG.L01","view_id":"commitment","report_row_id":"committed","weight":1},{"leg_id":"MAP.PAYROLL.AV.ENG.L01","view_id":"behaviour","report_row_id":"fixed","weight":1},{"leg_id":"MAP.PAYROLL.AV.ENG.L02","view_id":"statement","report_row_id":"BS.CASH","weight":1},{"leg_id":"MAP.PAYROLL.AV.ENG.L02","view_id":"nature","report_row_id":"cash","weight":1},{"leg_id":"MAP.PAYROLL.AV.ENG.L02","view_id":"function","report_row_id":"balance_sheet","weight":1},{"leg_id":"MAP.PAYROLL.AV.ENG.L02","view_id":"cost_centre","report_row_id":"ENG","weight":1},{"leg_id":"MAP.PAYROLL.AV.ENG.L02","view_id":"vendor","report_row_id":"PAYROLL","weight":1},{"leg_id":"MAP.PAYROLL.AV.ENG.L02","view_id":"recurrence","report_row_id":"not_applicable","weight":1},{"leg_id":"MAP.PAYROLL.AV.ENG.L02","view_id":"commitment","report_row_id":"not_applicable","weight":1},{"leg_id":"MAP.PAYROLL.AV.ENG.L02","view_id":"behaviour","report_row_id":"not_applicable","weight":1}]},{"mapping_id":"MAP.PAYROLL.AV.COMP","source_row_id":"PPL.AV","posting_owner":"People","stream":"CORPORATE","cost_centre":"COMP","vendor_id":"PAYROLL","tax_code":"NONE","cash_class":"operating","classification":{"recurrence":"recurring","commitment":"committed","behaviour":"fixed"},"legs":[{"leg_id":"MAP.PAYROLL.AV.COMP.L01","side":"debit","account_id":"GL.PEOPLE.AV","amount_component":"payroll_component"},{"leg_id":"MAP.PAYROLL.AV.COMP.L02","side":"credit","account_id":"GL.CASH","amount_component":"payroll_component"}],"report_allocations":[{"leg_id":"MAP.PAYROLL.AV.COMP.L01","view_id":"statement","report_row_id":"PNL.PEOPLE","weight":1},{"leg_id":"MAP.PAYROLL.AV.COMP.L01","view_id":"nature","report_row_id":"people","weight":1},{"leg_id":"MAP.PAYROLL.AV.COMP.L01","view_id":"function","report_row_id":"general_admin","weight":1},{"leg_id":"MAP.PAYROLL.AV.COMP.L01","view_id":"cost_centre","report_row_id":"COMP","weight":1},{"leg_id":"MAP.PAYROLL.AV.COMP.L01","view_id":"vendor","report_row_id":"PAYROLL","weight":1},{"leg_id":"MAP.PAYROLL.AV.COMP.L01","view_id":"recurrence","report_row_id":"recurring","weight":1},{"leg_id":"MAP.PAYROLL.AV.COMP.L01","view_id":"commitment","report_row_id":"committed","weight":1},{"leg_id":"MAP.PAYROLL.AV.COMP.L01","view_id":"behaviour","report_row_id":"fixed","weight":1},{"leg_id":"MAP.PAYROLL.AV.COMP.L02","view_id":"statement","report_row_id":"BS.CASH","weight":1},{"leg_id":"MAP.PAYROLL.AV.COMP.L02","view_id":"nature","report_row_id":"cash","weight":1},{"leg_id":"MAP.PAYROLL.AV.COMP.L02","view_id":"function","report_row_id":"balance_sheet","weight":1},{"leg_id":"MAP.PAYROLL.AV.COMP.L02","view_id":"cost_centre","report_row_id":"COMP","weight":1},{"leg_id":"MAP.PAYROLL.AV.COMP.L02","view_id":"vendor","report_row_id":"PAYROLL","weight":1},{"leg_id":"MAP.PAYROLL.AV.COMP.L02","view_id":"recurrence","report_row_id":"not_applicable","weight":1},{"leg_id":"MAP.PAYROLL.AV.COMP.L02","view_id":"commitment","report_row_id":"not_applicable","weight":1},{"leg_id":"MAP.PAYROLL.AV.COMP.L02","view_id":"behaviour","report_row_id":"not_applicable","weight":1}]},{"mapping_id":"MAP.PAYROLL.AV.PROD","source_row_id":"PPL.AV","posting_owner":"People","stream":"CORPORATE","cost_centre":"PROD","vendor_id":"PAYROLL","tax_code":"NONE","cash_class":"operating","classification":{"recurrence":"recurring","commitment":"committed","behaviour":"fixed"},"legs":[{"leg_id":"MAP.PAYROLL.AV.PROD.L01","side":"debit","account_id":"GL.PEOPLE.AV","amount_component":"payroll_component"},{"leg_id":"MAP.PAYROLL.AV.PROD.L02","side":"credit","account_id":"GL.CASH","amount_component":"payroll_component"}],"report_allocations":[{"leg_id":"MAP.PAYROLL.AV.PROD.L01","view_id":"statement","report_row_id":"PNL.PEOPLE","weight":1},{"leg_id":"MAP.PAYROLL.AV.PROD.L01","view_id":"nature","report_row_id":"people","weight":1},{"leg_id":"MAP.PAYROLL.AV.PROD.L01","view_id":"function","report_row_id":"research_development","weight":1},{"leg_id":"MAP.PAYROLL.AV.PROD.L01","view_id":"cost_centre","report_row_id":"PROD","weight":1},{"leg_id":"MAP.PAYROLL.AV.PROD.L01","view_id":"vendor","report_row_id":"PAYROLL","weight":1},{"leg_id":"MAP.PAYROLL.AV.PROD.L01","view_id":"recurrence","report_row_id":"recurring","weight":1},{"leg_id":"MAP.PAYROLL.AV.PROD.L01","view_id":"commitment","report_row_id":"committed","weight":1},{"leg_id":"MAP.PAYROLL.AV.PROD.L01","view_id":"behaviour","report_row_id":"fixed","weight":1},{"leg_id":"MAP.PAYROLL.AV.PROD.L02","view_id":"statement","report_row_id":"BS.CASH","weight":1},{"leg_id":"MAP.PAYROLL.AV.PROD.L02","view_id":"nature","report_row_id":"cash","weight":1},{"leg_id":"MAP.PAYROLL.AV.PROD.L02","view_id":"function","report_row_id":"balance_sheet","weight":1},{"leg_id":"MAP.PAYROLL.AV.PROD.L02","view_id":"cost_centre","report_row_id":"PROD","weight":1},{"leg_id":"MAP.PAYROLL.AV.PROD.L02","view_id":"vendor","report_row_id":"PAYROLL","weight":1},{"leg_id":"MAP.PAYROLL.AV.PROD.L02","view_id":"recurrence","report_row_id":"not_applicable","weight":1},{"leg_id":"MAP.PAYROLL.AV.PROD.L02","view_id":"commitment","report_row_id":"not_applicable","weight":1},{"leg_id":"MAP.PAYROLL.AV.PROD.L02","view_id":"behaviour","report_row_id":"not_applicable","weight":1}]},{"mapping_id":"MAP.PAYROLL.AV.MKT","source_row_id":"PPL.AV","posting_owner":"People","stream":"CORPORATE","cost_centre":"MKT","vendor_id":"PAYROLL","tax_code":"NONE","cash_class":"operating","classification":{"recurrence":"recurring","commitment":"committed","behaviour":"fixed"},"legs":[{"leg_id":"MAP.PAYROLL.AV.MKT.L01","side":"debit","account_id":"GL.PEOPLE.AV","amount_component":"payroll_component"},{"leg_id":"MAP.PAYROLL.AV.MKT.L02","side":"credit","account_id":"GL.CASH","amount_component":"payroll_component"}],"report_allocations":[{"leg_id":"MAP.PAYROLL.AV.MKT.L01","view_id":"statement","report_row_id":"PNL.PEOPLE","weight":1},{"leg_id":"MAP.PAYROLL.AV.MKT.L01","view_id":"nature","report_row_id":"people","weight":1},{"leg_id":"MAP.PAYROLL.AV.MKT.L01","view_id":"function","report_row_id":"sales_marketing","weight":1},{"leg_id":"MAP.PAYROLL.AV.MKT.L01","view_id":"cost_centre","report_row_id":"MKT","weight":1},{"leg_id":"MAP.PAYROLL.AV.MKT.L01","view_id":"vendor","report_row_id":"PAYROLL","weight":1},{"leg_id":"MAP.PAYROLL.AV.MKT.L01","view_id":"recurrence","report_row_id":"recurring","weight":1},{"leg_id":"MAP.PAYROLL.AV.MKT.L01","view_id":"commitment","report_row_id":"committed","weight":1},{"leg_id":"MAP.PAYROLL.AV.MKT.L01","view_id":"behaviour","report_row_id":"fixed","weight":1},{"leg_id":"MAP.PAYROLL.AV.MKT.L02","view_id":"statement","report_row_id":"BS.CASH","weight":1},{"leg_id":"MAP.PAYROLL.AV.MKT.L02","view_id":"nature","report_row_id":"cash","weight":1},{"leg_id":"MAP.PAYROLL.AV.MKT.L02","view_id":"function","report_row_id":"balance_sheet","weight":1},{"leg_id":"MAP.PAYROLL.AV.MKT.L02","view_id":"cost_centre","report_row_id":"MKT","weight":1},{"leg_id":"MAP.PAYROLL.AV.MKT.L02","view_id":"vendor","report_row_id":"PAYROLL","weight":1},{"leg_id":"MAP.PAYROLL.AV.MKT.L02","view_id":"recurrence","report_row_id":"not_applicable","weight":1},{"leg_id":"MAP.PAYROLL.AV.MKT.L02","view_id":"commitment","report_row_id":"not_applicable","weight":1},{"leg_id":"MAP.PAYROLL.AV.MKT.L02","view_id":"behaviour","report_row_id":"not_applicable","weight":1}]},{"mapping_id":"MAP.PAYROLL.AV.SUP","source_row_id":"PPL.AV","posting_owner":"People","stream":"CORPORATE","cost_centre":"SUP","vendor_id":"PAYROLL","tax_code":"NONE","cash_class":"operating","classification":{"recurrence":"recurring","commitment":"committed","behaviour":"fixed"},"legs":[{"leg_id":"MAP.PAYROLL.AV.SUP.L01","side":"debit","account_id":"GL.PEOPLE.AV","amount_component":"payroll_component"},{"leg_id":"MAP.PAYROLL.AV.SUP.L02","side":"credit","account_id":"GL.CASH","amount_component":"payroll_component"}],"report_allocations":[{"leg_id":"MAP.PAYROLL.AV.SUP.L01","view_id":"statement","report_row_id":"PNL.PEOPLE","weight":1},{"leg_id":"MAP.PAYROLL.AV.SUP.L01","view_id":"nature","report_row_id":"people","weight":1},{"leg_id":"MAP.PAYROLL.AV.SUP.L01","view_id":"function","report_row_id":"cost_of_revenue","weight":1},{"leg_id":"MAP.PAYROLL.AV.SUP.L01","view_id":"cost_centre","report_row_id":"SUP","weight":1},{"leg_id":"MAP.PAYROLL.AV.SUP.L01","view_id":"vendor","report_row_id":"PAYROLL","weight":1},{"leg_id":"MAP.PAYROLL.AV.SUP.L01","view_id":"recurrence","report_row_id":"recurring","weight":1},{"leg_id":"MAP.PAYROLL.AV.SUP.L01","view_id":"commitment","report_row_id":"committed","weight":1},{"leg_id":"MAP.PAYROLL.AV.SUP.L01","view_id":"behaviour","report_row_id":"fixed","weight":1},{"leg_id":"MAP.PAYROLL.AV.SUP.L02","view_id":"statement","report_row_id":"BS.CASH","weight":1},{"leg_id":"MAP.PAYROLL.AV.SUP.L02","view_id":"nature","report_row_id":"cash","weight":1},{"leg_id":"MAP.PAYROLL.AV.SUP.L02","view_id":"function","report_row_id":"balance_sheet","weight":1},{"leg_id":"MAP.PAYROLL.AV.SUP.L02","view_id":"cost_centre","report_row_id":"SUP","weight":1},{"leg_id":"MAP.PAYROLL.AV.SUP.L02","view_id":"vendor","report_row_id":"PAYROLL","weight":1},{"leg_id":"MAP.PAYROLL.AV.SUP.L02","view_id":"recurrence","report_row_id":"not_applicable","weight":1},{"leg_id":"MAP.PAYROLL.AV.SUP.L02","view_id":"commitment","report_row_id":"not_applicable","weight":1},{"leg_id":"MAP.PAYROLL.AV.SUP.L02","view_id":"behaviour","report_row_id":"not_applicable","weight":1}]},{"mapping_id":"MAP.PAYROLL.AV.FIN","source_row_id":"PPL.AV","posting_owner":"People","stream":"CORPORATE","cost_centre":"FIN","vendor_id":"PAYROLL","tax_code":"NONE","cash_class":"operating","classification":{"recurrence":"recurring","commitment":"committed","behaviour":"fixed"},"legs":[{"leg_id":"MAP.PAYROLL.AV.FIN.L01","side":"debit","account_id":"GL.PEOPLE.AV","amount_component":"payroll_component"},{"leg_id":"MAP.PAYROLL.AV.FIN.L02","side":"credit","account_id":"GL.CASH","amount_component":"payroll_component"}],"report_allocations":[{"leg_id":"MAP.PAYROLL.AV.FIN.L01","view_id":"statement","report_row_id":"PNL.PEOPLE","weight":1},{"leg_id":"MAP.PAYROLL.AV.FIN.L01","view_id":"nature","report_row_id":"people","weight":1},{"leg_id":"MAP.PAYROLL.AV.FIN.L01","view_id":"function","report_row_id":"general_admin","weight":1},{"leg_id":"MAP.PAYROLL.AV.FIN.L01","view_id":"cost_centre","report_row_id":"FIN","weight":1},{"leg_id":"MAP.PAYROLL.AV.FIN.L01","view_id":"vendor","report_row_id":"PAYROLL","weight":1},{"leg_id":"MAP.PAYROLL.AV.FIN.L01","view_id":"recurrence","report_row_id":"recurring","weight":1},{"leg_id":"MAP.PAYROLL.AV.FIN.L01","view_id":"commitment","report_row_id":"committed","weight":1},{"leg_id":"MAP.PAYROLL.AV.FIN.L01","view_id":"behaviour","report_row_id":"fixed","weight":1},{"leg_id":"MAP.PAYROLL.AV.FIN.L02","view_id":"statement","report_row_id":"BS.CASH","weight":1},{"leg_id":"MAP.PAYROLL.AV.FIN.L02","view_id":"nature","report_row_id":"cash","weight":1},{"leg_id":"MAP.PAYROLL.AV.FIN.L02","view_id":"function","report_row_id":"balance_sheet","weight":1},{"leg_id":"MAP.PAYROLL.AV.FIN.L02","view_id":"cost_centre","report_row_id":"FIN","weight":1},{"leg_id":"MAP.PAYROLL.AV.FIN.L02","view_id":"vendor","report_row_id":"PAYROLL","weight":1},{"leg_id":"MAP.PAYROLL.AV.FIN.L02","view_id":"recurrence","report_row_id":"not_applicable","weight":1},{"leg_id":"MAP.PAYROLL.AV.FIN.L02","view_id":"commitment","report_row_id":"not_applicable","weight":1},{"leg_id":"MAP.PAYROLL.AV.FIN.L02","view_id":"behaviour","report_row_id":"not_applicable","weight":1}]},{"mapping_id":"MAP.PAYROLL.AV.SALES","source_row_id":"PPL.AV","posting_owner":"People","stream":"CORPORATE","cost_centre":"SALES","vendor_id":"PAYROLL","tax_code":"NONE","cash_class":"operating","classification":{"recurrence":"recurring","commitment":"committed","behaviour":"fixed"},"legs":[{"leg_id":"MAP.PAYROLL.AV.SALES.L01","side":"debit","account_id":"GL.PEOPLE.AV","amount_component":"payroll_component"},{"leg_id":"MAP.PAYROLL.AV.SALES.L02","side":"credit","account_id":"GL.CASH","amount_component":"payroll_component"}],"report_allocations":[{"leg_id":"MAP.PAYROLL.AV.SALES.L01","view_id":"statement","report_row_id":"PNL.PEOPLE","weight":1},{"leg_id":"MAP.PAYROLL.AV.SALES.L01","view_id":"nature","report_row_id":"people","weight":1},{"leg_id":"MAP.PAYROLL.AV.SALES.L01","view_id":"function","report_row_id":"sales_marketing","weight":1},{"leg_id":"MAP.PAYROLL.AV.SALES.L01","view_id":"cost_centre","report_row_id":"SALES","weight":1},{"leg_id":"MAP.PAYROLL.AV.SALES.L01","view_id":"vendor","report_row_id":"PAYROLL","weight":1},{"leg_id":"MAP.PAYROLL.AV.SALES.L01","view_id":"recurrence","report_row_id":"recurring","weight":1},{"leg_id":"MAP.PAYROLL.AV.SALES.L01","view_id":"commitment","report_row_id":"committed","weight":1},{"leg_id":"MAP.PAYROLL.AV.SALES.L01","view_id":"behaviour","report_row_id":"fixed","weight":1},{"leg_id":"MAP.PAYROLL.AV.SALES.L02","view_id":"statement","report_row_id":"BS.CASH","weight":1},{"leg_id":"MAP.PAYROLL.AV.SALES.L02","view_id":"nature","report_row_id":"cash","weight":1},{"leg_id":"MAP.PAYROLL.AV.SALES.L02","view_id":"function","report_row_id":"balance_sheet","weight":1},{"leg_id":"MAP.PAYROLL.AV.SALES.L02","view_id":"cost_centre","report_row_id":"SALES","weight":1},{"leg_id":"MAP.PAYROLL.AV.SALES.L02","view_id":"vendor","report_row_id":"PAYROLL","weight":1},{"leg_id":"MAP.PAYROLL.AV.SALES.L02","view_id":"recurrence","report_row_id":"not_applicable","weight":1},{"leg_id":"MAP.PAYROLL.AV.SALES.L02","view_id":"commitment","report_row_id":"not_applicable","weight":1},{"leg_id":"MAP.PAYROLL.AV.SALES.L02","view_id":"behaviour","report_row_id":"not_applicable","weight":1}]},{"mapping_id":"MAP.PAYROLL.KV.MGMT","source_row_id":"PPL.KV","posting_owner":"People","stream":"CORPORATE","cost_centre":"MGMT","vendor_id":"PAYROLL","tax_code":"NONE","cash_class":"operating","classification":{"recurrence":"recurring","commitment":"committed","behaviour":"fixed"},"legs":[{"leg_id":"MAP.PAYROLL.KV.MGMT.L01","side":"debit","account_id":"GL.PEOPLE.KV","amount_component":"payroll_component"},{"leg_id":"MAP.PAYROLL.KV.MGMT.L02","side":"credit","account_id":"GL.CASH","amount_component":"payroll_component"}],"report_allocations":[{"leg_id":"MAP.PAYROLL.KV.MGMT.L01","view_id":"statement","report_row_id":"PNL.PEOPLE","weight":1},{"leg_id":"MAP.PAYROLL.KV.MGMT.L01","view_id":"nature","report_row_id":"people","weight":1},{"leg_id":"MAP.PAYROLL.KV.MGMT.L01","view_id":"function","report_row_id":"general_admin","weight":1},{"leg_id":"MAP.PAYROLL.KV.MGMT.L01","view_id":"cost_centre","report_row_id":"MGMT","weight":1},{"leg_id":"MAP.PAYROLL.KV.MGMT.L01","view_id":"vendor","report_row_id":"PAYROLL","weight":1},{"leg_id":"MAP.PAYROLL.KV.MGMT.L01","view_id":"recurrence","report_row_id":"recurring","weight":1},{"leg_id":"MAP.PAYROLL.KV.MGMT.L01","view_id":"commitment","report_row_id":"committed","weight":1},{"leg_id":"MAP.PAYROLL.KV.MGMT.L01","view_id":"behaviour","report_row_id":"fixed","weight":1},{"leg_id":"MAP.PAYROLL.KV.MGMT.L02","view_id":"statement","report_row_id":"BS.CASH","weight":1},{"leg_id":"MAP.PAYROLL.KV.MGMT.L02","view_id":"nature","report_row_id":"cash","weight":1},{"leg_id":"MAP.PAYROLL.KV.MGMT.L02","view_id":"function","report_row_id":"balance_sheet","weight":1},{"leg_id":"MAP.PAYROLL.KV.MGMT.L02","view_id":"cost_centre","report_row_id":"MGMT","weight":1},{"leg_id":"MAP.PAYROLL.KV.MGMT.L02","view_id":"vendor","report_row_id":"PAYROLL","weight":1},{"leg_id":"MAP.PAYROLL.KV.MGMT.L02","view_id":"recurrence","report_row_id":"not_applicable","weight":1},{"leg_id":"MAP.PAYROLL.KV.MGMT.L02","view_id":"commitment","report_row_id":"not_applicable","weight":1},{"leg_id":"MAP.PAYROLL.KV.MGMT.L02","view_id":"behaviour","report_row_id":"not_applicable","weight":1}]},{"mapping_id":"MAP.PAYROLL.KV.ENG","source_row_id":"PPL.KV","posting_owner":"People","stream":"CORPORATE","cost_centre":"ENG","vendor_id":"PAYROLL","tax_code":"NONE","cash_class":"operating","classification":{"recurrence":"recurring","commitment":"committed","behaviour":"fixed"},"legs":[{"leg_id":"MAP.PAYROLL.KV.ENG.L01","side":"debit","account_id":"GL.PEOPLE.KV","amount_component":"payroll_component"},{"leg_id":"MAP.PAYROLL.KV.ENG.L02","side":"credit","account_id":"GL.CASH","amount_component":"payroll_component"}],"report_allocations":[{"leg_id":"MAP.PAYROLL.KV.ENG.L01","view_id":"statement","report_row_id":"PNL.PEOPLE","weight":1},{"leg_id":"MAP.PAYROLL.KV.ENG.L01","view_id":"nature","report_row_id":"people","weight":1},{"leg_id":"MAP.PAYROLL.KV.ENG.L01","view_id":"function","report_row_id":"research_development","weight":1},{"leg_id":"MAP.PAYROLL.KV.ENG.L01","view_id":"cost_centre","report_row_id":"ENG","weight":1},{"leg_id":"MAP.PAYROLL.KV.ENG.L01","view_id":"vendor","report_row_id":"PAYROLL","weight":1},{"leg_id":"MAP.PAYROLL.KV.ENG.L01","view_id":"recurrence","report_row_id":"recurring","weight":1},{"leg_id":"MAP.PAYROLL.KV.ENG.L01","view_id":"commitment","report_row_id":"committed","weight":1},{"leg_id":"MAP.PAYROLL.KV.ENG.L01","view_id":"behaviour","report_row_id":"fixed","weight":1},{"leg_id":"MAP.PAYROLL.KV.ENG.L02","view_id":"statement","report_row_id":"BS.CASH","weight":1},{"leg_id":"MAP.PAYROLL.KV.ENG.L02","view_id":"nature","report_row_id":"cash","weight":1},{"leg_id":"MAP.PAYROLL.KV.ENG.L02","view_id":"function","report_row_id":"balance_sheet","weight":1},{"leg_id":"MAP.PAYROLL.KV.ENG.L02","view_id":"cost_centre","report_row_id":"ENG","weight":1},{"leg_id":"MAP.PAYROLL.KV.ENG.L02","view_id":"vendor","report_row_id":"PAYROLL","weight":1},{"leg_id":"MAP.PAYROLL.KV.ENG.L02","view_id":"recurrence","report_row_id":"not_applicable","weight":1},{"leg_id":"MAP.PAYROLL.KV.ENG.L02","view_id":"commitment","report_row_id":"not_applicable","weight":1},{"leg_id":"MAP.PAYROLL.KV.ENG.L02","view_id":"behaviour","report_row_id":"not_applicable","weight":1}]},{"mapping_id":"MAP.PAYROLL.KV.COMP","source_row_id":"PPL.KV","posting_owner":"People","stream":"CORPORATE","cost_centre":"COMP","vendor_id":"PAYROLL","tax_code":"NONE","cash_class":"operating","classification":{"recurrence":"recurring","commitment":"committed","behaviour":"fixed"},"legs":[{"leg_id":"MAP.PAYROLL.KV.COMP.L01","side":"debit","account_id":"GL.PEOPLE.KV","amount_component":"payroll_component"},{"leg_id":"MAP.PAYROLL.KV.COMP.L02","side":"credit","account_id":"GL.CASH","amount_component":"payroll_component"}],"report_allocations":[{"leg_id":"MAP.PAYROLL.KV.COMP.L01","view_id":"statement","report_row_id":"PNL.PEOPLE","weight":1},{"leg_id":"MAP.PAYROLL.KV.COMP.L01","view_id":"nature","report_row_id":"people","weight":1},{"leg_id":"MAP.PAYROLL.KV.COMP.L01","view_id":"function","report_row_id":"general_admin","weight":1},{"leg_id":"MAP.PAYROLL.KV.COMP.L01","view_id":"cost_centre","report_row_id":"COMP","weight":1},{"leg_id":"MAP.PAYROLL.KV.COMP.L01","view_id":"vendor","report_row_id":"PAYROLL","weight":1},{"leg_id":"MAP.PAYROLL.KV.COMP.L01","view_id":"recurrence","report_row_id":"recurring","weight":1},{"leg_id":"MAP.PAYROLL.KV.COMP.L01","view_id":"commitment","report_row_id":"committed","weight":1},{"leg_id":"MAP.PAYROLL.KV.COMP.L01","view_id":"behaviour","report_row_id":"fixed","weight":1},{"leg_id":"MAP.PAYROLL.KV.COMP.L02","view_id":"statement","report_row_id":"BS.CASH","weight":1},{"leg_id":"MAP.PAYROLL.KV.COMP.L02","view_id":"nature","report_row_id":"cash","weight":1},{"leg_id":"MAP.PAYROLL.KV.COMP.L02","view_id":"function","report_row_id":"balance_sheet","weight":1},{"leg_id":"MAP.PAYROLL.KV.COMP.L02","view_id":"cost_centre","report_row_id":"COMP","weight":1},{"leg_id":"MAP.PAYROLL.KV.COMP.L02","view_id":"vendor","report_row_id":"PAYROLL","weight":1},{"leg_id":"MAP.PAYROLL.KV.COMP.L02","view_id":"recurrence","report_row_id":"not_applicable","weight":1},{"leg_id":"MAP.PAYROLL.KV.COMP.L02","view_id":"commitment","report_row_id":"not_applicable","weight":1},{"leg_id":"MAP.PAYROLL.KV.COMP.L02","view_id":"behaviour","report_row_id":"not_applicable","weight":1}]},{"mapping_id":"MAP.PAYROLL.KV.PROD","source_row_id":"PPL.KV","posting_owner":"People","stream":"CORPORATE","cost_centre":"PROD","vendor_id":"PAYROLL","tax_code":"NONE","cash_class":"operating","classification":{"recurrence":"recurring","commitment":"committed","behaviour":"fixed"},"legs":[{"leg_id":"MAP.PAYROLL.KV.PROD.L01","side":"debit","account_id":"GL.PEOPLE.KV","amount_component":"payroll_component"},{"leg_id":"MAP.PAYROLL.KV.PROD.L02","side":"credit","account_id":"GL.CASH","amount_component":"payroll_component"}],"report_allocations":[{"leg_id":"MAP.PAYROLL.KV.PROD.L01","view_id":"statement","report_row_id":"PNL.PEOPLE","weight":1},{"leg_id":"MAP.PAYROLL.KV.PROD.L01","view_id":"nature","report_row_id":"people","weight":1},{"leg_id":"MAP.PAYROLL.KV.PROD.L01","view_id":"function","report_row_id":"research_development","weight":1},{"leg_id":"MAP.PAYROLL.KV.PROD.L01","view_id":"cost_centre","report_row_id":"PROD","weight":1},{"leg_id":"MAP.PAYROLL.KV.PROD.L01","view_id":"vendor","report_row_id":"PAYROLL","weight":1},{"leg_id":"MAP.PAYROLL.KV.PROD.L01","view_id":"recurrence","report_row_id":"recurring","weight":1},{"leg_id":"MAP.PAYROLL.KV.PROD.L01","view_id":"commitment","report_row_id":"committed","weight":1},{"leg_id":"MAP.PAYROLL.KV.PROD.L01","view_id":"behaviour","report_row_id":"fixed","weight":1},{"leg_id":"MAP.PAYROLL.KV.PROD.L02","view_id":"statement","report_row_id":"BS.CASH","weight":1},{"leg_id":"MAP.PAYROLL.KV.PROD.L02","view_id":"nature","report_row_id":"cash","weight":1},{"leg_id":"MAP.PAYROLL.KV.PROD.L02","view_id":"function","report_row_id":"balance_sheet","weight":1},{"leg_id":"MAP.PAYROLL.KV.PROD.L02","view_id":"cost_centre","report_row_id":"PROD","weight":1},{"leg_id":"MAP.PAYROLL.KV.PROD.L02","view_id":"vendor","report_row_id":"PAYROLL","weight":1},{"leg_id":"MAP.PAYROLL.KV.PROD.L02","view_id":"recurrence","report_row_id":"not_applicable","weight":1},{"leg_id":"MAP.PAYROLL.KV.PROD.L02","view_id":"commitment","report_row_id":"not_applicable","weight":1},{"leg_id":"MAP.PAYROLL.KV.PROD.L02","view_id":"behaviour","report_row_id":"not_applicable","weight":1}]},{"mapping_id":"MAP.PAYROLL.KV.MKT","source_row_id":"PPL.KV","posting_owner":"People","stream":"CORPORATE","cost_centre":"MKT","vendor_id":"PAYROLL","tax_code":"NONE","cash_class":"operating","classification":{"recurrence":"recurring","commitment":"committed","behaviour":"fixed"},"legs":[{"leg_id":"MAP.PAYROLL.KV.MKT.L01","side":"debit","account_id":"GL.PEOPLE.KV","amount_component":"payroll_component"},{"leg_id":"MAP.PAYROLL.KV.MKT.L02","side":"credit","account_id":"GL.CASH","amount_component":"payroll_component"}],"report_allocations":[{"leg_id":"MAP.PAYROLL.KV.MKT.L01","view_id":"statement","report_row_id":"PNL.PEOPLE","weight":1},{"leg_id":"MAP.PAYROLL.KV.MKT.L01","view_id":"nature","report_row_id":"people","weight":1},{"leg_id":"MAP.PAYROLL.KV.MKT.L01","view_id":"function","report_row_id":"sales_marketing","weight":1},{"leg_id":"MAP.PAYROLL.KV.MKT.L01","view_id":"cost_centre","report_row_id":"MKT","weight":1},{"leg_id":"MAP.PAYROLL.KV.MKT.L01","view_id":"vendor","report_row_id":"PAYROLL","weight":1},{"leg_id":"MAP.PAYROLL.KV.MKT.L01","view_id":"recurrence","report_row_id":"recurring","weight":1},{"leg_id":"MAP.PAYROLL.KV.MKT.L01","view_id":"commitment","report_row_id":"committed","weight":1},{"leg_id":"MAP.PAYROLL.KV.MKT.L01","view_id":"behaviour","report_row_id":"fixed","weight":1},{"leg_id":"MAP.PAYROLL.KV.MKT.L02","view_id":"statement","report_row_id":"BS.CASH","weight":1},{"leg_id":"MAP.PAYROLL.KV.MKT.L02","view_id":"nature","report_row_id":"cash","weight":1},{"leg_id":"MAP.PAYROLL.KV.MKT.L02","view_id":"function","report_row_id":"balance_sheet","weight":1},{"leg_id":"MAP.PAYROLL.KV.MKT.L02","view_id":"cost_centre","report_row_id":"MKT","weight":1},{"leg_id":"MAP.PAYROLL.KV.MKT.L02","view_id":"vendor","report_row_id":"PAYROLL","weight":1},{"leg_id":"MAP.PAYROLL.KV.MKT.L02","view_id":"recurrence","report_row_id":"not_applicable","weight":1},{"leg_id":"MAP.PAYROLL.KV.MKT.L02","view_id":"commitment","report_row_id":"not_applicable","weight":1},{"leg_id":"MAP.PAYROLL.KV.MKT.L02","view_id":"behaviour","report_row_id":"not_applicable","weight":1}]},{"mapping_id":"MAP.PAYROLL.KV.SUP","source_row_id":"PPL.KV","posting_owner":"People","stream":"CORPORATE","cost_centre":"SUP","vendor_id":"PAYROLL","tax_code":"NONE","cash_class":"operating","classification":{"recurrence":"recurring","commitment":"committed","behaviour":"fixed"},"legs":[{"leg_id":"MAP.PAYROLL.KV.SUP.L01","side":"debit","account_id":"GL.PEOPLE.KV","amount_component":"payroll_component"},{"leg_id":"MAP.PAYROLL.KV.SUP.L02","side":"credit","account_id":"GL.CASH","amount_component":"payroll_component"}],"report_allocations":[{"leg_id":"MAP.PAYROLL.KV.SUP.L01","view_id":"statement","report_row_id":"PNL.PEOPLE","weight":1},{"leg_id":"MAP.PAYROLL.KV.SUP.L01","view_id":"nature","report_row_id":"people","weight":1},{"leg_id":"MAP.PAYROLL.KV.SUP.L01","view_id":"function","report_row_id":"cost_of_revenue","weight":1},{"leg_id":"MAP.PAYROLL.KV.SUP.L01","view_id":"cost_centre","report_row_id":"SUP","weight":1},{"leg_id":"MAP.PAYROLL.KV.SUP.L01","view_id":"vendor","report_row_id":"PAYROLL","weight":1},{"leg_id":"MAP.PAYROLL.KV.SUP.L01","view_id":"recurrence","report_row_id":"recurring","weight":1},{"leg_id":"MAP.PAYROLL.KV.SUP.L01","view_id":"commitment","report_row_id":"committed","weight":1},{"leg_id":"MAP.PAYROLL.KV.SUP.L01","view_id":"behaviour","report_row_id":"fixed","weight":1},{"leg_id":"MAP.PAYROLL.KV.SUP.L02","view_id":"statement","report_row_id":"BS.CASH","weight":1},{"leg_id":"MAP.PAYROLL.KV.SUP.L02","view_id":"nature","report_row_id":"cash","weight":1},{"leg_id":"MAP.PAYROLL.KV.SUP.L02","view_id":"function","report_row_id":"balance_sheet","weight":1},{"leg_id":"MAP.PAYROLL.KV.SUP.L02","view_id":"cost_centre","report_row_id":"SUP","weight":1},{"leg_id":"MAP.PAYROLL.KV.SUP.L02","view_id":"vendor","report_row_id":"PAYROLL","weight":1},{"leg_id":"MAP.PAYROLL.KV.SUP.L02","view_id":"recurrence","report_row_id":"not_applicable","weight":1},{"leg_id":"MAP.PAYROLL.KV.SUP.L02","view_id":"commitment","report_row_id":"not_applicable","weight":1},{"leg_id":"MAP.PAYROLL.KV.SUP.L02","view_id":"behaviour","report_row_id":"not_applicable","weight":1}]},{"mapping_id":"MAP.PAYROLL.KV.FIN","source_row_id":"PPL.KV","posting_owner":"People","stream":"CORPORATE","cost_centre":"FIN","vendor_id":"PAYROLL","tax_code":"NONE","cash_class":"operating","classification":{"recurrence":"recurring","commitment":"committed","behaviour":"fixed"},"legs":[{"leg_id":"MAP.PAYROLL.KV.FIN.L01","side":"debit","account_id":"GL.PEOPLE.KV","amount_component":"payroll_component"},{"leg_id":"MAP.PAYROLL.KV.FIN.L02","side":"credit","account_id":"GL.CASH","amount_component":"payroll_component"}],"report_allocations":[{"leg_id":"MAP.PAYROLL.KV.FIN.L01","view_id":"statement","report_row_id":"PNL.PEOPLE","weight":1},{"leg_id":"MAP.PAYROLL.KV.FIN.L01","view_id":"nature","report_row_id":"people","weight":1},{"leg_id":"MAP.PAYROLL.KV.FIN.L01","view_id":"function","report_row_id":"general_admin","weight":1},{"leg_id":"MAP.PAYROLL.KV.FIN.L01","view_id":"cost_centre","report_row_id":"FIN","weight":1},{"leg_id":"MAP.PAYROLL.KV.FIN.L01","view_id":"vendor","report_row_id":"PAYROLL","weight":1},{"leg_id":"MAP.PAYROLL.KV.FIN.L01","view_id":"recurrence","report_row_id":"recurring","weight":1},{"leg_id":"MAP.PAYROLL.KV.FIN.L01","view_id":"commitment","report_row_id":"committed","weight":1},{"leg_id":"MAP.PAYROLL.KV.FIN.L01","view_id":"behaviour","report_row_id":"fixed","weight":1},{"leg_id":"MAP.PAYROLL.KV.FIN.L02","view_id":"statement","report_row_id":"BS.CASH","weight":1},{"leg_id":"MAP.PAYROLL.KV.FIN.L02","view_id":"nature","report_row_id":"cash","weight":1},{"leg_id":"MAP.PAYROLL.KV.FIN.L02","view_id":"function","report_row_id":"balance_sheet","weight":1},{"leg_id":"MAP.PAYROLL.KV.FIN.L02","view_id":"cost_centre","report_row_id":"FIN","weight":1},{"leg_id":"MAP.PAYROLL.KV.FIN.L02","view_id":"vendor","report_row_id":"PAYROLL","weight":1},{"leg_id":"MAP.PAYROLL.KV.FIN.L02","view_id":"recurrence","report_row_id":"not_applicable","weight":1},{"leg_id":"MAP.PAYROLL.KV.FIN.L02","view_id":"commitment","report_row_id":"not_applicable","weight":1},{"leg_id":"MAP.PAYROLL.KV.FIN.L02","view_id":"behaviour","report_row_id":"not_applicable","weight":1}]},{"mapping_id":"MAP.PAYROLL.KV.SALES","source_row_id":"PPL.KV","posting_owner":"People","stream":"CORPORATE","cost_centre":"SALES","vendor_id":"PAYROLL","tax_code":"NONE","cash_class":"operating","classification":{"recurrence":"recurring","commitment":"committed","behaviour":"fixed"},"legs":[{"leg_id":"MAP.PAYROLL.KV.SALES.L01","side":"debit","account_id":"GL.PEOPLE.KV","amount_component":"payroll_component"},{"leg_id":"MAP.PAYROLL.KV.SALES.L02","side":"credit","account_id":"GL.CASH","amount_component":"payroll_component"}],"report_allocations":[{"leg_id":"MAP.PAYROLL.KV.SALES.L01","view_id":"statement","report_row_id":"PNL.PEOPLE","weight":1},{"leg_id":"MAP.PAYROLL.KV.SALES.L01","view_id":"nature","report_row_id":"people","weight":1},{"leg_id":"MAP.PAYROLL.KV.SALES.L01","view_id":"function","report_row_id":"sales_marketing","weight":1},{"leg_id":"MAP.PAYROLL.KV.SALES.L01","view_id":"cost_centre","report_row_id":"SALES","weight":1},{"leg_id":"MAP.PAYROLL.KV.SALES.L01","view_id":"vendor","report_row_id":"PAYROLL","weight":1},{"leg_id":"MAP.PAYROLL.KV.SALES.L01","view_id":"recurrence","report_row_id":"recurring","weight":1},{"leg_id":"MAP.PAYROLL.KV.SALES.L01","view_id":"commitment","report_row_id":"committed","weight":1},{"leg_id":"MAP.PAYROLL.KV.SALES.L01","view_id":"behaviour","report_row_id":"fixed","weight":1},{"leg_id":"MAP.PAYROLL.KV.SALES.L02","view_id":"statement","report_row_id":"BS.CASH","weight":1},{"leg_id":"MAP.PAYROLL.KV.SALES.L02","view_id":"nature","report_row_id":"cash","weight":1},{"leg_id":"MAP.PAYROLL.KV.SALES.L02","view_id":"function","report_row_id":"balance_sheet","weight":1},{"leg_id":"MAP.PAYROLL.KV.SALES.L02","view_id":"cost_centre","report_row_id":"SALES","weight":1},{"leg_id":"MAP.PAYROLL.KV.SALES.L02","view_id":"vendor","report_row_id":"PAYROLL","weight":1},{"leg_id":"MAP.PAYROLL.KV.SALES.L02","view_id":"recurrence","report_row_id":"not_applicable","weight":1},{"leg_id":"MAP.PAYROLL.KV.SALES.L02","view_id":"commitment","report_row_id":"not_applicable","weight":1},{"leg_id":"MAP.PAYROLL.KV.SALES.L02","view_id":"behaviour","report_row_id":"not_applicable","weight":1}]},{"mapping_id":"MAP.PAYROLL.PV.MGMT","source_row_id":"PPL.PV","posting_owner":"People","stream":"CORPORATE","cost_centre":"MGMT","vendor_id":"PAYROLL","tax_code":"NONE","cash_class":"operating","classification":{"recurrence":"recurring","commitment":"committed","behaviour":"fixed"},"legs":[{"leg_id":"MAP.PAYROLL.PV.MGMT.L01","side":"debit","account_id":"GL.PEOPLE.PV","amount_component":"payroll_component"},{"leg_id":"MAP.PAYROLL.PV.MGMT.L02","side":"credit","account_id":"GL.CASH","amount_component":"payroll_component"}],"report_allocations":[{"leg_id":"MAP.PAYROLL.PV.MGMT.L01","view_id":"statement","report_row_id":"PNL.PEOPLE","weight":1},{"leg_id":"MAP.PAYROLL.PV.MGMT.L01","view_id":"nature","report_row_id":"people","weight":1},{"leg_id":"MAP.PAYROLL.PV.MGMT.L01","view_id":"function","report_row_id":"general_admin","weight":1},{"leg_id":"MAP.PAYROLL.PV.MGMT.L01","view_id":"cost_centre","report_row_id":"MGMT","weight":1},{"leg_id":"MAP.PAYROLL.PV.MGMT.L01","view_id":"vendor","report_row_id":"PAYROLL","weight":1},{"leg_id":"MAP.PAYROLL.PV.MGMT.L01","view_id":"recurrence","report_row_id":"recurring","weight":1},{"leg_id":"MAP.PAYROLL.PV.MGMT.L01","view_id":"commitment","report_row_id":"committed","weight":1},{"leg_id":"MAP.PAYROLL.PV.MGMT.L01","view_id":"behaviour","report_row_id":"fixed","weight":1},{"leg_id":"MAP.PAYROLL.PV.MGMT.L02","view_id":"statement","report_row_id":"BS.CASH","weight":1},{"leg_id":"MAP.PAYROLL.PV.MGMT.L02","view_id":"nature","report_row_id":"cash","weight":1},{"leg_id":"MAP.PAYROLL.PV.MGMT.L02","view_id":"function","report_row_id":"balance_sheet","weight":1},{"leg_id":"MAP.PAYROLL.PV.MGMT.L02","view_id":"cost_centre","report_row_id":"MGMT","weight":1},{"leg_id":"MAP.PAYROLL.PV.MGMT.L02","view_id":"vendor","report_row_id":"PAYROLL","weight":1},{"leg_id":"MAP.PAYROLL.PV.MGMT.L02","view_id":"recurrence","report_row_id":"not_applicable","weight":1},{"leg_id":"MAP.PAYROLL.PV.MGMT.L02","view_id":"commitment","report_row_id":"not_applicable","weight":1},{"leg_id":"MAP.PAYROLL.PV.MGMT.L02","view_id":"behaviour","report_row_id":"not_applicable","weight":1}]},{"mapping_id":"MAP.PAYROLL.PV.ENG","source_row_id":"PPL.PV","posting_owner":"People","stream":"CORPORATE","cost_centre":"ENG","vendor_id":"PAYROLL","tax_code":"NONE","cash_class":"operating","classification":{"recurrence":"recurring","commitment":"committed","behaviour":"fixed"},"legs":[{"leg_id":"MAP.PAYROLL.PV.ENG.L01","side":"debit","account_id":"GL.PEOPLE.PV","amount_component":"payroll_component"},{"leg_id":"MAP.PAYROLL.PV.ENG.L02","side":"credit","account_id":"GL.CASH","amount_component":"payroll_component"}],"report_allocations":[{"leg_id":"MAP.PAYROLL.PV.ENG.L01","view_id":"statement","report_row_id":"PNL.PEOPLE","weight":1},{"leg_id":"MAP.PAYROLL.PV.ENG.L01","view_id":"nature","report_row_id":"people","weight":1},{"leg_id":"MAP.PAYROLL.PV.ENG.L01","view_id":"function","report_row_id":"research_development","weight":1},{"leg_id":"MAP.PAYROLL.PV.ENG.L01","view_id":"cost_centre","report_row_id":"ENG","weight":1},{"leg_id":"MAP.PAYROLL.PV.ENG.L01","view_id":"vendor","report_row_id":"PAYROLL","weight":1},{"leg_id":"MAP.PAYROLL.PV.ENG.L01","view_id":"recurrence","report_row_id":"recurring","weight":1},{"leg_id":"MAP.PAYROLL.PV.ENG.L01","view_id":"commitment","report_row_id":"committed","weight":1},{"leg_id":"MAP.PAYROLL.PV.ENG.L01","view_id":"behaviour","report_row_id":"fixed","weight":1},{"leg_id":"MAP.PAYROLL.PV.ENG.L02","view_id":"statement","report_row_id":"BS.CASH","weight":1},{"leg_id":"MAP.PAYROLL.PV.ENG.L02","view_id":"nature","report_row_id":"cash","weight":1},{"leg_id":"MAP.PAYROLL.PV.ENG.L02","view_id":"function","report_row_id":"balance_sheet","weight":1},{"leg_id":"MAP.PAYROLL.PV.ENG.L02","view_id":"cost_centre","report_row_id":"ENG","weight":1},{"leg_id":"MAP.PAYROLL.PV.ENG.L02","view_id":"vendor","report_row_id":"PAYROLL","weight":1},{"leg_id":"MAP.PAYROLL.PV.ENG.L02","view_id":"recurrence","report_row_id":"not_applicable","weight":1},{"leg_id":"MAP.PAYROLL.PV.ENG.L02","view_id":"commitment","report_row_id":"not_applicable","weight":1},{"leg_id":"MAP.PAYROLL.PV.ENG.L02","view_id":"behaviour","report_row_id":"not_applicable","weight":1}]},{"mapping_id":"MAP.PAYROLL.PV.COMP","source_row_id":"PPL.PV","posting_owner":"People","stream":"CORPORATE","cost_centre":"COMP","vendor_id":"PAYROLL","tax_code":"NONE","cash_class":"operating","classification":{"recurrence":"recurring","commitment":"committed","behaviour":"fixed"},"legs":[{"leg_id":"MAP.PAYROLL.PV.COMP.L01","side":"debit","account_id":"GL.PEOPLE.PV","amount_component":"payroll_component"},{"leg_id":"MAP.PAYROLL.PV.COMP.L02","side":"credit","account_id":"GL.CASH","amount_component":"payroll_component"}],"report_allocations":[{"leg_id":"MAP.PAYROLL.PV.COMP.L01","view_id":"statement","report_row_id":"PNL.PEOPLE","weight":1},{"leg_id":"MAP.PAYROLL.PV.COMP.L01","view_id":"nature","report_row_id":"people","weight":1},{"leg_id":"MAP.PAYROLL.PV.COMP.L01","view_id":"function","report_row_id":"general_admin","weight":1},{"leg_id":"MAP.PAYROLL.PV.COMP.L01","view_id":"cost_centre","report_row_id":"COMP","weight":1},{"leg_id":"MAP.PAYROLL.PV.COMP.L01","view_id":"vendor","report_row_id":"PAYROLL","weight":1},{"leg_id":"MAP.PAYROLL.PV.COMP.L01","view_id":"recurrence","report_row_id":"recurring","weight":1},{"leg_id":"MAP.PAYROLL.PV.COMP.L01","view_id":"commitment","report_row_id":"committed","weight":1},{"leg_id":"MAP.PAYROLL.PV.COMP.L01","view_id":"behaviour","report_row_id":"fixed","weight":1},{"leg_id":"MAP.PAYROLL.PV.COMP.L02","view_id":"statement","report_row_id":"BS.CASH","weight":1},{"leg_id":"MAP.PAYROLL.PV.COMP.L02","view_id":"nature","report_row_id":"cash","weight":1},{"leg_id":"MAP.PAYROLL.PV.COMP.L02","view_id":"function","report_row_id":"balance_sheet","weight":1},{"leg_id":"MAP.PAYROLL.PV.COMP.L02","view_id":"cost_centre","report_row_id":"COMP","weight":1},{"leg_id":"MAP.PAYROLL.PV.COMP.L02","view_id":"vendor","report_row_id":"PAYROLL","weight":1},{"leg_id":"MAP.PAYROLL.PV.COMP.L02","view_id":"recurrence","report_row_id":"not_applicable","weight":1},{"leg_id":"MAP.PAYROLL.PV.COMP.L02","view_id":"commitment","report_row_id":"not_applicable","weight":1},{"leg_id":"MAP.PAYROLL.PV.COMP.L02","view_id":"behaviour","report_row_id":"not_applicable","weight":1}]},{"mapping_id":"MAP.PAYROLL.PV.PROD","source_row_id":"PPL.PV","posting_owner":"People","stream":"CORPORATE","cost_centre":"PROD","vendor_id":"PAYROLL","tax_code":"NONE","cash_class":"operating","classification":{"recurrence":"recurring","commitment":"committed","behaviour":"fixed"},"legs":[{"leg_id":"MAP.PAYROLL.PV.PROD.L01","side":"debit","account_id":"GL.PEOPLE.PV","amount_component":"payroll_component"},{"leg_id":"MAP.PAYROLL.PV.PROD.L02","side":"credit","account_id":"GL.CASH","amount_component":"payroll_component"}],"report_allocations":[{"leg_id":"MAP.PAYROLL.PV.PROD.L01","view_id":"statement","report_row_id":"PNL.PEOPLE","weight":1},{"leg_id":"MAP.PAYROLL.PV.PROD.L01","view_id":"nature","report_row_id":"people","weight":1},{"leg_id":"MAP.PAYROLL.PV.PROD.L01","view_id":"function","report_row_id":"research_development","weight":1},{"leg_id":"MAP.PAYROLL.PV.PROD.L01","view_id":"cost_centre","report_row_id":"PROD","weight":1},{"leg_id":"MAP.PAYROLL.PV.PROD.L01","view_id":"vendor","report_row_id":"PAYROLL","weight":1},{"leg_id":"MAP.PAYROLL.PV.PROD.L01","view_id":"recurrence","report_row_id":"recurring","weight":1},{"leg_id":"MAP.PAYROLL.PV.PROD.L01","view_id":"commitment","report_row_id":"committed","weight":1},{"leg_id":"MAP.PAYROLL.PV.PROD.L01","view_id":"behaviour","report_row_id":"fixed","weight":1},{"leg_id":"MAP.PAYROLL.PV.PROD.L02","view_id":"statement","report_row_id":"BS.CASH","weight":1},{"leg_id":"MAP.PAYROLL.PV.PROD.L02","view_id":"nature","report_row_id":"cash","weight":1},{"leg_id":"MAP.PAYROLL.PV.PROD.L02","view_id":"function","report_row_id":"balance_sheet","weight":1},{"leg_id":"MAP.PAYROLL.PV.PROD.L02","view_id":"cost_centre","report_row_id":"PROD","weight":1},{"leg_id":"MAP.PAYROLL.PV.PROD.L02","view_id":"vendor","report_row_id":"PAYROLL","weight":1},{"leg_id":"MAP.PAYROLL.PV.PROD.L02","view_id":"recurrence","report_row_id":"not_applicable","weight":1},{"leg_id":"MAP.PAYROLL.PV.PROD.L02","view_id":"commitment","report_row_id":"not_applicable","weight":1},{"leg_id":"MAP.PAYROLL.PV.PROD.L02","view_id":"behaviour","report_row_id":"not_applicable","weight":1}]},{"mapping_id":"MAP.PAYROLL.PV.MKT","source_row_id":"PPL.PV","posting_owner":"People","stream":"CORPORATE","cost_centre":"MKT","vendor_id":"PAYROLL","tax_code":"NONE","cash_class":"operating","classification":{"recurrence":"recurring","commitment":"committed","behaviour":"fixed"},"legs":[{"leg_id":"MAP.PAYROLL.PV.MKT.L01","side":"debit","account_id":"GL.PEOPLE.PV","amount_component":"payroll_component"},{"leg_id":"MAP.PAYROLL.PV.MKT.L02","side":"credit","account_id":"GL.CASH","amount_component":"payroll_component"}],"report_allocations":[{"leg_id":"MAP.PAYROLL.PV.MKT.L01","view_id":"statement","report_row_id":"PNL.PEOPLE","weight":1},{"leg_id":"MAP.PAYROLL.PV.MKT.L01","view_id":"nature","report_row_id":"people","weight":1},{"leg_id":"MAP.PAYROLL.PV.MKT.L01","view_id":"function","report_row_id":"sales_marketing","weight":1},{"leg_id":"MAP.PAYROLL.PV.MKT.L01","view_id":"cost_centre","report_row_id":"MKT","weight":1},{"leg_id":"MAP.PAYROLL.PV.MKT.L01","view_id":"vendor","report_row_id":"PAYROLL","weight":1},{"leg_id":"MAP.PAYROLL.PV.MKT.L01","view_id":"recurrence","report_row_id":"recurring","weight":1},{"leg_id":"MAP.PAYROLL.PV.MKT.L01","view_id":"commitment","report_row_id":"committed","weight":1},{"leg_id":"MAP.PAYROLL.PV.MKT.L01","view_id":"behaviour","report_row_id":"fixed","weight":1},{"leg_id":"MAP.PAYROLL.PV.MKT.L02","view_id":"statement","report_row_id":"BS.CASH","weight":1},{"leg_id":"MAP.PAYROLL.PV.MKT.L02","view_id":"nature","report_row_id":"cash","weight":1},{"leg_id":"MAP.PAYROLL.PV.MKT.L02","view_id":"function","report_row_id":"balance_sheet","weight":1},{"leg_id":"MAP.PAYROLL.PV.MKT.L02","view_id":"cost_centre","report_row_id":"MKT","weight":1},{"leg_id":"MAP.PAYROLL.PV.MKT.L02","view_id":"vendor","report_row_id":"PAYROLL","weight":1},{"leg_id":"MAP.PAYROLL.PV.MKT.L02","view_id":"recurrence","report_row_id":"not_applicable","weight":1},{"leg_id":"MAP.PAYROLL.PV.MKT.L02","view_id":"commitment","report_row_id":"not_applicable","weight":1},{"leg_id":"MAP.PAYROLL.PV.MKT.L02","view_id":"behaviour","report_row_id":"not_applicable","weight":1}]},{"mapping_id":"MAP.PAYROLL.PV.SUP","source_row_id":"PPL.PV","posting_owner":"People","stream":"CORPORATE","cost_centre":"SUP","vendor_id":"PAYROLL","tax_code":"NONE","cash_class":"operating","classification":{"recurrence":"recurring","commitment":"committed","behaviour":"fixed"},"legs":[{"leg_id":"MAP.PAYROLL.PV.SUP.L01","side":"debit","account_id":"GL.PEOPLE.PV","amount_component":"payroll_component"},{"leg_id":"MAP.PAYROLL.PV.SUP.L02","side":"credit","account_id":"GL.CASH","amount_component":"payroll_component"}],"report_allocations":[{"leg_id":"MAP.PAYROLL.PV.SUP.L01","view_id":"statement","report_row_id":"PNL.PEOPLE","weight":1},{"leg_id":"MAP.PAYROLL.PV.SUP.L01","view_id":"nature","report_row_id":"people","weight":1},{"leg_id":"MAP.PAYROLL.PV.SUP.L01","view_id":"function","report_row_id":"cost_of_revenue","weight":1},{"leg_id":"MAP.PAYROLL.PV.SUP.L01","view_id":"cost_centre","report_row_id":"SUP","weight":1},{"leg_id":"MAP.PAYROLL.PV.SUP.L01","view_id":"vendor","report_row_id":"PAYROLL","weight":1},{"leg_id":"MAP.PAYROLL.PV.SUP.L01","view_id":"recurrence","report_row_id":"recurring","weight":1},{"leg_id":"MAP.PAYROLL.PV.SUP.L01","view_id":"commitment","report_row_id":"committed","weight":1},{"leg_id":"MAP.PAYROLL.PV.SUP.L01","view_id":"behaviour","report_row_id":"fixed","weight":1},{"leg_id":"MAP.PAYROLL.PV.SUP.L02","view_id":"statement","report_row_id":"BS.CASH","weight":1},{"leg_id":"MAP.PAYROLL.PV.SUP.L02","view_id":"nature","report_row_id":"cash","weight":1},{"leg_id":"MAP.PAYROLL.PV.SUP.L02","view_id":"function","report_row_id":"balance_sheet","weight":1},{"leg_id":"MAP.PAYROLL.PV.SUP.L02","view_id":"cost_centre","report_row_id":"SUP","weight":1},{"leg_id":"MAP.PAYROLL.PV.SUP.L02","view_id":"vendor","report_row_id":"PAYROLL","weight":1},{"leg_id":"MAP.PAYROLL.PV.SUP.L02","view_id":"recurrence","report_row_id":"not_applicable","weight":1},{"leg_id":"MAP.PAYROLL.PV.SUP.L02","view_id":"commitment","report_row_id":"not_applicable","weight":1},{"leg_id":"MAP.PAYROLL.PV.SUP.L02","view_id":"behaviour","report_row_id":"not_applicable","weight":1}]},{"mapping_id":"MAP.PAYROLL.PV.FIN","source_row_id":"PPL.PV","posting_owner":"People","stream":"CORPORATE","cost_centre":"FIN","vendor_id":"PAYROLL","tax_code":"NONE","cash_class":"operating","classification":{"recurrence":"recurring","commitment":"committed","behaviour":"fixed"},"legs":[{"leg_id":"MAP.PAYROLL.PV.FIN.L01","side":"debit","account_id":"GL.PEOPLE.PV","amount_component":"payroll_component"},{"leg_id":"MAP.PAYROLL.PV.FIN.L02","side":"credit","account_id":"GL.CASH","amount_component":"payroll_component"}],"report_allocations":[{"leg_id":"MAP.PAYROLL.PV.FIN.L01","view_id":"statement","report_row_id":"PNL.PEOPLE","weight":1},{"leg_id":"MAP.PAYROLL.PV.FIN.L01","view_id":"nature","report_row_id":"people","weight":1},{"leg_id":"MAP.PAYROLL.PV.FIN.L01","view_id":"function","report_row_id":"general_admin","weight":1},{"leg_id":"MAP.PAYROLL.PV.FIN.L01","view_id":"cost_centre","report_row_id":"FIN","weight":1},{"leg_id":"MAP.PAYROLL.PV.FIN.L01","view_id":"vendor","report_row_id":"PAYROLL","weight":1},{"leg_id":"MAP.PAYROLL.PV.FIN.L01","view_id":"recurrence","report_row_id":"recurring","weight":1},{"leg_id":"MAP.PAYROLL.PV.FIN.L01","view_id":"commitment","report_row_id":"committed","weight":1},{"leg_id":"MAP.PAYROLL.PV.FIN.L01","view_id":"behaviour","report_row_id":"fixed","weight":1},{"leg_id":"MAP.PAYROLL.PV.FIN.L02","view_id":"statement","report_row_id":"BS.CASH","weight":1},{"leg_id":"MAP.PAYROLL.PV.FIN.L02","view_id":"nature","report_row_id":"cash","weight":1},{"leg_id":"MAP.PAYROLL.PV.FIN.L02","view_id":"function","report_row_id":"balance_sheet","weight":1},{"leg_id":"MAP.PAYROLL.PV.FIN.L02","view_id":"cost_centre","report_row_id":"FIN","weight":1},{"leg_id":"MAP.PAYROLL.PV.FIN.L02","view_id":"vendor","report_row_id":"PAYROLL","weight":1},{"leg_id":"MAP.PAYROLL.PV.FIN.L02","view_id":"recurrence","report_row_id":"not_applicable","weight":1},{"leg_id":"MAP.PAYROLL.PV.FIN.L02","view_id":"commitment","report_row_id":"not_applicable","weight":1},{"leg_id":"MAP.PAYROLL.PV.FIN.L02","view_id":"behaviour","report_row_id":"not_applicable","weight":1}]},{"mapping_id":"MAP.PAYROLL.PV.SALES","source_row_id":"PPL.PV","posting_owner":"People","stream":"CORPORATE","cost_centre":"SALES","vendor_id":"PAYROLL","tax_code":"NONE","cash_class":"operating","classification":{"recurrence":"recurring","commitment":"committed","behaviour":"fixed"},"legs":[{"leg_id":"MAP.PAYROLL.PV.SALES.L01","side":"debit","account_id":"GL.PEOPLE.PV","amount_component":"payroll_component"},{"leg_id":"MAP.PAYROLL.PV.SALES.L02","side":"credit","account_id":"GL.CASH","amount_component":"payroll_component"}],"report_allocations":[{"leg_id":"MAP.PAYROLL.PV.SALES.L01","view_id":"statement","report_row_id":"PNL.PEOPLE","weight":1},{"leg_id":"MAP.PAYROLL.PV.SALES.L01","view_id":"nature","report_row_id":"people","weight":1},{"leg_id":"MAP.PAYROLL.PV.SALES.L01","view_id":"function","report_row_id":"sales_marketing","weight":1},{"leg_id":"MAP.PAYROLL.PV.SALES.L01","view_id":"cost_centre","report_row_id":"SALES","weight":1},{"leg_id":"MAP.PAYROLL.PV.SALES.L01","view_id":"vendor","report_row_id":"PAYROLL","weight":1},{"leg_id":"MAP.PAYROLL.PV.SALES.L01","view_id":"recurrence","report_row_id":"recurring","weight":1},{"leg_id":"MAP.PAYROLL.PV.SALES.L01","view_id":"commitment","report_row_id":"committed","weight":1},{"leg_id":"MAP.PAYROLL.PV.SALES.L01","view_id":"behaviour","report_row_id":"fixed","weight":1},{"leg_id":"MAP.PAYROLL.PV.SALES.L02","view_id":"statement","report_row_id":"BS.CASH","weight":1},{"leg_id":"MAP.PAYROLL.PV.SALES.L02","view_id":"nature","report_row_id":"cash","weight":1},{"leg_id":"MAP.PAYROLL.PV.SALES.L02","view_id":"function","report_row_id":"balance_sheet","weight":1},{"leg_id":"MAP.PAYROLL.PV.SALES.L02","view_id":"cost_centre","report_row_id":"SALES","weight":1},{"leg_id":"MAP.PAYROLL.PV.SALES.L02","view_id":"vendor","report_row_id":"PAYROLL","weight":1},{"leg_id":"MAP.PAYROLL.PV.SALES.L02","view_id":"recurrence","report_row_id":"not_applicable","weight":1},{"leg_id":"MAP.PAYROLL.PV.SALES.L02","view_id":"commitment","report_row_id":"not_applicable","weight":1},{"leg_id":"MAP.PAYROLL.PV.SALES.L02","view_id":"behaviour","report_row_id":"not_applicable","weight":1}]},{"mapping_id":"MAP.PAYROLL.U1.MGMT","source_row_id":"PPL.U1","posting_owner":"People","stream":"CORPORATE","cost_centre":"MGMT","vendor_id":"PAYROLL","tax_code":"NONE","cash_class":"operating","classification":{"recurrence":"recurring","commitment":"committed","behaviour":"fixed"},"legs":[{"leg_id":"MAP.PAYROLL.U1.MGMT.L01","side":"debit","account_id":"GL.PEOPLE.U1","amount_component":"payroll_component"},{"leg_id":"MAP.PAYROLL.U1.MGMT.L02","side":"credit","account_id":"GL.CASH","amount_component":"payroll_component"}],"report_allocations":[{"leg_id":"MAP.PAYROLL.U1.MGMT.L01","view_id":"statement","report_row_id":"PNL.PEOPLE","weight":1},{"leg_id":"MAP.PAYROLL.U1.MGMT.L01","view_id":"nature","report_row_id":"people","weight":1},{"leg_id":"MAP.PAYROLL.U1.MGMT.L01","view_id":"function","report_row_id":"general_admin","weight":1},{"leg_id":"MAP.PAYROLL.U1.MGMT.L01","view_id":"cost_centre","report_row_id":"MGMT","weight":1},{"leg_id":"MAP.PAYROLL.U1.MGMT.L01","view_id":"vendor","report_row_id":"PAYROLL","weight":1},{"leg_id":"MAP.PAYROLL.U1.MGMT.L01","view_id":"recurrence","report_row_id":"recurring","weight":1},{"leg_id":"MAP.PAYROLL.U1.MGMT.L01","view_id":"commitment","report_row_id":"committed","weight":1},{"leg_id":"MAP.PAYROLL.U1.MGMT.L01","view_id":"behaviour","report_row_id":"fixed","weight":1},{"leg_id":"MAP.PAYROLL.U1.MGMT.L02","view_id":"statement","report_row_id":"BS.CASH","weight":1},{"leg_id":"MAP.PAYROLL.U1.MGMT.L02","view_id":"nature","report_row_id":"cash","weight":1},{"leg_id":"MAP.PAYROLL.U1.MGMT.L02","view_id":"function","report_row_id":"balance_sheet","weight":1},{"leg_id":"MAP.PAYROLL.U1.MGMT.L02","view_id":"cost_centre","report_row_id":"MGMT","weight":1},{"leg_id":"MAP.PAYROLL.U1.MGMT.L02","view_id":"vendor","report_row_id":"PAYROLL","weight":1},{"leg_id":"MAP.PAYROLL.U1.MGMT.L02","view_id":"recurrence","report_row_id":"not_applicable","weight":1},{"leg_id":"MAP.PAYROLL.U1.MGMT.L02","view_id":"commitment","report_row_id":"not_applicable","weight":1},{"leg_id":"MAP.PAYROLL.U1.MGMT.L02","view_id":"behaviour","report_row_id":"not_applicable","weight":1}]},{"mapping_id":"MAP.PAYROLL.U1.ENG","source_row_id":"PPL.U1","posting_owner":"People","stream":"CORPORATE","cost_centre":"ENG","vendor_id":"PAYROLL","tax_code":"NONE","cash_class":"operating","classification":{"recurrence":"recurring","commitment":"committed","behaviour":"fixed"},"legs":[{"leg_id":"MAP.PAYROLL.U1.ENG.L01","side":"debit","account_id":"GL.PEOPLE.U1","amount_component":"payroll_component"},{"leg_id":"MAP.PAYROLL.U1.ENG.L02","side":"credit","account_id":"GL.CASH","amount_component":"payroll_component"}],"report_allocations":[{"leg_id":"MAP.PAYROLL.U1.ENG.L01","view_id":"statement","report_row_id":"PNL.PEOPLE","weight":1},{"leg_id":"MAP.PAYROLL.U1.ENG.L01","view_id":"nature","report_row_id":"people","weight":1},{"leg_id":"MAP.PAYROLL.U1.ENG.L01","view_id":"function","report_row_id":"research_development","weight":1},{"leg_id":"MAP.PAYROLL.U1.ENG.L01","view_id":"cost_centre","report_row_id":"ENG","weight":1},{"leg_id":"MAP.PAYROLL.U1.ENG.L01","view_id":"vendor","report_row_id":"PAYROLL","weight":1},{"leg_id":"MAP.PAYROLL.U1.ENG.L01","view_id":"recurrence","report_row_id":"recurring","weight":1},{"leg_id":"MAP.PAYROLL.U1.ENG.L01","view_id":"commitment","report_row_id":"committed","weight":1},{"leg_id":"MAP.PAYROLL.U1.ENG.L01","view_id":"behaviour","report_row_id":"fixed","weight":1},{"leg_id":"MAP.PAYROLL.U1.ENG.L02","view_id":"statement","report_row_id":"BS.CASH","weight":1},{"leg_id":"MAP.PAYROLL.U1.ENG.L02","view_id":"nature","report_row_id":"cash","weight":1},{"leg_id":"MAP.PAYROLL.U1.ENG.L02","view_id":"function","report_row_id":"balance_sheet","weight":1},{"leg_id":"MAP.PAYROLL.U1.ENG.L02","view_id":"cost_centre","report_row_id":"ENG","weight":1},{"leg_id":"MAP.PAYROLL.U1.ENG.L02","view_id":"vendor","report_row_id":"PAYROLL","weight":1},{"leg_id":"MAP.PAYROLL.U1.ENG.L02","view_id":"recurrence","report_row_id":"not_applicable","weight":1},{"leg_id":"MAP.PAYROLL.U1.ENG.L02","view_id":"commitment","report_row_id":"not_applicable","weight":1},{"leg_id":"MAP.PAYROLL.U1.ENG.L02","view_id":"behaviour","report_row_id":"not_applicable","weight":1}]},{"mapping_id":"MAP.PAYROLL.U1.COMP","source_row_id":"PPL.U1","posting_owner":"People","stream":"CORPORATE","cost_centre":"COMP","vendor_id":"PAYROLL","tax_code":"NONE","cash_class":"operating","classification":{"recurrence":"recurring","commitment":"committed","behaviour":"fixed"},"legs":[{"leg_id":"MAP.PAYROLL.U1.COMP.L01","side":"debit","account_id":"GL.PEOPLE.U1","amount_component":"payroll_component"},{"leg_id":"MAP.PAYROLL.U1.COMP.L02","side":"credit","account_id":"GL.CASH","amount_component":"payroll_component"}],"report_allocations":[{"leg_id":"MAP.PAYROLL.U1.COMP.L01","view_id":"statement","report_row_id":"PNL.PEOPLE","weight":1},{"leg_id":"MAP.PAYROLL.U1.COMP.L01","view_id":"nature","report_row_id":"people","weight":1},{"leg_id":"MAP.PAYROLL.U1.COMP.L01","view_id":"function","report_row_id":"general_admin","weight":1},{"leg_id":"MAP.PAYROLL.U1.COMP.L01","view_id":"cost_centre","report_row_id":"COMP","weight":1},{"leg_id":"MAP.PAYROLL.U1.COMP.L01","view_id":"vendor","report_row_id":"PAYROLL","weight":1},{"leg_id":"MAP.PAYROLL.U1.COMP.L01","view_id":"recurrence","report_row_id":"recurring","weight":1},{"leg_id":"MAP.PAYROLL.U1.COMP.L01","view_id":"commitment","report_row_id":"committed","weight":1},{"leg_id":"MAP.PAYROLL.U1.COMP.L01","view_id":"behaviour","report_row_id":"fixed","weight":1},{"leg_id":"MAP.PAYROLL.U1.COMP.L02","view_id":"statement","report_row_id":"BS.CASH","weight":1},{"leg_id":"MAP.PAYROLL.U1.COMP.L02","view_id":"nature","report_row_id":"cash","weight":1},{"leg_id":"MAP.PAYROLL.U1.COMP.L02","view_id":"function","report_row_id":"balance_sheet","weight":1},{"leg_id":"MAP.PAYROLL.U1.COMP.L02","view_id":"cost_centre","report_row_id":"COMP","weight":1},{"leg_id":"MAP.PAYROLL.U1.COMP.L02","view_id":"vendor","report_row_id":"PAYROLL","weight":1},{"leg_id":"MAP.PAYROLL.U1.COMP.L02","view_id":"recurrence","report_row_id":"not_applicable","weight":1},{"leg_id":"MAP.PAYROLL.U1.COMP.L02","view_id":"commitment","report_row_id":"not_applicable","weight":1},{"leg_id":"MAP.PAYROLL.U1.COMP.L02","view_id":"behaviour","report_row_id":"not_applicable","weight":1}]},{"mapping_id":"MAP.PAYROLL.U1.PROD","source_row_id":"PPL.U1","posting_owner":"People","stream":"CORPORATE","cost_centre":"PROD","vendor_id":"PAYROLL","tax_code":"NONE","cash_class":"operating","classification":{"recurrence":"recurring","commitment":"committed","behaviour":"fixed"},"legs":[{"leg_id":"MAP.PAYROLL.U1.PROD.L01","side":"debit","account_id":"GL.PEOPLE.U1","amount_component":"payroll_component"},{"leg_id":"MAP.PAYROLL.U1.PROD.L02","side":"credit","account_id":"GL.CASH","amount_component":"payroll_component"}],"report_allocations":[{"leg_id":"MAP.PAYROLL.U1.PROD.L01","view_id":"statement","report_row_id":"PNL.PEOPLE","weight":1},{"leg_id":"MAP.PAYROLL.U1.PROD.L01","view_id":"nature","report_row_id":"people","weight":1},{"leg_id":"MAP.PAYROLL.U1.PROD.L01","view_id":"function","report_row_id":"research_development","weight":1},{"leg_id":"MAP.PAYROLL.U1.PROD.L01","view_id":"cost_centre","report_row_id":"PROD","weight":1},{"leg_id":"MAP.PAYROLL.U1.PROD.L01","view_id":"vendor","report_row_id":"PAYROLL","weight":1},{"leg_id":"MAP.PAYROLL.U1.PROD.L01","view_id":"recurrence","report_row_id":"recurring","weight":1},{"leg_id":"MAP.PAYROLL.U1.PROD.L01","view_id":"commitment","report_row_id":"committed","weight":1},{"leg_id":"MAP.PAYROLL.U1.PROD.L01","view_id":"behaviour","report_row_id":"fixed","weight":1},{"leg_id":"MAP.PAYROLL.U1.PROD.L02","view_id":"statement","report_row_id":"BS.CASH","weight":1},{"leg_id":"MAP.PAYROLL.U1.PROD.L02","view_id":"nature","report_row_id":"cash","weight":1},{"leg_id":"MAP.PAYROLL.U1.PROD.L02","view_id":"function","report_row_id":"balance_sheet","weight":1},{"leg_id":"MAP.PAYROLL.U1.PROD.L02","view_id":"cost_centre","report_row_id":"PROD","weight":1},{"leg_id":"MAP.PAYROLL.U1.PROD.L02","view_id":"vendor","report_row_id":"PAYROLL","weight":1},{"leg_id":"MAP.PAYROLL.U1.PROD.L02","view_id":"recurrence","report_row_id":"not_applicable","weight":1},{"leg_id":"MAP.PAYROLL.U1.PROD.L02","view_id":"commitment","report_row_id":"not_applicable","weight":1},{"leg_id":"MAP.PAYROLL.U1.PROD.L02","view_id":"behaviour","report_row_id":"not_applicable","weight":1}]},{"mapping_id":"MAP.PAYROLL.U1.MKT","source_row_id":"PPL.U1","posting_owner":"People","stream":"CORPORATE","cost_centre":"MKT","vendor_id":"PAYROLL","tax_code":"NONE","cash_class":"operating","classification":{"recurrence":"recurring","commitment":"committed","behaviour":"fixed"},"legs":[{"leg_id":"MAP.PAYROLL.U1.MKT.L01","side":"debit","account_id":"GL.PEOPLE.U1","amount_component":"payroll_component"},{"leg_id":"MAP.PAYROLL.U1.MKT.L02","side":"credit","account_id":"GL.CASH","amount_component":"payroll_component"}],"report_allocations":[{"leg_id":"MAP.PAYROLL.U1.MKT.L01","view_id":"statement","report_row_id":"PNL.PEOPLE","weight":1},{"leg_id":"MAP.PAYROLL.U1.MKT.L01","view_id":"nature","report_row_id":"people","weight":1},{"leg_id":"MAP.PAYROLL.U1.MKT.L01","view_id":"function","report_row_id":"sales_marketing","weight":1},{"leg_id":"MAP.PAYROLL.U1.MKT.L01","view_id":"cost_centre","report_row_id":"MKT","weight":1},{"leg_id":"MAP.PAYROLL.U1.MKT.L01","view_id":"vendor","report_row_id":"PAYROLL","weight":1},{"leg_id":"MAP.PAYROLL.U1.MKT.L01","view_id":"recurrence","report_row_id":"recurring","weight":1},{"leg_id":"MAP.PAYROLL.U1.MKT.L01","view_id":"commitment","report_row_id":"committed","weight":1},{"leg_id":"MAP.PAYROLL.U1.MKT.L01","view_id":"behaviour","report_row_id":"fixed","weight":1},{"leg_id":"MAP.PAYROLL.U1.MKT.L02","view_id":"statement","report_row_id":"BS.CASH","weight":1},{"leg_id":"MAP.PAYROLL.U1.MKT.L02","view_id":"nature","report_row_id":"cash","weight":1},{"leg_id":"MAP.PAYROLL.U1.MKT.L02","view_id":"function","report_row_id":"balance_sheet","weight":1},{"leg_id":"MAP.PAYROLL.U1.MKT.L02","view_id":"cost_centre","report_row_id":"MKT","weight":1},{"leg_id":"MAP.PAYROLL.U1.MKT.L02","view_id":"vendor","report_row_id":"PAYROLL","weight":1},{"leg_id":"MAP.PAYROLL.U1.MKT.L02","view_id":"recurrence","report_row_id":"not_applicable","weight":1},{"leg_id":"MAP.PAYROLL.U1.MKT.L02","view_id":"commitment","report_row_id":"not_applicable","weight":1},{"leg_id":"MAP.PAYROLL.U1.MKT.L02","view_id":"behaviour","report_row_id":"not_applicable","weight":1}]},{"mapping_id":"MAP.PAYROLL.U1.SUP","source_row_id":"PPL.U1","posting_owner":"People","stream":"CORPORATE","cost_centre":"SUP","vendor_id":"PAYROLL","tax_code":"NONE","cash_class":"operating","classification":{"recurrence":"recurring","commitment":"committed","behaviour":"fixed"},"legs":[{"leg_id":"MAP.PAYROLL.U1.SUP.L01","side":"debit","account_id":"GL.PEOPLE.U1","amount_component":"payroll_component"},{"leg_id":"MAP.PAYROLL.U1.SUP.L02","side":"credit","account_id":"GL.CASH","amount_component":"payroll_component"}],"report_allocations":[{"leg_id":"MAP.PAYROLL.U1.SUP.L01","view_id":"statement","report_row_id":"PNL.PEOPLE","weight":1},{"leg_id":"MAP.PAYROLL.U1.SUP.L01","view_id":"nature","report_row_id":"people","weight":1},{"leg_id":"MAP.PAYROLL.U1.SUP.L01","view_id":"function","report_row_id":"cost_of_revenue","weight":1},{"leg_id":"MAP.PAYROLL.U1.SUP.L01","view_id":"cost_centre","report_row_id":"SUP","weight":1},{"leg_id":"MAP.PAYROLL.U1.SUP.L01","view_id":"vendor","report_row_id":"PAYROLL","weight":1},{"leg_id":"MAP.PAYROLL.U1.SUP.L01","view_id":"recurrence","report_row_id":"recurring","weight":1},{"leg_id":"MAP.PAYROLL.U1.SUP.L01","view_id":"commitment","report_row_id":"committed","weight":1},{"leg_id":"MAP.PAYROLL.U1.SUP.L01","view_id":"behaviour","report_row_id":"fixed","weight":1},{"leg_id":"MAP.PAYROLL.U1.SUP.L02","view_id":"statement","report_row_id":"BS.CASH","weight":1},{"leg_id":"MAP.PAYROLL.U1.SUP.L02","view_id":"nature","report_row_id":"cash","weight":1},{"leg_id":"MAP.PAYROLL.U1.SUP.L02","view_id":"function","report_row_id":"balance_sheet","weight":1},{"leg_id":"MAP.PAYROLL.U1.SUP.L02","view_id":"cost_centre","report_row_id":"SUP","weight":1},{"leg_id":"MAP.PAYROLL.U1.SUP.L02","view_id":"vendor","report_row_id":"PAYROLL","weight":1},{"leg_id":"MAP.PAYROLL.U1.SUP.L02","view_id":"recurrence","report_row_id":"not_applicable","weight":1},{"leg_id":"MAP.PAYROLL.U1.SUP.L02","view_id":"commitment","report_row_id":"not_applicable","weight":1},{"leg_id":"MAP.PAYROLL.U1.SUP.L02","view_id":"behaviour","report_row_id":"not_applicable","weight":1}]},{"mapping_id":"MAP.PAYROLL.U1.FIN","source_row_id":"PPL.U1","posting_owner":"People","stream":"CORPORATE","cost_centre":"FIN","vendor_id":"PAYROLL","tax_code":"NONE","cash_class":"operating","classification":{"recurrence":"recurring","commitment":"committed","behaviour":"fixed"},"legs":[{"leg_id":"MAP.PAYROLL.U1.FIN.L01","side":"debit","account_id":"GL.PEOPLE.U1","amount_component":"payroll_component"},{"leg_id":"MAP.PAYROLL.U1.FIN.L02","side":"credit","account_id":"GL.CASH","amount_component":"payroll_component"}],"report_allocations":[{"leg_id":"MAP.PAYROLL.U1.FIN.L01","view_id":"statement","report_row_id":"PNL.PEOPLE","weight":1},{"leg_id":"MAP.PAYROLL.U1.FIN.L01","view_id":"nature","report_row_id":"people","weight":1},{"leg_id":"MAP.PAYROLL.U1.FIN.L01","view_id":"function","report_row_id":"general_admin","weight":1},{"leg_id":"MAP.PAYROLL.U1.FIN.L01","view_id":"cost_centre","report_row_id":"FIN","weight":1},{"leg_id":"MAP.PAYROLL.U1.FIN.L01","view_id":"vendor","report_row_id":"PAYROLL","weight":1},{"leg_id":"MAP.PAYROLL.U1.FIN.L01","view_id":"recurrence","report_row_id":"recurring","weight":1},{"leg_id":"MAP.PAYROLL.U1.FIN.L01","view_id":"commitment","report_row_id":"committed","weight":1},{"leg_id":"MAP.PAYROLL.U1.FIN.L01","view_id":"behaviour","report_row_id":"fixed","weight":1},{"leg_id":"MAP.PAYROLL.U1.FIN.L02","view_id":"statement","report_row_id":"BS.CASH","weight":1},{"leg_id":"MAP.PAYROLL.U1.FIN.L02","view_id":"nature","report_row_id":"cash","weight":1},{"leg_id":"MAP.PAYROLL.U1.FIN.L02","view_id":"function","report_row_id":"balance_sheet","weight":1},{"leg_id":"MAP.PAYROLL.U1.FIN.L02","view_id":"cost_centre","report_row_id":"FIN","weight":1},{"leg_id":"MAP.PAYROLL.U1.FIN.L02","view_id":"vendor","report_row_id":"PAYROLL","weight":1},{"leg_id":"MAP.PAYROLL.U1.FIN.L02","view_id":"recurrence","report_row_id":"not_applicable","weight":1},{"leg_id":"MAP.PAYROLL.U1.FIN.L02","view_id":"commitment","report_row_id":"not_applicable","weight":1},{"leg_id":"MAP.PAYROLL.U1.FIN.L02","view_id":"behaviour","report_row_id":"not_applicable","weight":1}]},{"mapping_id":"MAP.PAYROLL.U1.SALES","source_row_id":"PPL.U1","posting_owner":"People","stream":"CORPORATE","cost_centre":"SALES","vendor_id":"PAYROLL","tax_code":"NONE","cash_class":"operating","classification":{"recurrence":"recurring","commitment":"committed","behaviour":"fixed"},"legs":[{"leg_id":"MAP.PAYROLL.U1.SALES.L01","side":"debit","account_id":"GL.PEOPLE.U1","amount_component":"payroll_component"},{"leg_id":"MAP.PAYROLL.U1.SALES.L02","side":"credit","account_id":"GL.CASH","amount_component":"payroll_component"}],"report_allocations":[{"leg_id":"MAP.PAYROLL.U1.SALES.L01","view_id":"statement","report_row_id":"PNL.PEOPLE","weight":1},{"leg_id":"MAP.PAYROLL.U1.SALES.L01","view_id":"nature","report_row_id":"people","weight":1},{"leg_id":"MAP.PAYROLL.U1.SALES.L01","view_id":"function","report_row_id":"sales_marketing","weight":1},{"leg_id":"MAP.PAYROLL.U1.SALES.L01","view_id":"cost_centre","report_row_id":"SALES","weight":1},{"leg_id":"MAP.PAYROLL.U1.SALES.L01","view_id":"vendor","report_row_id":"PAYROLL","weight":1},{"leg_id":"MAP.PAYROLL.U1.SALES.L01","view_id":"recurrence","report_row_id":"recurring","weight":1},{"leg_id":"MAP.PAYROLL.U1.SALES.L01","view_id":"commitment","report_row_id":"committed","weight":1},{"leg_id":"MAP.PAYROLL.U1.SALES.L01","view_id":"behaviour","report_row_id":"fixed","weight":1},{"leg_id":"MAP.PAYROLL.U1.SALES.L02","view_id":"statement","report_row_id":"BS.CASH","weight":1},{"leg_id":"MAP.PAYROLL.U1.SALES.L02","view_id":"nature","report_row_id":"cash","weight":1},{"leg_id":"MAP.PAYROLL.U1.SALES.L02","view_id":"function","report_row_id":"balance_sheet","weight":1},{"leg_id":"MAP.PAYROLL.U1.SALES.L02","view_id":"cost_centre","report_row_id":"SALES","weight":1},{"leg_id":"MAP.PAYROLL.U1.SALES.L02","view_id":"vendor","report_row_id":"PAYROLL","weight":1},{"leg_id":"MAP.PAYROLL.U1.SALES.L02","view_id":"recurrence","report_row_id":"not_applicable","weight":1},{"leg_id":"MAP.PAYROLL.U1.SALES.L02","view_id":"commitment","report_row_id":"not_applicable","weight":1},{"leg_id":"MAP.PAYROLL.U1.SALES.L02","view_id":"behaviour","report_row_id":"not_applicable","weight":1}]},{"mapping_id":"MAP.PAYROLL.U2.MGMT","source_row_id":"PPL.U2","posting_owner":"People","stream":"CORPORATE","cost_centre":"MGMT","vendor_id":"PAYROLL","tax_code":"NONE","cash_class":"operating","classification":{"recurrence":"recurring","commitment":"committed","behaviour":"fixed"},"legs":[{"leg_id":"MAP.PAYROLL.U2.MGMT.L01","side":"debit","account_id":"GL.PEOPLE.U2","amount_component":"payroll_component"},{"leg_id":"MAP.PAYROLL.U2.MGMT.L02","side":"credit","account_id":"GL.CASH","amount_component":"payroll_component"}],"report_allocations":[{"leg_id":"MAP.PAYROLL.U2.MGMT.L01","view_id":"statement","report_row_id":"PNL.PEOPLE","weight":1},{"leg_id":"MAP.PAYROLL.U2.MGMT.L01","view_id":"nature","report_row_id":"people","weight":1},{"leg_id":"MAP.PAYROLL.U2.MGMT.L01","view_id":"function","report_row_id":"general_admin","weight":1},{"leg_id":"MAP.PAYROLL.U2.MGMT.L01","view_id":"cost_centre","report_row_id":"MGMT","weight":1},{"leg_id":"MAP.PAYROLL.U2.MGMT.L01","view_id":"vendor","report_row_id":"PAYROLL","weight":1},{"leg_id":"MAP.PAYROLL.U2.MGMT.L01","view_id":"recurrence","report_row_id":"recurring","weight":1},{"leg_id":"MAP.PAYROLL.U2.MGMT.L01","view_id":"commitment","report_row_id":"committed","weight":1},{"leg_id":"MAP.PAYROLL.U2.MGMT.L01","view_id":"behaviour","report_row_id":"fixed","weight":1},{"leg_id":"MAP.PAYROLL.U2.MGMT.L02","view_id":"statement","report_row_id":"BS.CASH","weight":1},{"leg_id":"MAP.PAYROLL.U2.MGMT.L02","view_id":"nature","report_row_id":"cash","weight":1},{"leg_id":"MAP.PAYROLL.U2.MGMT.L02","view_id":"function","report_row_id":"balance_sheet","weight":1},{"leg_id":"MAP.PAYROLL.U2.MGMT.L02","view_id":"cost_centre","report_row_id":"MGMT","weight":1},{"leg_id":"MAP.PAYROLL.U2.MGMT.L02","view_id":"vendor","report_row_id":"PAYROLL","weight":1},{"leg_id":"MAP.PAYROLL.U2.MGMT.L02","view_id":"recurrence","report_row_id":"not_applicable","weight":1},{"leg_id":"MAP.PAYROLL.U2.MGMT.L02","view_id":"commitment","report_row_id":"not_applicable","weight":1},{"leg_id":"MAP.PAYROLL.U2.MGMT.L02","view_id":"behaviour","report_row_id":"not_applicable","weight":1}]},{"mapping_id":"MAP.PAYROLL.U2.ENG","source_row_id":"PPL.U2","posting_owner":"People","stream":"CORPORATE","cost_centre":"ENG","vendor_id":"PAYROLL","tax_code":"NONE","cash_class":"operating","classification":{"recurrence":"recurring","commitment":"committed","behaviour":"fixed"},"legs":[{"leg_id":"MAP.PAYROLL.U2.ENG.L01","side":"debit","account_id":"GL.PEOPLE.U2","amount_component":"payroll_component"},{"leg_id":"MAP.PAYROLL.U2.ENG.L02","side":"credit","account_id":"GL.CASH","amount_component":"payroll_component"}],"report_allocations":[{"leg_id":"MAP.PAYROLL.U2.ENG.L01","view_id":"statement","report_row_id":"PNL.PEOPLE","weight":1},{"leg_id":"MAP.PAYROLL.U2.ENG.L01","view_id":"nature","report_row_id":"people","weight":1},{"leg_id":"MAP.PAYROLL.U2.ENG.L01","view_id":"function","report_row_id":"research_development","weight":1},{"leg_id":"MAP.PAYROLL.U2.ENG.L01","view_id":"cost_centre","report_row_id":"ENG","weight":1},{"leg_id":"MAP.PAYROLL.U2.ENG.L01","view_id":"vendor","report_row_id":"PAYROLL","weight":1},{"leg_id":"MAP.PAYROLL.U2.ENG.L01","view_id":"recurrence","report_row_id":"recurring","weight":1},{"leg_id":"MAP.PAYROLL.U2.ENG.L01","view_id":"commitment","report_row_id":"committed","weight":1},{"leg_id":"MAP.PAYROLL.U2.ENG.L01","view_id":"behaviour","report_row_id":"fixed","weight":1},{"leg_id":"MAP.PAYROLL.U2.ENG.L02","view_id":"statement","report_row_id":"BS.CASH","weight":1},{"leg_id":"MAP.PAYROLL.U2.ENG.L02","view_id":"nature","report_row_id":"cash","weight":1},{"leg_id":"MAP.PAYROLL.U2.ENG.L02","view_id":"function","report_row_id":"balance_sheet","weight":1},{"leg_id":"MAP.PAYROLL.U2.ENG.L02","view_id":"cost_centre","report_row_id":"ENG","weight":1},{"leg_id":"MAP.PAYROLL.U2.ENG.L02","view_id":"vendor","report_row_id":"PAYROLL","weight":1},{"leg_id":"MAP.PAYROLL.U2.ENG.L02","view_id":"recurrence","report_row_id":"not_applicable","weight":1},{"leg_id":"MAP.PAYROLL.U2.ENG.L02","view_id":"commitment","report_row_id":"not_applicable","weight":1},{"leg_id":"MAP.PAYROLL.U2.ENG.L02","view_id":"behaviour","report_row_id":"not_applicable","weight":1}]},{"mapping_id":"MAP.PAYROLL.U2.COMP","source_row_id":"PPL.U2","posting_owner":"People","stream":"CORPORATE","cost_centre":"COMP","vendor_id":"PAYROLL","tax_code":"NONE","cash_class":"operating","classification":{"recurrence":"recurring","commitment":"committed","behaviour":"fixed"},"legs":[{"leg_id":"MAP.PAYROLL.U2.COMP.L01","side":"debit","account_id":"GL.PEOPLE.U2","amount_component":"payroll_component"},{"leg_id":"MAP.PAYROLL.U2.COMP.L02","side":"credit","account_id":"GL.CASH","amount_component":"payroll_component"}],"report_allocations":[{"leg_id":"MAP.PAYROLL.U2.COMP.L01","view_id":"statement","report_row_id":"PNL.PEOPLE","weight":1},{"leg_id":"MAP.PAYROLL.U2.COMP.L01","view_id":"nature","report_row_id":"people","weight":1},{"leg_id":"MAP.PAYROLL.U2.COMP.L01","view_id":"function","report_row_id":"general_admin","weight":1},{"leg_id":"MAP.PAYROLL.U2.COMP.L01","view_id":"cost_centre","report_row_id":"COMP","weight":1},{"leg_id":"MAP.PAYROLL.U2.COMP.L01","view_id":"vendor","report_row_id":"PAYROLL","weight":1},{"leg_id":"MAP.PAYROLL.U2.COMP.L01","view_id":"recurrence","report_row_id":"recurring","weight":1},{"leg_id":"MAP.PAYROLL.U2.COMP.L01","view_id":"commitment","report_row_id":"committed","weight":1},{"leg_id":"MAP.PAYROLL.U2.COMP.L01","view_id":"behaviour","report_row_id":"fixed","weight":1},{"leg_id":"MAP.PAYROLL.U2.COMP.L02","view_id":"statement","report_row_id":"BS.CASH","weight":1},{"leg_id":"MAP.PAYROLL.U2.COMP.L02","view_id":"nature","report_row_id":"cash","weight":1},{"leg_id":"MAP.PAYROLL.U2.COMP.L02","view_id":"function","report_row_id":"balance_sheet","weight":1},{"leg_id":"MAP.PAYROLL.U2.COMP.L02","view_id":"cost_centre","report_row_id":"COMP","weight":1},{"leg_id":"MAP.PAYROLL.U2.COMP.L02","view_id":"vendor","report_row_id":"PAYROLL","weight":1},{"leg_id":"MAP.PAYROLL.U2.COMP.L02","view_id":"recurrence","report_row_id":"not_applicable","weight":1},{"leg_id":"MAP.PAYROLL.U2.COMP.L02","view_id":"commitment","report_row_id":"not_applicable","weight":1},{"leg_id":"MAP.PAYROLL.U2.COMP.L02","view_id":"behaviour","report_row_id":"not_applicable","weight":1}]},{"mapping_id":"MAP.PAYROLL.U2.PROD","source_row_id":"PPL.U2","posting_owner":"People","stream":"CORPORATE","cost_centre":"PROD","vendor_id":"PAYROLL","tax_code":"NONE","cash_class":"operating","classification":{"recurrence":"recurring","commitment":"committed","behaviour":"fixed"},"legs":[{"leg_id":"MAP.PAYROLL.U2.PROD.L01","side":"debit","account_id":"GL.PEOPLE.U2","amount_component":"payroll_component"},{"leg_id":"MAP.PAYROLL.U2.PROD.L02","side":"credit","account_id":"GL.CASH","amount_component":"payroll_component"}],"report_allocations":[{"leg_id":"MAP.PAYROLL.U2.PROD.L01","view_id":"statement","report_row_id":"PNL.PEOPLE","weight":1},{"leg_id":"MAP.PAYROLL.U2.PROD.L01","view_id":"nature","report_row_id":"people","weight":1},{"leg_id":"MAP.PAYROLL.U2.PROD.L01","view_id":"function","report_row_id":"research_development","weight":1},{"leg_id":"MAP.PAYROLL.U2.PROD.L01","view_id":"cost_centre","report_row_id":"PROD","weight":1},{"leg_id":"MAP.PAYROLL.U2.PROD.L01","view_id":"vendor","report_row_id":"PAYROLL","weight":1},{"leg_id":"MAP.PAYROLL.U2.PROD.L01","view_id":"recurrence","report_row_id":"recurring","weight":1},{"leg_id":"MAP.PAYROLL.U2.PROD.L01","view_id":"commitment","report_row_id":"committed","weight":1},{"leg_id":"MAP.PAYROLL.U2.PROD.L01","view_id":"behaviour","report_row_id":"fixed","weight":1},{"leg_id":"MAP.PAYROLL.U2.PROD.L02","view_id":"statement","report_row_id":"BS.CASH","weight":1},{"leg_id":"MAP.PAYROLL.U2.PROD.L02","view_id":"nature","report_row_id":"cash","weight":1},{"leg_id":"MAP.PAYROLL.U2.PROD.L02","view_id":"function","report_row_id":"balance_sheet","weight":1},{"leg_id":"MAP.PAYROLL.U2.PROD.L02","view_id":"cost_centre","report_row_id":"PROD","weight":1},{"leg_id":"MAP.PAYROLL.U2.PROD.L02","view_id":"vendor","report_row_id":"PAYROLL","weight":1},{"leg_id":"MAP.PAYROLL.U2.PROD.L02","view_id":"recurrence","report_row_id":"not_applicable","weight":1},{"leg_id":"MAP.PAYROLL.U2.PROD.L02","view_id":"commitment","report_row_id":"not_applicable","weight":1},{"leg_id":"MAP.PAYROLL.U2.PROD.L02","view_id":"behaviour","report_row_id":"not_applicable","weight":1}]},{"mapping_id":"MAP.PAYROLL.U2.MKT","source_row_id":"PPL.U2","posting_owner":"People","stream":"CORPORATE","cost_centre":"MKT","vendor_id":"PAYROLL","tax_code":"NONE","cash_class":"operating","classification":{"recurrence":"recurring","commitment":"committed","behaviour":"fixed"},"legs":[{"leg_id":"MAP.PAYROLL.U2.MKT.L01","side":"debit","account_id":"GL.PEOPLE.U2","amount_component":"payroll_component"},{"leg_id":"MAP.PAYROLL.U2.MKT.L02","side":"credit","account_id":"GL.CASH","amount_component":"payroll_component"}],"report_allocations":[{"leg_id":"MAP.PAYROLL.U2.MKT.L01","view_id":"statement","report_row_id":"PNL.PEOPLE","weight":1},{"leg_id":"MAP.PAYROLL.U2.MKT.L01","view_id":"nature","report_row_id":"people","weight":1},{"leg_id":"MAP.PAYROLL.U2.MKT.L01","view_id":"function","report_row_id":"sales_marketing","weight":1},{"leg_id":"MAP.PAYROLL.U2.MKT.L01","view_id":"cost_centre","report_row_id":"MKT","weight":1},{"leg_id":"MAP.PAYROLL.U2.MKT.L01","view_id":"vendor","report_row_id":"PAYROLL","weight":1},{"leg_id":"MAP.PAYROLL.U2.MKT.L01","view_id":"recurrence","report_row_id":"recurring","weight":1},{"leg_id":"MAP.PAYROLL.U2.MKT.L01","view_id":"commitment","report_row_id":"committed","weight":1},{"leg_id":"MAP.PAYROLL.U2.MKT.L01","view_id":"behaviour","report_row_id":"fixed","weight":1},{"leg_id":"MAP.PAYROLL.U2.MKT.L02","view_id":"statement","report_row_id":"BS.CASH","weight":1},{"leg_id":"MAP.PAYROLL.U2.MKT.L02","view_id":"nature","report_row_id":"cash","weight":1},{"leg_id":"MAP.PAYROLL.U2.MKT.L02","view_id":"function","report_row_id":"balance_sheet","weight":1},{"leg_id":"MAP.PAYROLL.U2.MKT.L02","view_id":"cost_centre","report_row_id":"MKT","weight":1},{"leg_id":"MAP.PAYROLL.U2.MKT.L02","view_id":"vendor","report_row_id":"PAYROLL","weight":1},{"leg_id":"MAP.PAYROLL.U2.MKT.L02","view_id":"recurrence","report_row_id":"not_applicable","weight":1},{"leg_id":"MAP.PAYROLL.U2.MKT.L02","view_id":"commitment","report_row_id":"not_applicable","weight":1},{"leg_id":"MAP.PAYROLL.U2.MKT.L02","view_id":"behaviour","report_row_id":"not_applicable","weight":1}]},{"mapping_id":"MAP.PAYROLL.U2.SUP","source_row_id":"PPL.U2","posting_owner":"People","stream":"CORPORATE","cost_centre":"SUP","vendor_id":"PAYROLL","tax_code":"NONE","cash_class":"operating","classification":{"recurrence":"recurring","commitment":"committed","behaviour":"fixed"},"legs":[{"leg_id":"MAP.PAYROLL.U2.SUP.L01","side":"debit","account_id":"GL.PEOPLE.U2","amount_component":"payroll_component"},{"leg_id":"MAP.PAYROLL.U2.SUP.L02","side":"credit","account_id":"GL.CASH","amount_component":"payroll_component"}],"report_allocations":[{"leg_id":"MAP.PAYROLL.U2.SUP.L01","view_id":"statement","report_row_id":"PNL.PEOPLE","weight":1},{"leg_id":"MAP.PAYROLL.U2.SUP.L01","view_id":"nature","report_row_id":"people","weight":1},{"leg_id":"MAP.PAYROLL.U2.SUP.L01","view_id":"function","report_row_id":"cost_of_revenue","weight":1},{"leg_id":"MAP.PAYROLL.U2.SUP.L01","view_id":"cost_centre","report_row_id":"SUP","weight":1},{"leg_id":"MAP.PAYROLL.U2.SUP.L01","view_id":"vendor","report_row_id":"PAYROLL","weight":1},{"leg_id":"MAP.PAYROLL.U2.SUP.L01","view_id":"recurrence","report_row_id":"recurring","weight":1},{"leg_id":"MAP.PAYROLL.U2.SUP.L01","view_id":"commitment","report_row_id":"committed","weight":1},{"leg_id":"MAP.PAYROLL.U2.SUP.L01","view_id":"behaviour","report_row_id":"fixed","weight":1},{"leg_id":"MAP.PAYROLL.U2.SUP.L02","view_id":"statement","report_row_id":"BS.CASH","weight":1},{"leg_id":"MAP.PAYROLL.U2.SUP.L02","view_id":"nature","report_row_id":"cash","weight":1},{"leg_id":"MAP.PAYROLL.U2.SUP.L02","view_id":"function","report_row_id":"balance_sheet","weight":1},{"leg_id":"MAP.PAYROLL.U2.SUP.L02","view_id":"cost_centre","report_row_id":"SUP","weight":1},{"leg_id":"MAP.PAYROLL.U2.SUP.L02","view_id":"vendor","report_row_id":"PAYROLL","weight":1},{"leg_id":"MAP.PAYROLL.U2.SUP.L02","view_id":"recurrence","report_row_id":"not_applicable","weight":1},{"leg_id":"MAP.PAYROLL.U2.SUP.L02","view_id":"commitment","report_row_id":"not_applicable","weight":1},{"leg_id":"MAP.PAYROLL.U2.SUP.L02","view_id":"behaviour","report_row_id":"not_applicable","weight":1}]},{"mapping_id":"MAP.PAYROLL.U2.FIN","source_row_id":"PPL.U2","posting_owner":"People","stream":"CORPORATE","cost_centre":"FIN","vendor_id":"PAYROLL","tax_code":"NONE","cash_class":"operating","classification":{"recurrence":"recurring","commitment":"committed","behaviour":"fixed"},"legs":[{"leg_id":"MAP.PAYROLL.U2.FIN.L01","side":"debit","account_id":"GL.PEOPLE.U2","amount_component":"payroll_component"},{"leg_id":"MAP.PAYROLL.U2.FIN.L02","side":"credit","account_id":"GL.CASH","amount_component":"payroll_component"}],"report_allocations":[{"leg_id":"MAP.PAYROLL.U2.FIN.L01","view_id":"statement","report_row_id":"PNL.PEOPLE","weight":1},{"leg_id":"MAP.PAYROLL.U2.FIN.L01","view_id":"nature","report_row_id":"people","weight":1},{"leg_id":"MAP.PAYROLL.U2.FIN.L01","view_id":"function","report_row_id":"general_admin","weight":1},{"leg_id":"MAP.PAYROLL.U2.FIN.L01","view_id":"cost_centre","report_row_id":"FIN","weight":1},{"leg_id":"MAP.PAYROLL.U2.FIN.L01","view_id":"vendor","report_row_id":"PAYROLL","weight":1},{"leg_id":"MAP.PAYROLL.U2.FIN.L01","view_id":"recurrence","report_row_id":"recurring","weight":1},{"leg_id":"MAP.PAYROLL.U2.FIN.L01","view_id":"commitment","report_row_id":"committed","weight":1},{"leg_id":"MAP.PAYROLL.U2.FIN.L01","view_id":"behaviour","report_row_id":"fixed","weight":1},{"leg_id":"MAP.PAYROLL.U2.FIN.L02","view_id":"statement","report_row_id":"BS.CASH","weight":1},{"leg_id":"MAP.PAYROLL.U2.FIN.L02","view_id":"nature","report_row_id":"cash","weight":1},{"leg_id":"MAP.PAYROLL.U2.FIN.L02","view_id":"function","report_row_id":"balance_sheet","weight":1},{"leg_id":"MAP.PAYROLL.U2.FIN.L02","view_id":"cost_centre","report_row_id":"FIN","weight":1},{"leg_id":"MAP.PAYROLL.U2.FIN.L02","view_id":"vendor","report_row_id":"PAYROLL","weight":1},{"leg_id":"MAP.PAYROLL.U2.FIN.L02","view_id":"recurrence","report_row_id":"not_applicable","weight":1},{"leg_id":"MAP.PAYROLL.U2.FIN.L02","view_id":"commitment","report_row_id":"not_applicable","weight":1},{"leg_id":"MAP.PAYROLL.U2.FIN.L02","view_id":"behaviour","report_row_id":"not_applicable","weight":1}]},{"mapping_id":"MAP.PAYROLL.U2.SALES","source_row_id":"PPL.U2","posting_owner":"People","stream":"CORPORATE","cost_centre":"SALES","vendor_id":"PAYROLL","tax_code":"NONE","cash_class":"operating","classification":{"recurrence":"recurring","commitment":"committed","behaviour":"fixed"},"legs":[{"leg_id":"MAP.PAYROLL.U2.SALES.L01","side":"debit","account_id":"GL.PEOPLE.U2","amount_component":"payroll_component"},{"leg_id":"MAP.PAYROLL.U2.SALES.L02","side":"credit","account_id":"GL.CASH","amount_component":"payroll_component"}],"report_allocations":[{"leg_id":"MAP.PAYROLL.U2.SALES.L01","view_id":"statement","report_row_id":"PNL.PEOPLE","weight":1},{"leg_id":"MAP.PAYROLL.U2.SALES.L01","view_id":"nature","report_row_id":"people","weight":1},{"leg_id":"MAP.PAYROLL.U2.SALES.L01","view_id":"function","report_row_id":"sales_marketing","weight":1},{"leg_id":"MAP.PAYROLL.U2.SALES.L01","view_id":"cost_centre","report_row_id":"SALES","weight":1},{"leg_id":"MAP.PAYROLL.U2.SALES.L01","view_id":"vendor","report_row_id":"PAYROLL","weight":1},{"leg_id":"MAP.PAYROLL.U2.SALES.L01","view_id":"recurrence","report_row_id":"recurring","weight":1},{"leg_id":"MAP.PAYROLL.U2.SALES.L01","view_id":"commitment","report_row_id":"committed","weight":1},{"leg_id":"MAP.PAYROLL.U2.SALES.L01","view_id":"behaviour","report_row_id":"fixed","weight":1},{"leg_id":"MAP.PAYROLL.U2.SALES.L02","view_id":"statement","report_row_id":"BS.CASH","weight":1},{"leg_id":"MAP.PAYROLL.U2.SALES.L02","view_id":"nature","report_row_id":"cash","weight":1},{"leg_id":"MAP.PAYROLL.U2.SALES.L02","view_id":"function","report_row_id":"balance_sheet","weight":1},{"leg_id":"MAP.PAYROLL.U2.SALES.L02","view_id":"cost_centre","report_row_id":"SALES","weight":1},{"leg_id":"MAP.PAYROLL.U2.SALES.L02","view_id":"vendor","report_row_id":"PAYROLL","weight":1},{"leg_id":"MAP.PAYROLL.U2.SALES.L02","view_id":"recurrence","report_row_id":"not_applicable","weight":1},{"leg_id":"MAP.PAYROLL.U2.SALES.L02","view_id":"commitment","report_row_id":"not_applicable","weight":1},{"leg_id":"MAP.PAYROLL.U2.SALES.L02","view_id":"behaviour","report_row_id":"not_applicable","weight":1}]},{"mapping_id":"MAP.PAYROLL.INSOLV.MGMT","source_row_id":"PPL.INSOLV","posting_owner":"People","stream":"CORPORATE","cost_centre":"MGMT","vendor_id":"PAYROLL","tax_code":"NONE","cash_class":"operating","classification":{"recurrence":"recurring","commitment":"committed","behaviour":"fixed"},"legs":[{"leg_id":"MAP.PAYROLL.INSOLV.MGMT.L01","side":"debit","account_id":"GL.PEOPLE.INSOLV","amount_component":"payroll_component"},{"leg_id":"MAP.PAYROLL.INSOLV.MGMT.L02","side":"credit","account_id":"GL.CASH","amount_component":"payroll_component"}],"report_allocations":[{"leg_id":"MAP.PAYROLL.INSOLV.MGMT.L01","view_id":"statement","report_row_id":"PNL.PEOPLE","weight":1},{"leg_id":"MAP.PAYROLL.INSOLV.MGMT.L01","view_id":"nature","report_row_id":"people","weight":1},{"leg_id":"MAP.PAYROLL.INSOLV.MGMT.L01","view_id":"function","report_row_id":"general_admin","weight":1},{"leg_id":"MAP.PAYROLL.INSOLV.MGMT.L01","view_id":"cost_centre","report_row_id":"MGMT","weight":1},{"leg_id":"MAP.PAYROLL.INSOLV.MGMT.L01","view_id":"vendor","report_row_id":"PAYROLL","weight":1},{"leg_id":"MAP.PAYROLL.INSOLV.MGMT.L01","view_id":"recurrence","report_row_id":"recurring","weight":1},{"leg_id":"MAP.PAYROLL.INSOLV.MGMT.L01","view_id":"commitment","report_row_id":"committed","weight":1},{"leg_id":"MAP.PAYROLL.INSOLV.MGMT.L01","view_id":"behaviour","report_row_id":"fixed","weight":1},{"leg_id":"MAP.PAYROLL.INSOLV.MGMT.L02","view_id":"statement","report_row_id":"BS.CASH","weight":1},{"leg_id":"MAP.PAYROLL.INSOLV.MGMT.L02","view_id":"nature","report_row_id":"cash","weight":1},{"leg_id":"MAP.PAYROLL.INSOLV.MGMT.L02","view_id":"function","report_row_id":"balance_sheet","weight":1},{"leg_id":"MAP.PAYROLL.INSOLV.MGMT.L02","view_id":"cost_centre","report_row_id":"MGMT","weight":1},{"leg_id":"MAP.PAYROLL.INSOLV.MGMT.L02","view_id":"vendor","report_row_id":"PAYROLL","weight":1},{"leg_id":"MAP.PAYROLL.INSOLV.MGMT.L02","view_id":"recurrence","report_row_id":"not_applicable","weight":1},{"leg_id":"MAP.PAYROLL.INSOLV.MGMT.L02","view_id":"commitment","report_row_id":"not_applicable","weight":1},{"leg_id":"MAP.PAYROLL.INSOLV.MGMT.L02","view_id":"behaviour","report_row_id":"not_applicable","weight":1}]},{"mapping_id":"MAP.PAYROLL.INSOLV.ENG","source_row_id":"PPL.INSOLV","posting_owner":"People","stream":"CORPORATE","cost_centre":"ENG","vendor_id":"PAYROLL","tax_code":"NONE","cash_class":"operating","classification":{"recurrence":"recurring","commitment":"committed","behaviour":"fixed"},"legs":[{"leg_id":"MAP.PAYROLL.INSOLV.ENG.L01","side":"debit","account_id":"GL.PEOPLE.INSOLV","amount_component":"payroll_component"},{"leg_id":"MAP.PAYROLL.INSOLV.ENG.L02","side":"credit","account_id":"GL.CASH","amount_component":"payroll_component"}],"report_allocations":[{"leg_id":"MAP.PAYROLL.INSOLV.ENG.L01","view_id":"statement","report_row_id":"PNL.PEOPLE","weight":1},{"leg_id":"MAP.PAYROLL.INSOLV.ENG.L01","view_id":"nature","report_row_id":"people","weight":1},{"leg_id":"MAP.PAYROLL.INSOLV.ENG.L01","view_id":"function","report_row_id":"research_development","weight":1},{"leg_id":"MAP.PAYROLL.INSOLV.ENG.L01","view_id":"cost_centre","report_row_id":"ENG","weight":1},{"leg_id":"MAP.PAYROLL.INSOLV.ENG.L01","view_id":"vendor","report_row_id":"PAYROLL","weight":1},{"leg_id":"MAP.PAYROLL.INSOLV.ENG.L01","view_id":"recurrence","report_row_id":"recurring","weight":1},{"leg_id":"MAP.PAYROLL.INSOLV.ENG.L01","view_id":"commitment","report_row_id":"committed","weight":1},{"leg_id":"MAP.PAYROLL.INSOLV.ENG.L01","view_id":"behaviour","report_row_id":"fixed","weight":1},{"leg_id":"MAP.PAYROLL.INSOLV.ENG.L02","view_id":"statement","report_row_id":"BS.CASH","weight":1},{"leg_id":"MAP.PAYROLL.INSOLV.ENG.L02","view_id":"nature","report_row_id":"cash","weight":1},{"leg_id":"MAP.PAYROLL.INSOLV.ENG.L02","view_id":"function","report_row_id":"balance_sheet","weight":1},{"leg_id":"MAP.PAYROLL.INSOLV.ENG.L02","view_id":"cost_centre","report_row_id":"ENG","weight":1},{"leg_id":"MAP.PAYROLL.INSOLV.ENG.L02","view_id":"vendor","report_row_id":"PAYROLL","weight":1},{"leg_id":"MAP.PAYROLL.INSOLV.ENG.L02","view_id":"recurrence","report_row_id":"not_applicable","weight":1},{"leg_id":"MAP.PAYROLL.INSOLV.ENG.L02","view_id":"commitment","report_row_id":"not_applicable","weight":1},{"leg_id":"MAP.PAYROLL.INSOLV.ENG.L02","view_id":"behaviour","report_row_id":"not_applicable","weight":1}]},{"mapping_id":"MAP.PAYROLL.INSOLV.COMP","source_row_id":"PPL.INSOLV","posting_owner":"People","stream":"CORPORATE","cost_centre":"COMP","vendor_id":"PAYROLL","tax_code":"NONE","cash_class":"operating","classification":{"recurrence":"recurring","commitment":"committed","behaviour":"fixed"},"legs":[{"leg_id":"MAP.PAYROLL.INSOLV.COMP.L01","side":"debit","account_id":"GL.PEOPLE.INSOLV","amount_component":"payroll_component"},{"leg_id":"MAP.PAYROLL.INSOLV.COMP.L02","side":"credit","account_id":"GL.CASH","amount_component":"payroll_component"}],"report_allocations":[{"leg_id":"MAP.PAYROLL.INSOLV.COMP.L01","view_id":"statement","report_row_id":"PNL.PEOPLE","weight":1},{"leg_id":"MAP.PAYROLL.INSOLV.COMP.L01","view_id":"nature","report_row_id":"people","weight":1},{"leg_id":"MAP.PAYROLL.INSOLV.COMP.L01","view_id":"function","report_row_id":"general_admin","weight":1},{"leg_id":"MAP.PAYROLL.INSOLV.COMP.L01","view_id":"cost_centre","report_row_id":"COMP","weight":1},{"leg_id":"MAP.PAYROLL.INSOLV.COMP.L01","view_id":"vendor","report_row_id":"PAYROLL","weight":1},{"leg_id":"MAP.PAYROLL.INSOLV.COMP.L01","view_id":"recurrence","report_row_id":"recurring","weight":1},{"leg_id":"MAP.PAYROLL.INSOLV.COMP.L01","view_id":"commitment","report_row_id":"committed","weight":1},{"leg_id":"MAP.PAYROLL.INSOLV.COMP.L01","view_id":"behaviour","report_row_id":"fixed","weight":1},{"leg_id":"MAP.PAYROLL.INSOLV.COMP.L02","view_id":"statement","report_row_id":"BS.CASH","weight":1},{"leg_id":"MAP.PAYROLL.INSOLV.COMP.L02","view_id":"nature","report_row_id":"cash","weight":1},{"leg_id":"MAP.PAYROLL.INSOLV.COMP.L02","view_id":"function","report_row_id":"balance_sheet","weight":1},{"leg_id":"MAP.PAYROLL.INSOLV.COMP.L02","view_id":"cost_centre","report_row_id":"COMP","weight":1},{"leg_id":"MAP.PAYROLL.INSOLV.COMP.L02","view_id":"vendor","report_row_id":"PAYROLL","weight":1},{"leg_id":"MAP.PAYROLL.INSOLV.COMP.L02","view_id":"recurrence","report_row_id":"not_applicable","weight":1},{"leg_id":"MAP.PAYROLL.INSOLV.COMP.L02","view_id":"commitment","report_row_id":"not_applicable","weight":1},{"leg_id":"MAP.PAYROLL.INSOLV.COMP.L02","view_id":"behaviour","report_row_id":"not_applicable","weight":1}]},{"mapping_id":"MAP.PAYROLL.INSOLV.PROD","source_row_id":"PPL.INSOLV","posting_owner":"People","stream":"CORPORATE","cost_centre":"PROD","vendor_id":"PAYROLL","tax_code":"NONE","cash_class":"operating","classification":{"recurrence":"recurring","commitment":"committed","behaviour":"fixed"},"legs":[{"leg_id":"MAP.PAYROLL.INSOLV.PROD.L01","side":"debit","account_id":"GL.PEOPLE.INSOLV","amount_component":"payroll_component"},{"leg_id":"MAP.PAYROLL.INSOLV.PROD.L02","side":"credit","account_id":"GL.CASH","amount_component":"payroll_component"}],"report_allocations":[{"leg_id":"MAP.PAYROLL.INSOLV.PROD.L01","view_id":"statement","report_row_id":"PNL.PEOPLE","weight":1},{"leg_id":"MAP.PAYROLL.INSOLV.PROD.L01","view_id":"nature","report_row_id":"people","weight":1},{"leg_id":"MAP.PAYROLL.INSOLV.PROD.L01","view_id":"function","report_row_id":"research_development","weight":1},{"leg_id":"MAP.PAYROLL.INSOLV.PROD.L01","view_id":"cost_centre","report_row_id":"PROD","weight":1},{"leg_id":"MAP.PAYROLL.INSOLV.PROD.L01","view_id":"vendor","report_row_id":"PAYROLL","weight":1},{"leg_id":"MAP.PAYROLL.INSOLV.PROD.L01","view_id":"recurrence","report_row_id":"recurring","weight":1},{"leg_id":"MAP.PAYROLL.INSOLV.PROD.L01","view_id":"commitment","report_row_id":"committed","weight":1},{"leg_id":"MAP.PAYROLL.INSOLV.PROD.L01","view_id":"behaviour","report_row_id":"fixed","weight":1},{"leg_id":"MAP.PAYROLL.INSOLV.PROD.L02","view_id":"statement","report_row_id":"BS.CASH","weight":1},{"leg_id":"MAP.PAYROLL.INSOLV.PROD.L02","view_id":"nature","report_row_id":"cash","weight":1},{"leg_id":"MAP.PAYROLL.INSOLV.PROD.L02","view_id":"function","report_row_id":"balance_sheet","weight":1},{"leg_id":"MAP.PAYROLL.INSOLV.PROD.L02","view_id":"cost_centre","report_row_id":"PROD","weight":1},{"leg_id":"MAP.PAYROLL.INSOLV.PROD.L02","view_id":"vendor","report_row_id":"PAYROLL","weight":1},{"leg_id":"MAP.PAYROLL.INSOLV.PROD.L02","view_id":"recurrence","report_row_id":"not_applicable","weight":1},{"leg_id":"MAP.PAYROLL.INSOLV.PROD.L02","view_id":"commitment","report_row_id":"not_applicable","weight":1},{"leg_id":"MAP.PAYROLL.INSOLV.PROD.L02","view_id":"behaviour","report_row_id":"not_applicable","weight":1}]},{"mapping_id":"MAP.PAYROLL.INSOLV.MKT","source_row_id":"PPL.INSOLV","posting_owner":"People","stream":"CORPORATE","cost_centre":"MKT","vendor_id":"PAYROLL","tax_code":"NONE","cash_class":"operating","classification":{"recurrence":"recurring","commitment":"committed","behaviour":"fixed"},"legs":[{"leg_id":"MAP.PAYROLL.INSOLV.MKT.L01","side":"debit","account_id":"GL.PEOPLE.INSOLV","amount_component":"payroll_component"},{"leg_id":"MAP.PAYROLL.INSOLV.MKT.L02","side":"credit","account_id":"GL.CASH","amount_component":"payroll_component"}],"report_allocations":[{"leg_id":"MAP.PAYROLL.INSOLV.MKT.L01","view_id":"statement","report_row_id":"PNL.PEOPLE","weight":1},{"leg_id":"MAP.PAYROLL.INSOLV.MKT.L01","view_id":"nature","report_row_id":"people","weight":1},{"leg_id":"MAP.PAYROLL.INSOLV.MKT.L01","view_id":"function","report_row_id":"sales_marketing","weight":1},{"leg_id":"MAP.PAYROLL.INSOLV.MKT.L01","view_id":"cost_centre","report_row_id":"MKT","weight":1},{"leg_id":"MAP.PAYROLL.INSOLV.MKT.L01","view_id":"vendor","report_row_id":"PAYROLL","weight":1},{"leg_id":"MAP.PAYROLL.INSOLV.MKT.L01","view_id":"recurrence","report_row_id":"recurring","weight":1},{"leg_id":"MAP.PAYROLL.INSOLV.MKT.L01","view_id":"commitment","report_row_id":"committed","weight":1},{"leg_id":"MAP.PAYROLL.INSOLV.MKT.L01","view_id":"behaviour","report_row_id":"fixed","weight":1},{"leg_id":"MAP.PAYROLL.INSOLV.MKT.L02","view_id":"statement","report_row_id":"BS.CASH","weight":1},{"leg_id":"MAP.PAYROLL.INSOLV.MKT.L02","view_id":"nature","report_row_id":"cash","weight":1},{"leg_id":"MAP.PAYROLL.INSOLV.MKT.L02","view_id":"function","report_row_id":"balance_sheet","weight":1},{"leg_id":"MAP.PAYROLL.INSOLV.MKT.L02","view_id":"cost_centre","report_row_id":"MKT","weight":1},{"leg_id":"MAP.PAYROLL.INSOLV.MKT.L02","view_id":"vendor","report_row_id":"PAYROLL","weight":1},{"leg_id":"MAP.PAYROLL.INSOLV.MKT.L02","view_id":"recurrence","report_row_id":"not_applicable","weight":1},{"leg_id":"MAP.PAYROLL.INSOLV.MKT.L02","view_id":"commitment","report_row_id":"not_applicable","weight":1},{"leg_id":"MAP.PAYROLL.INSOLV.MKT.L02","view_id":"behaviour","report_row_id":"not_applicable","weight":1}]},{"mapping_id":"MAP.PAYROLL.INSOLV.SUP","source_row_id":"PPL.INSOLV","posting_owner":"People","stream":"CORPORATE","cost_centre":"SUP","vendor_id":"PAYROLL","tax_code":"NONE","cash_class":"operating","classification":{"recurrence":"recurring","commitment":"committed","behaviour":"fixed"},"legs":[{"leg_id":"MAP.PAYROLL.INSOLV.SUP.L01","side":"debit","account_id":"GL.PEOPLE.INSOLV","amount_component":"payroll_component"},{"leg_id":"MAP.PAYROLL.INSOLV.SUP.L02","side":"credit","account_id":"GL.CASH","amount_component":"payroll_component"}],"report_allocations":[{"leg_id":"MAP.PAYROLL.INSOLV.SUP.L01","view_id":"statement","report_row_id":"PNL.PEOPLE","weight":1},{"leg_id":"MAP.PAYROLL.INSOLV.SUP.L01","view_id":"nature","report_row_id":"people","weight":1},{"leg_id":"MAP.PAYROLL.INSOLV.SUP.L01","view_id":"function","report_row_id":"cost_of_revenue","weight":1},{"leg_id":"MAP.PAYROLL.INSOLV.SUP.L01","view_id":"cost_centre","report_row_id":"SUP","weight":1},{"leg_id":"MAP.PAYROLL.INSOLV.SUP.L01","view_id":"vendor","report_row_id":"PAYROLL","weight":1},{"leg_id":"MAP.PAYROLL.INSOLV.SUP.L01","view_id":"recurrence","report_row_id":"recurring","weight":1},{"leg_id":"MAP.PAYROLL.INSOLV.SUP.L01","view_id":"commitment","report_row_id":"committed","weight":1},{"leg_id":"MAP.PAYROLL.INSOLV.SUP.L01","view_id":"behaviour","report_row_id":"fixed","weight":1},{"leg_id":"MAP.PAYROLL.INSOLV.SUP.L02","view_id":"statement","report_row_id":"BS.CASH","weight":1},{"leg_id":"MAP.PAYROLL.INSOLV.SUP.L02","view_id":"nature","report_row_id":"cash","weight":1},{"leg_id":"MAP.PAYROLL.INSOLV.SUP.L02","view_id":"function","report_row_id":"balance_sheet","weight":1},{"leg_id":"MAP.PAYROLL.INSOLV.SUP.L02","view_id":"cost_centre","report_row_id":"SUP","weight":1},{"leg_id":"MAP.PAYROLL.INSOLV.SUP.L02","view_id":"vendor","report_row_id":"PAYROLL","weight":1},{"leg_id":"MAP.PAYROLL.INSOLV.SUP.L02","view_id":"recurrence","report_row_id":"not_applicable","weight":1},{"leg_id":"MAP.PAYROLL.INSOLV.SUP.L02","view_id":"commitment","report_row_id":"not_applicable","weight":1},{"leg_id":"MAP.PAYROLL.INSOLV.SUP.L02","view_id":"behaviour","report_row_id":"not_applicable","weight":1}]},{"mapping_id":"MAP.PAYROLL.INSOLV.FIN","source_row_id":"PPL.INSOLV","posting_owner":"People","stream":"CORPORATE","cost_centre":"FIN","vendor_id":"PAYROLL","tax_code":"NONE","cash_class":"operating","classification":{"recurrence":"recurring","commitment":"committed","behaviour":"fixed"},"legs":[{"leg_id":"MAP.PAYROLL.INSOLV.FIN.L01","side":"debit","account_id":"GL.PEOPLE.INSOLV","amount_component":"payroll_component"},{"leg_id":"MAP.PAYROLL.INSOLV.FIN.L02","side":"credit","account_id":"GL.CASH","amount_component":"payroll_component"}],"report_allocations":[{"leg_id":"MAP.PAYROLL.INSOLV.FIN.L01","view_id":"statement","report_row_id":"PNL.PEOPLE","weight":1},{"leg_id":"MAP.PAYROLL.INSOLV.FIN.L01","view_id":"nature","report_row_id":"people","weight":1},{"leg_id":"MAP.PAYROLL.INSOLV.FIN.L01","view_id":"function","report_row_id":"general_admin","weight":1},{"leg_id":"MAP.PAYROLL.INSOLV.FIN.L01","view_id":"cost_centre","report_row_id":"FIN","weight":1},{"leg_id":"MAP.PAYROLL.INSOLV.FIN.L01","view_id":"vendor","report_row_id":"PAYROLL","weight":1},{"leg_id":"MAP.PAYROLL.INSOLV.FIN.L01","view_id":"recurrence","report_row_id":"recurring","weight":1},{"leg_id":"MAP.PAYROLL.INSOLV.FIN.L01","view_id":"commitment","report_row_id":"committed","weight":1},{"leg_id":"MAP.PAYROLL.INSOLV.FIN.L01","view_id":"behaviour","report_row_id":"fixed","weight":1},{"leg_id":"MAP.PAYROLL.INSOLV.FIN.L02","view_id":"statement","report_row_id":"BS.CASH","weight":1},{"leg_id":"MAP.PAYROLL.INSOLV.FIN.L02","view_id":"nature","report_row_id":"cash","weight":1},{"leg_id":"MAP.PAYROLL.INSOLV.FIN.L02","view_id":"function","report_row_id":"balance_sheet","weight":1},{"leg_id":"MAP.PAYROLL.INSOLV.FIN.L02","view_id":"cost_centre","report_row_id":"FIN","weight":1},{"leg_id":"MAP.PAYROLL.INSOLV.FIN.L02","view_id":"vendor","report_row_id":"PAYROLL","weight":1},{"leg_id":"MAP.PAYROLL.INSOLV.FIN.L02","view_id":"recurrence","report_row_id":"not_applicable","weight":1},{"leg_id":"MAP.PAYROLL.INSOLV.FIN.L02","view_id":"commitment","report_row_id":"not_applicable","weight":1},{"leg_id":"MAP.PAYROLL.INSOLV.FIN.L02","view_id":"behaviour","report_row_id":"not_applicable","weight":1}]},{"mapping_id":"MAP.PAYROLL.INSOLV.SALES","source_row_id":"PPL.INSOLV","posting_owner":"People","stream":"CORPORATE","cost_centre":"SALES","vendor_id":"PAYROLL","tax_code":"NONE","cash_class":"operating","classification":{"recurrence":"recurring","commitment":"committed","behaviour":"fixed"},"legs":[{"leg_id":"MAP.PAYROLL.INSOLV.SALES.L01","side":"debit","account_id":"GL.PEOPLE.INSOLV","amount_component":"payroll_component"},{"leg_id":"MAP.PAYROLL.INSOLV.SALES.L02","side":"credit","account_id":"GL.CASH","amount_component":"payroll_component"}],"report_allocations":[{"leg_id":"MAP.PAYROLL.INSOLV.SALES.L01","view_id":"statement","report_row_id":"PNL.PEOPLE","weight":1},{"leg_id":"MAP.PAYROLL.INSOLV.SALES.L01","view_id":"nature","report_row_id":"people","weight":1},{"leg_id":"MAP.PAYROLL.INSOLV.SALES.L01","view_id":"function","report_row_id":"sales_marketing","weight":1},{"leg_id":"MAP.PAYROLL.INSOLV.SALES.L01","view_id":"cost_centre","report_row_id":"SALES","weight":1},{"leg_id":"MAP.PAYROLL.INSOLV.SALES.L01","view_id":"vendor","report_row_id":"PAYROLL","weight":1},{"leg_id":"MAP.PAYROLL.INSOLV.SALES.L01","view_id":"recurrence","report_row_id":"recurring","weight":1},{"leg_id":"MAP.PAYROLL.INSOLV.SALES.L01","view_id":"commitment","report_row_id":"committed","weight":1},{"leg_id":"MAP.PAYROLL.INSOLV.SALES.L01","view_id":"behaviour","report_row_id":"fixed","weight":1},{"leg_id":"MAP.PAYROLL.INSOLV.SALES.L02","view_id":"statement","report_row_id":"BS.CASH","weight":1},{"leg_id":"MAP.PAYROLL.INSOLV.SALES.L02","view_id":"nature","report_row_id":"cash","weight":1},{"leg_id":"MAP.PAYROLL.INSOLV.SALES.L02","view_id":"function","report_row_id":"balance_sheet","weight":1},{"leg_id":"MAP.PAYROLL.INSOLV.SALES.L02","view_id":"cost_centre","report_row_id":"SALES","weight":1},{"leg_id":"MAP.PAYROLL.INSOLV.SALES.L02","view_id":"vendor","report_row_id":"PAYROLL","weight":1},{"leg_id":"MAP.PAYROLL.INSOLV.SALES.L02","view_id":"recurrence","report_row_id":"not_applicable","weight":1},{"leg_id":"MAP.PAYROLL.INSOLV.SALES.L02","view_id":"commitment","report_row_id":"not_applicable","weight":1},{"leg_id":"MAP.PAYROLL.INSOLV.SALES.L02","view_id":"behaviour","report_row_id":"not_applicable","weight":1}]},{"mapping_id":"MAP.PAYROLL.BG.MGMT","source_row_id":"PPL.BG","posting_owner":"People","stream":"CORPORATE","cost_centre":"MGMT","vendor_id":"PAYROLL","tax_code":"NONE","cash_class":"operating","classification":{"recurrence":"recurring","commitment":"committed","behaviour":"fixed"},"legs":[{"leg_id":"MAP.PAYROLL.BG.MGMT.L01","side":"debit","account_id":"GL.PEOPLE.BG","amount_component":"payroll_component"},{"leg_id":"MAP.PAYROLL.BG.MGMT.L02","side":"credit","account_id":"GL.CASH","amount_component":"payroll_component"}],"report_allocations":[{"leg_id":"MAP.PAYROLL.BG.MGMT.L01","view_id":"statement","report_row_id":"PNL.PEOPLE","weight":1},{"leg_id":"MAP.PAYROLL.BG.MGMT.L01","view_id":"nature","report_row_id":"people","weight":1},{"leg_id":"MAP.PAYROLL.BG.MGMT.L01","view_id":"function","report_row_id":"general_admin","weight":1},{"leg_id":"MAP.PAYROLL.BG.MGMT.L01","view_id":"cost_centre","report_row_id":"MGMT","weight":1},{"leg_id":"MAP.PAYROLL.BG.MGMT.L01","view_id":"vendor","report_row_id":"PAYROLL","weight":1},{"leg_id":"MAP.PAYROLL.BG.MGMT.L01","view_id":"recurrence","report_row_id":"recurring","weight":1},{"leg_id":"MAP.PAYROLL.BG.MGMT.L01","view_id":"commitment","report_row_id":"committed","weight":1},{"leg_id":"MAP.PAYROLL.BG.MGMT.L01","view_id":"behaviour","report_row_id":"fixed","weight":1},{"leg_id":"MAP.PAYROLL.BG.MGMT.L02","view_id":"statement","report_row_id":"BS.CASH","weight":1},{"leg_id":"MAP.PAYROLL.BG.MGMT.L02","view_id":"nature","report_row_id":"cash","weight":1},{"leg_id":"MAP.PAYROLL.BG.MGMT.L02","view_id":"function","report_row_id":"balance_sheet","weight":1},{"leg_id":"MAP.PAYROLL.BG.MGMT.L02","view_id":"cost_centre","report_row_id":"MGMT","weight":1},{"leg_id":"MAP.PAYROLL.BG.MGMT.L02","view_id":"vendor","report_row_id":"PAYROLL","weight":1},{"leg_id":"MAP.PAYROLL.BG.MGMT.L02","view_id":"recurrence","report_row_id":"not_applicable","weight":1},{"leg_id":"MAP.PAYROLL.BG.MGMT.L02","view_id":"commitment","report_row_id":"not_applicable","weight":1},{"leg_id":"MAP.PAYROLL.BG.MGMT.L02","view_id":"behaviour","report_row_id":"not_applicable","weight":1}]},{"mapping_id":"MAP.PAYROLL.BG.ENG","source_row_id":"PPL.BG","posting_owner":"People","stream":"CORPORATE","cost_centre":"ENG","vendor_id":"PAYROLL","tax_code":"NONE","cash_class":"operating","classification":{"recurrence":"recurring","commitment":"committed","behaviour":"fixed"},"legs":[{"leg_id":"MAP.PAYROLL.BG.ENG.L01","side":"debit","account_id":"GL.PEOPLE.BG","amount_component":"payroll_component"},{"leg_id":"MAP.PAYROLL.BG.ENG.L02","side":"credit","account_id":"GL.CASH","amount_component":"payroll_component"}],"report_allocations":[{"leg_id":"MAP.PAYROLL.BG.ENG.L01","view_id":"statement","report_row_id":"PNL.PEOPLE","weight":1},{"leg_id":"MAP.PAYROLL.BG.ENG.L01","view_id":"nature","report_row_id":"people","weight":1},{"leg_id":"MAP.PAYROLL.BG.ENG.L01","view_id":"function","report_row_id":"research_development","weight":1},{"leg_id":"MAP.PAYROLL.BG.ENG.L01","view_id":"cost_centre","report_row_id":"ENG","weight":1},{"leg_id":"MAP.PAYROLL.BG.ENG.L01","view_id":"vendor","report_row_id":"PAYROLL","weight":1},{"leg_id":"MAP.PAYROLL.BG.ENG.L01","view_id":"recurrence","report_row_id":"recurring","weight":1},{"leg_id":"MAP.PAYROLL.BG.ENG.L01","view_id":"commitment","report_row_id":"committed","weight":1},{"leg_id":"MAP.PAYROLL.BG.ENG.L01","view_id":"behaviour","report_row_id":"fixed","weight":1},{"leg_id":"MAP.PAYROLL.BG.ENG.L02","view_id":"statement","report_row_id":"BS.CASH","weight":1},{"leg_id":"MAP.PAYROLL.BG.ENG.L02","view_id":"nature","report_row_id":"cash","weight":1},{"leg_id":"MAP.PAYROLL.BG.ENG.L02","view_id":"function","report_row_id":"balance_sheet","weight":1},{"leg_id":"MAP.PAYROLL.BG.ENG.L02","view_id":"cost_centre","report_row_id":"ENG","weight":1},{"leg_id":"MAP.PAYROLL.BG.ENG.L02","view_id":"vendor","report_row_id":"PAYROLL","weight":1},{"leg_id":"MAP.PAYROLL.BG.ENG.L02","view_id":"recurrence","report_row_id":"not_applicable","weight":1},{"leg_id":"MAP.PAYROLL.BG.ENG.L02","view_id":"commitment","report_row_id":"not_applicable","weight":1},{"leg_id":"MAP.PAYROLL.BG.ENG.L02","view_id":"behaviour","report_row_id":"not_applicable","weight":1}]},{"mapping_id":"MAP.PAYROLL.BG.COMP","source_row_id":"PPL.BG","posting_owner":"People","stream":"CORPORATE","cost_centre":"COMP","vendor_id":"PAYROLL","tax_code":"NONE","cash_class":"operating","classification":{"recurrence":"recurring","commitment":"committed","behaviour":"fixed"},"legs":[{"leg_id":"MAP.PAYROLL.BG.COMP.L01","side":"debit","account_id":"GL.PEOPLE.BG","amount_component":"payroll_component"},{"leg_id":"MAP.PAYROLL.BG.COMP.L02","side":"credit","account_id":"GL.CASH","amount_component":"payroll_component"}],"report_allocations":[{"leg_id":"MAP.PAYROLL.BG.COMP.L01","view_id":"statement","report_row_id":"PNL.PEOPLE","weight":1},{"leg_id":"MAP.PAYROLL.BG.COMP.L01","view_id":"nature","report_row_id":"people","weight":1},{"leg_id":"MAP.PAYROLL.BG.COMP.L01","view_id":"function","report_row_id":"general_admin","weight":1},{"leg_id":"MAP.PAYROLL.BG.COMP.L01","view_id":"cost_centre","report_row_id":"COMP","weight":1},{"leg_id":"MAP.PAYROLL.BG.COMP.L01","view_id":"vendor","report_row_id":"PAYROLL","weight":1},{"leg_id":"MAP.PAYROLL.BG.COMP.L01","view_id":"recurrence","report_row_id":"recurring","weight":1},{"leg_id":"MAP.PAYROLL.BG.COMP.L01","view_id":"commitment","report_row_id":"committed","weight":1},{"leg_id":"MAP.PAYROLL.BG.COMP.L01","view_id":"behaviour","report_row_id":"fixed","weight":1},{"leg_id":"MAP.PAYROLL.BG.COMP.L02","view_id":"statement","report_row_id":"BS.CASH","weight":1},{"leg_id":"MAP.PAYROLL.BG.COMP.L02","view_id":"nature","report_row_id":"cash","weight":1},{"leg_id":"MAP.PAYROLL.BG.COMP.L02","view_id":"function","report_row_id":"balance_sheet","weight":1},{"leg_id":"MAP.PAYROLL.BG.COMP.L02","view_id":"cost_centre","report_row_id":"COMP","weight":1},{"leg_id":"MAP.PAYROLL.BG.COMP.L02","view_id":"vendor","report_row_id":"PAYROLL","weight":1},{"leg_id":"MAP.PAYROLL.BG.COMP.L02","view_id":"recurrence","report_row_id":"not_applicable","weight":1},{"leg_id":"MAP.PAYROLL.BG.COMP.L02","view_id":"commitment","report_row_id":"not_applicable","weight":1},{"leg_id":"MAP.PAYROLL.BG.COMP.L02","view_id":"behaviour","report_row_id":"not_applicable","weight":1}]},{"mapping_id":"MAP.PAYROLL.BG.PROD","source_row_id":"PPL.BG","posting_owner":"People","stream":"CORPORATE","cost_centre":"PROD","vendor_id":"PAYROLL","tax_code":"NONE","cash_class":"operating","classification":{"recurrence":"recurring","commitment":"committed","behaviour":"fixed"},"legs":[{"leg_id":"MAP.PAYROLL.BG.PROD.L01","side":"debit","account_id":"GL.PEOPLE.BG","amount_component":"payroll_component"},{"leg_id":"MAP.PAYROLL.BG.PROD.L02","side":"credit","account_id":"GL.CASH","amount_component":"payroll_component"}],"report_allocations":[{"leg_id":"MAP.PAYROLL.BG.PROD.L01","view_id":"statement","report_row_id":"PNL.PEOPLE","weight":1},{"leg_id":"MAP.PAYROLL.BG.PROD.L01","view_id":"nature","report_row_id":"people","weight":1},{"leg_id":"MAP.PAYROLL.BG.PROD.L01","view_id":"function","report_row_id":"research_development","weight":1},{"leg_id":"MAP.PAYROLL.BG.PROD.L01","view_id":"cost_centre","report_row_id":"PROD","weight":1},{"leg_id":"MAP.PAYROLL.BG.PROD.L01","view_id":"vendor","report_row_id":"PAYROLL","weight":1},{"leg_id":"MAP.PAYROLL.BG.PROD.L01","view_id":"recurrence","report_row_id":"recurring","weight":1},{"leg_id":"MAP.PAYROLL.BG.PROD.L01","view_id":"commitment","report_row_id":"committed","weight":1},{"leg_id":"MAP.PAYROLL.BG.PROD.L01","view_id":"behaviour","report_row_id":"fixed","weight":1},{"leg_id":"MAP.PAYROLL.BG.PROD.L02","view_id":"statement","report_row_id":"BS.CASH","weight":1},{"leg_id":"MAP.PAYROLL.BG.PROD.L02","view_id":"nature","report_row_id":"cash","weight":1},{"leg_id":"MAP.PAYROLL.BG.PROD.L02","view_id":"function","report_row_id":"balance_sheet","weight":1},{"leg_id":"MAP.PAYROLL.BG.PROD.L02","view_id":"cost_centre","report_row_id":"PROD","weight":1},{"leg_id":"MAP.PAYROLL.BG.PROD.L02","view_id":"vendor","report_row_id":"PAYROLL","weight":1},{"leg_id":"MAP.PAYROLL.BG.PROD.L02","view_id":"recurrence","report_row_id":"not_applicable","weight":1},{"leg_id":"MAP.PAYROLL.BG.PROD.L02","view_id":"commitment","report_row_id":"not_applicable","weight":1},{"leg_id":"MAP.PAYROLL.BG.PROD.L02","view_id":"behaviour","report_row_id":"not_applicable","weight":1}]},{"mapping_id":"MAP.PAYROLL.BG.MKT","source_row_id":"PPL.BG","posting_owner":"People","stream":"CORPORATE","cost_centre":"MKT","vendor_id":"PAYROLL","tax_code":"NONE","cash_class":"operating","classification":{"recurrence":"recurring","commitment":"committed","behaviour":"fixed"},"legs":[{"leg_id":"MAP.PAYROLL.BG.MKT.L01","side":"debit","account_id":"GL.PEOPLE.BG","amount_component":"payroll_component"},{"leg_id":"MAP.PAYROLL.BG.MKT.L02","side":"credit","account_id":"GL.CASH","amount_component":"payroll_component"}],"report_allocations":[{"leg_id":"MAP.PAYROLL.BG.MKT.L01","view_id":"statement","report_row_id":"PNL.PEOPLE","weight":1},{"leg_id":"MAP.PAYROLL.BG.MKT.L01","view_id":"nature","report_row_id":"people","weight":1},{"leg_id":"MAP.PAYROLL.BG.MKT.L01","view_id":"function","report_row_id":"sales_marketing","weight":1},{"leg_id":"MAP.PAYROLL.BG.MKT.L01","view_id":"cost_centre","report_row_id":"MKT","weight":1},{"leg_id":"MAP.PAYROLL.BG.MKT.L01","view_id":"vendor","report_row_id":"PAYROLL","weight":1},{"leg_id":"MAP.PAYROLL.BG.MKT.L01","view_id":"recurrence","report_row_id":"recurring","weight":1},{"leg_id":"MAP.PAYROLL.BG.MKT.L01","view_id":"commitment","report_row_id":"committed","weight":1},{"leg_id":"MAP.PAYROLL.BG.MKT.L01","view_id":"behaviour","report_row_id":"fixed","weight":1},{"leg_id":"MAP.PAYROLL.BG.MKT.L02","view_id":"statement","report_row_id":"BS.CASH","weight":1},{"leg_id":"MAP.PAYROLL.BG.MKT.L02","view_id":"nature","report_row_id":"cash","weight":1},{"leg_id":"MAP.PAYROLL.BG.MKT.L02","view_id":"function","report_row_id":"balance_sheet","weight":1},{"leg_id":"MAP.PAYROLL.BG.MKT.L02","view_id":"cost_centre","report_row_id":"MKT","weight":1},{"leg_id":"MAP.PAYROLL.BG.MKT.L02","view_id":"vendor","report_row_id":"PAYROLL","weight":1},{"leg_id":"MAP.PAYROLL.BG.MKT.L02","view_id":"recurrence","report_row_id":"not_applicable","weight":1},{"leg_id":"MAP.PAYROLL.BG.MKT.L02","view_id":"commitment","report_row_id":"not_applicable","weight":1},{"leg_id":"MAP.PAYROLL.BG.MKT.L02","view_id":"behaviour","report_row_id":"not_applicable","weight":1}]},{"mapping_id":"MAP.PAYROLL.BG.SUP","source_row_id":"PPL.BG","posting_owner":"People","stream":"CORPORATE","cost_centre":"SUP","vendor_id":"PAYROLL","tax_code":"NONE","cash_class":"operating","classification":{"recurrence":"recurring","commitment":"committed","behaviour":"fixed"},"legs":[{"leg_id":"MAP.PAYROLL.BG.SUP.L01","side":"debit","account_id":"GL.PEOPLE.BG","amount_component":"payroll_component"},{"leg_id":"MAP.PAYROLL.BG.SUP.L02","side":"credit","account_id":"GL.CASH","amount_component":"payroll_component"}],"report_allocations":[{"leg_id":"MAP.PAYROLL.BG.SUP.L01","view_id":"statement","report_row_id":"PNL.PEOPLE","weight":1},{"leg_id":"MAP.PAYROLL.BG.SUP.L01","view_id":"nature","report_row_id":"people","weight":1},{"leg_id":"MAP.PAYROLL.BG.SUP.L01","view_id":"function","report_row_id":"cost_of_revenue","weight":1},{"leg_id":"MAP.PAYROLL.BG.SUP.L01","view_id":"cost_centre","report_row_id":"SUP","weight":1},{"leg_id":"MAP.PAYROLL.BG.SUP.L01","view_id":"vendor","report_row_id":"PAYROLL","weight":1},{"leg_id":"MAP.PAYROLL.BG.SUP.L01","view_id":"recurrence","report_row_id":"recurring","weight":1},{"leg_id":"MAP.PAYROLL.BG.SUP.L01","view_id":"commitment","report_row_id":"committed","weight":1},{"leg_id":"MAP.PAYROLL.BG.SUP.L01","view_id":"behaviour","report_row_id":"fixed","weight":1},{"leg_id":"MAP.PAYROLL.BG.SUP.L02","view_id":"statement","report_row_id":"BS.CASH","weight":1},{"leg_id":"MAP.PAYROLL.BG.SUP.L02","view_id":"nature","report_row_id":"cash","weight":1},{"leg_id":"MAP.PAYROLL.BG.SUP.L02","view_id":"function","report_row_id":"balance_sheet","weight":1},{"leg_id":"MAP.PAYROLL.BG.SUP.L02","view_id":"cost_centre","report_row_id":"SUP","weight":1},{"leg_id":"MAP.PAYROLL.BG.SUP.L02","view_id":"vendor","report_row_id":"PAYROLL","weight":1},{"leg_id":"MAP.PAYROLL.BG.SUP.L02","view_id":"recurrence","report_row_id":"not_applicable","weight":1},{"leg_id":"MAP.PAYROLL.BG.SUP.L02","view_id":"commitment","report_row_id":"not_applicable","weight":1},{"leg_id":"MAP.PAYROLL.BG.SUP.L02","view_id":"behaviour","report_row_id":"not_applicable","weight":1}]},{"mapping_id":"MAP.PAYROLL.BG.FIN","source_row_id":"PPL.BG","posting_owner":"People","stream":"CORPORATE","cost_centre":"FIN","vendor_id":"PAYROLL","tax_code":"NONE","cash_class":"operating","classification":{"recurrence":"recurring","commitment":"committed","behaviour":"fixed"},"legs":[{"leg_id":"MAP.PAYROLL.BG.FIN.L01","side":"debit","account_id":"GL.PEOPLE.BG","amount_component":"payroll_component"},{"leg_id":"MAP.PAYROLL.BG.FIN.L02","side":"credit","account_id":"GL.CASH","amount_component":"payroll_component"}],"report_allocations":[{"leg_id":"MAP.PAYROLL.BG.FIN.L01","view_id":"statement","report_row_id":"PNL.PEOPLE","weight":1},{"leg_id":"MAP.PAYROLL.BG.FIN.L01","view_id":"nature","report_row_id":"people","weight":1},{"leg_id":"MAP.PAYROLL.BG.FIN.L01","view_id":"function","report_row_id":"general_admin","weight":1},{"leg_id":"MAP.PAYROLL.BG.FIN.L01","view_id":"cost_centre","report_row_id":"FIN","weight":1},{"leg_id":"MAP.PAYROLL.BG.FIN.L01","view_id":"vendor","report_row_id":"PAYROLL","weight":1},{"leg_id":"MAP.PAYROLL.BG.FIN.L01","view_id":"recurrence","report_row_id":"recurring","weight":1},{"leg_id":"MAP.PAYROLL.BG.FIN.L01","view_id":"commitment","report_row_id":"committed","weight":1},{"leg_id":"MAP.PAYROLL.BG.FIN.L01","view_id":"behaviour","report_row_id":"fixed","weight":1},{"leg_id":"MAP.PAYROLL.BG.FIN.L02","view_id":"statement","report_row_id":"BS.CASH","weight":1},{"leg_id":"MAP.PAYROLL.BG.FIN.L02","view_id":"nature","report_row_id":"cash","weight":1},{"leg_id":"MAP.PAYROLL.BG.FIN.L02","view_id":"function","report_row_id":"balance_sheet","weight":1},{"leg_id":"MAP.PAYROLL.BG.FIN.L02","view_id":"cost_centre","report_row_id":"FIN","weight":1},{"leg_id":"MAP.PAYROLL.BG.FIN.L02","view_id":"vendor","report_row_id":"PAYROLL","weight":1},{"leg_id":"MAP.PAYROLL.BG.FIN.L02","view_id":"recurrence","report_row_id":"not_applicable","weight":1},{"leg_id":"MAP.PAYROLL.BG.FIN.L02","view_id":"commitment","report_row_id":"not_applicable","weight":1},{"leg_id":"MAP.PAYROLL.BG.FIN.L02","view_id":"behaviour","report_row_id":"not_applicable","weight":1}]},{"mapping_id":"MAP.PAYROLL.BG.SALES","source_row_id":"PPL.BG","posting_owner":"People","stream":"CORPORATE","cost_centre":"SALES","vendor_id":"PAYROLL","tax_code":"NONE","cash_class":"operating","classification":{"recurrence":"recurring","commitment":"committed","behaviour":"fixed"},"legs":[{"leg_id":"MAP.PAYROLL.BG.SALES.L01","side":"debit","account_id":"GL.PEOPLE.BG","amount_component":"payroll_component"},{"leg_id":"MAP.PAYROLL.BG.SALES.L02","side":"credit","account_id":"GL.CASH","amount_component":"payroll_component"}],"report_allocations":[{"leg_id":"MAP.PAYROLL.BG.SALES.L01","view_id":"statement","report_row_id":"PNL.PEOPLE","weight":1},{"leg_id":"MAP.PAYROLL.BG.SALES.L01","view_id":"nature","report_row_id":"people","weight":1},{"leg_id":"MAP.PAYROLL.BG.SALES.L01","view_id":"function","report_row_id":"sales_marketing","weight":1},{"leg_id":"MAP.PAYROLL.BG.SALES.L01","view_id":"cost_centre","report_row_id":"SALES","weight":1},{"leg_id":"MAP.PAYROLL.BG.SALES.L01","view_id":"vendor","report_row_id":"PAYROLL","weight":1},{"leg_id":"MAP.PAYROLL.BG.SALES.L01","view_id":"recurrence","report_row_id":"recurring","weight":1},{"leg_id":"MAP.PAYROLL.BG.SALES.L01","view_id":"commitment","report_row_id":"committed","weight":1},{"leg_id":"MAP.PAYROLL.BG.SALES.L01","view_id":"behaviour","report_row_id":"fixed","weight":1},{"leg_id":"MAP.PAYROLL.BG.SALES.L02","view_id":"statement","report_row_id":"BS.CASH","weight":1},{"leg_id":"MAP.PAYROLL.BG.SALES.L02","view_id":"nature","report_row_id":"cash","weight":1},{"leg_id":"MAP.PAYROLL.BG.SALES.L02","view_id":"function","report_row_id":"balance_sheet","weight":1},{"leg_id":"MAP.PAYROLL.BG.SALES.L02","view_id":"cost_centre","report_row_id":"SALES","weight":1},{"leg_id":"MAP.PAYROLL.BG.SALES.L02","view_id":"vendor","report_row_id":"PAYROLL","weight":1},{"leg_id":"MAP.PAYROLL.BG.SALES.L02","view_id":"recurrence","report_row_id":"not_applicable","weight":1},{"leg_id":"MAP.PAYROLL.BG.SALES.L02","view_id":"commitment","report_row_id":"not_applicable","weight":1},{"leg_id":"MAP.PAYROLL.BG.SALES.L02","view_id":"behaviour","report_row_id":"not_applicable","weight":1}]},{"mapping_id":"MAP.DEPR.IT.MGMT","source_row_id":"CAP.DEPRECIATION","posting_owner":"Capex","stream":"CORPORATE","cost_centre":"MGMT","vendor_id":"UNKNOWN_FORECAST","tax_code":"NONE","cash_class":"noncash","classification":{"recurrence":"recurring","commitment":"committed","behaviour":"fixed"},"legs":[{"leg_id":"MAP.DEPR.IT.MGMT.L01","side":"debit","account_id":"GL.DEPR.IT","amount_component":"depreciation"},{"leg_id":"MAP.DEPR.IT.MGMT.L02","side":"credit","account_id":"GL.ACCDEP.IT","amount_component":"depreciation"}],"report_allocations":[{"leg_id":"MAP.DEPR.IT.MGMT.L01","view_id":"statement","report_row_id":"PNL.DEPRECIATION","weight":1},{"leg_id":"MAP.DEPR.IT.MGMT.L01","view_id":"nature","report_row_id":"depreciation","weight":1},{"leg_id":"MAP.DEPR.IT.MGMT.L01","view_id":"function","report_row_id":"general_admin","weight":1},{"leg_id":"MAP.DEPR.IT.MGMT.L01","view_id":"cost_centre","report_row_id":"MGMT","weight":1},{"leg_id":"MAP.DEPR.IT.MGMT.L01","view_id":"vendor","report_row_id":"UNKNOWN_FORECAST","weight":1},{"leg_id":"MAP.DEPR.IT.MGMT.L01","view_id":"recurrence","report_row_id":"recurring","weight":1},{"leg_id":"MAP.DEPR.IT.MGMT.L01","view_id":"commitment","report_row_id":"committed","weight":1},{"leg_id":"MAP.DEPR.IT.MGMT.L01","view_id":"behaviour","report_row_id":"fixed","weight":1},{"leg_id":"MAP.DEPR.IT.MGMT.L02","view_id":"statement","report_row_id":"BS.ACC_DEP","weight":1},{"leg_id":"MAP.DEPR.IT.MGMT.L02","view_id":"nature","report_row_id":"acc_dep","weight":1},{"leg_id":"MAP.DEPR.IT.MGMT.L02","view_id":"function","report_row_id":"balance_sheet","weight":1},{"leg_id":"MAP.DEPR.IT.MGMT.L02","view_id":"cost_centre","report_row_id":"MGMT","weight":1},{"leg_id":"MAP.DEPR.IT.MGMT.L02","view_id":"vendor","report_row_id":"UNKNOWN_FORECAST","weight":1},{"leg_id":"MAP.DEPR.IT.MGMT.L02","view_id":"recurrence","report_row_id":"not_applicable","weight":1},{"leg_id":"MAP.DEPR.IT.MGMT.L02","view_id":"commitment","report_row_id":"not_applicable","weight":1},{"leg_id":"MAP.DEPR.IT.MGMT.L02","view_id":"behaviour","report_row_id":"not_applicable","weight":1}]},{"mapping_id":"MAP.DEPR.IT.ENG","source_row_id":"CAP.DEPRECIATION","posting_owner":"Capex","stream":"CORPORATE","cost_centre":"ENG","vendor_id":"UNKNOWN_FORECAST","tax_code":"NONE","cash_class":"noncash","classification":{"recurrence":"recurring","commitment":"committed","behaviour":"fixed"},"legs":[{"leg_id":"MAP.DEPR.IT.ENG.L01","side":"debit","account_id":"GL.DEPR.IT","amount_component":"depreciation"},{"leg_id":"MAP.DEPR.IT.ENG.L02","side":"credit","account_id":"GL.ACCDEP.IT","amount_component":"depreciation"}],"report_allocations":[{"leg_id":"MAP.DEPR.IT.ENG.L01","view_id":"statement","report_row_id":"PNL.DEPRECIATION","weight":1},{"leg_id":"MAP.DEPR.IT.ENG.L01","view_id":"nature","report_row_id":"depreciation","weight":1},{"leg_id":"MAP.DEPR.IT.ENG.L01","view_id":"function","report_row_id":"research_development","weight":1},{"leg_id":"MAP.DEPR.IT.ENG.L01","view_id":"cost_centre","report_row_id":"ENG","weight":1},{"leg_id":"MAP.DEPR.IT.ENG.L01","view_id":"vendor","report_row_id":"UNKNOWN_FORECAST","weight":1},{"leg_id":"MAP.DEPR.IT.ENG.L01","view_id":"recurrence","report_row_id":"recurring","weight":1},{"leg_id":"MAP.DEPR.IT.ENG.L01","view_id":"commitment","report_row_id":"committed","weight":1},{"leg_id":"MAP.DEPR.IT.ENG.L01","view_id":"behaviour","report_row_id":"fixed","weight":1},{"leg_id":"MAP.DEPR.IT.ENG.L02","view_id":"statement","report_row_id":"BS.ACC_DEP","weight":1},{"leg_id":"MAP.DEPR.IT.ENG.L02","view_id":"nature","report_row_id":"acc_dep","weight":1},{"leg_id":"MAP.DEPR.IT.ENG.L02","view_id":"function","report_row_id":"balance_sheet","weight":1},{"leg_id":"MAP.DEPR.IT.ENG.L02","view_id":"cost_centre","report_row_id":"ENG","weight":1},{"leg_id":"MAP.DEPR.IT.ENG.L02","view_id":"vendor","report_row_id":"UNKNOWN_FORECAST","weight":1},{"leg_id":"MAP.DEPR.IT.ENG.L02","view_id":"recurrence","report_row_id":"not_applicable","weight":1},{"leg_id":"MAP.DEPR.IT.ENG.L02","view_id":"commitment","report_row_id":"not_applicable","weight":1},{"leg_id":"MAP.DEPR.IT.ENG.L02","view_id":"behaviour","report_row_id":"not_applicable","weight":1}]},{"mapping_id":"MAP.DEPR.IT.COMP","source_row_id":"CAP.DEPRECIATION","posting_owner":"Capex","stream":"CORPORATE","cost_centre":"COMP","vendor_id":"UNKNOWN_FORECAST","tax_code":"NONE","cash_class":"noncash","classification":{"recurrence":"recurring","commitment":"committed","behaviour":"fixed"},"legs":[{"leg_id":"MAP.DEPR.IT.COMP.L01","side":"debit","account_id":"GL.DEPR.IT","amount_component":"depreciation"},{"leg_id":"MAP.DEPR.IT.COMP.L02","side":"credit","account_id":"GL.ACCDEP.IT","amount_component":"depreciation"}],"report_allocations":[{"leg_id":"MAP.DEPR.IT.COMP.L01","view_id":"statement","report_row_id":"PNL.DEPRECIATION","weight":1},{"leg_id":"MAP.DEPR.IT.COMP.L01","view_id":"nature","report_row_id":"depreciation","weight":1},{"leg_id":"MAP.DEPR.IT.COMP.L01","view_id":"function","report_row_id":"general_admin","weight":1},{"leg_id":"MAP.DEPR.IT.COMP.L01","view_id":"cost_centre","report_row_id":"COMP","weight":1},{"leg_id":"MAP.DEPR.IT.COMP.L01","view_id":"vendor","report_row_id":"UNKNOWN_FORECAST","weight":1},{"leg_id":"MAP.DEPR.IT.COMP.L01","view_id":"recurrence","report_row_id":"recurring","weight":1},{"leg_id":"MAP.DEPR.IT.COMP.L01","view_id":"commitment","report_row_id":"committed","weight":1},{"leg_id":"MAP.DEPR.IT.COMP.L01","view_id":"behaviour","report_row_id":"fixed","weight":1},{"leg_id":"MAP.DEPR.IT.COMP.L02","view_id":"statement","report_row_id":"BS.ACC_DEP","weight":1},{"leg_id":"MAP.DEPR.IT.COMP.L02","view_id":"nature","report_row_id":"acc_dep","weight":1},{"leg_id":"MAP.DEPR.IT.COMP.L02","view_id":"function","report_row_id":"balance_sheet","weight":1},{"leg_id":"MAP.DEPR.IT.COMP.L02","view_id":"cost_centre","report_row_id":"COMP","weight":1},{"leg_id":"MAP.DEPR.IT.COMP.L02","view_id":"vendor","report_row_id":"UNKNOWN_FORECAST","weight":1},{"leg_id":"MAP.DEPR.IT.COMP.L02","view_id":"recurrence","report_row_id":"not_applicable","weight":1},{"leg_id":"MAP.DEPR.IT.COMP.L02","view_id":"commitment","report_row_id":"not_applicable","weight":1},{"leg_id":"MAP.DEPR.IT.COMP.L02","view_id":"behaviour","report_row_id":"not_applicable","weight":1}]},{"mapping_id":"MAP.DEPR.IT.PROD","source_row_id":"CAP.DEPRECIATION","posting_owner":"Capex","stream":"CORPORATE","cost_centre":"PROD","vendor_id":"UNKNOWN_FORECAST","tax_code":"NONE","cash_class":"noncash","classification":{"recurrence":"recurring","commitment":"committed","behaviour":"fixed"},"legs":[{"leg_id":"MAP.DEPR.IT.PROD.L01","side":"debit","account_id":"GL.DEPR.IT","amount_component":"depreciation"},{"leg_id":"MAP.DEPR.IT.PROD.L02","side":"credit","account_id":"GL.ACCDEP.IT","amount_component":"depreciation"}],"report_allocations":[{"leg_id":"MAP.DEPR.IT.PROD.L01","view_id":"statement","report_row_id":"PNL.DEPRECIATION","weight":1},{"leg_id":"MAP.DEPR.IT.PROD.L01","view_id":"nature","report_row_id":"depreciation","weight":1},{"leg_id":"MAP.DEPR.IT.PROD.L01","view_id":"function","report_row_id":"research_development","weight":1},{"leg_id":"MAP.DEPR.IT.PROD.L01","view_id":"cost_centre","report_row_id":"PROD","weight":1},{"leg_id":"MAP.DEPR.IT.PROD.L01","view_id":"vendor","report_row_id":"UNKNOWN_FORECAST","weight":1},{"leg_id":"MAP.DEPR.IT.PROD.L01","view_id":"recurrence","report_row_id":"recurring","weight":1},{"leg_id":"MAP.DEPR.IT.PROD.L01","view_id":"commitment","report_row_id":"committed","weight":1},{"leg_id":"MAP.DEPR.IT.PROD.L01","view_id":"behaviour","report_row_id":"fixed","weight":1},{"leg_id":"MAP.DEPR.IT.PROD.L02","view_id":"statement","report_row_id":"BS.ACC_DEP","weight":1},{"leg_id":"MAP.DEPR.IT.PROD.L02","view_id":"nature","report_row_id":"acc_dep","weight":1},{"leg_id":"MAP.DEPR.IT.PROD.L02","view_id":"function","report_row_id":"balance_sheet","weight":1},{"leg_id":"MAP.DEPR.IT.PROD.L02","view_id":"cost_centre","report_row_id":"PROD","weight":1},{"leg_id":"MAP.DEPR.IT.PROD.L02","view_id":"vendor","report_row_id":"UNKNOWN_FORECAST","weight":1},{"leg_id":"MAP.DEPR.IT.PROD.L02","view_id":"recurrence","report_row_id":"not_applicable","weight":1},{"leg_id":"MAP.DEPR.IT.PROD.L02","view_id":"commitment","report_row_id":"not_applicable","weight":1},{"leg_id":"MAP.DEPR.IT.PROD.L02","view_id":"behaviour","report_row_id":"not_applicable","weight":1}]},{"mapping_id":"MAP.DEPR.IT.MKT","source_row_id":"CAP.DEPRECIATION","posting_owner":"Capex","stream":"CORPORATE","cost_centre":"MKT","vendor_id":"UNKNOWN_FORECAST","tax_code":"NONE","cash_class":"noncash","classification":{"recurrence":"recurring","commitment":"committed","behaviour":"fixed"},"legs":[{"leg_id":"MAP.DEPR.IT.MKT.L01","side":"debit","account_id":"GL.DEPR.IT","amount_component":"depreciation"},{"leg_id":"MAP.DEPR.IT.MKT.L02","side":"credit","account_id":"GL.ACCDEP.IT","amount_component":"depreciation"}],"report_allocations":[{"leg_id":"MAP.DEPR.IT.MKT.L01","view_id":"statement","report_row_id":"PNL.DEPRECIATION","weight":1},{"leg_id":"MAP.DEPR.IT.MKT.L01","view_id":"nature","report_row_id":"depreciation","weight":1},{"leg_id":"MAP.DEPR.IT.MKT.L01","view_id":"function","report_row_id":"sales_marketing","weight":1},{"leg_id":"MAP.DEPR.IT.MKT.L01","view_id":"cost_centre","report_row_id":"MKT","weight":1},{"leg_id":"MAP.DEPR.IT.MKT.L01","view_id":"vendor","report_row_id":"UNKNOWN_FORECAST","weight":1},{"leg_id":"MAP.DEPR.IT.MKT.L01","view_id":"recurrence","report_row_id":"recurring","weight":1},{"leg_id":"MAP.DEPR.IT.MKT.L01","view_id":"commitment","report_row_id":"committed","weight":1},{"leg_id":"MAP.DEPR.IT.MKT.L01","view_id":"behaviour","report_row_id":"fixed","weight":1},{"leg_id":"MAP.DEPR.IT.MKT.L02","view_id":"statement","report_row_id":"BS.ACC_DEP","weight":1},{"leg_id":"MAP.DEPR.IT.MKT.L02","view_id":"nature","report_row_id":"acc_dep","weight":1},{"leg_id":"MAP.DEPR.IT.MKT.L02","view_id":"function","report_row_id":"balance_sheet","weight":1},{"leg_id":"MAP.DEPR.IT.MKT.L02","view_id":"cost_centre","report_row_id":"MKT","weight":1},{"leg_id":"MAP.DEPR.IT.MKT.L02","view_id":"vendor","report_row_id":"UNKNOWN_FORECAST","weight":1},{"leg_id":"MAP.DEPR.IT.MKT.L02","view_id":"recurrence","report_row_id":"not_applicable","weight":1},{"leg_id":"MAP.DEPR.IT.MKT.L02","view_id":"commitment","report_row_id":"not_applicable","weight":1},{"leg_id":"MAP.DEPR.IT.MKT.L02","view_id":"behaviour","report_row_id":"not_applicable","weight":1}]},{"mapping_id":"MAP.DEPR.IT.SUP","source_row_id":"CAP.DEPRECIATION","posting_owner":"Capex","stream":"CORPORATE","cost_centre":"SUP","vendor_id":"UNKNOWN_FORECAST","tax_code":"NONE","cash_class":"noncash","classification":{"recurrence":"recurring","commitment":"committed","behaviour":"fixed"},"legs":[{"leg_id":"MAP.DEPR.IT.SUP.L01","side":"debit","account_id":"GL.DEPR.IT","amount_component":"depreciation"},{"leg_id":"MAP.DEPR.IT.SUP.L02","side":"credit","account_id":"GL.ACCDEP.IT","amount_component":"depreciation"}],"report_allocations":[{"leg_id":"MAP.DEPR.IT.SUP.L01","view_id":"statement","report_row_id":"PNL.DEPRECIATION","weight":1},{"leg_id":"MAP.DEPR.IT.SUP.L01","view_id":"nature","report_row_id":"depreciation","weight":1},{"leg_id":"MAP.DEPR.IT.SUP.L01","view_id":"function","report_row_id":"cost_of_revenue","weight":1},{"leg_id":"MAP.DEPR.IT.SUP.L01","view_id":"cost_centre","report_row_id":"SUP","weight":1},{"leg_id":"MAP.DEPR.IT.SUP.L01","view_id":"vendor","report_row_id":"UNKNOWN_FORECAST","weight":1},{"leg_id":"MAP.DEPR.IT.SUP.L01","view_id":"recurrence","report_row_id":"recurring","weight":1},{"leg_id":"MAP.DEPR.IT.SUP.L01","view_id":"commitment","report_row_id":"committed","weight":1},{"leg_id":"MAP.DEPR.IT.SUP.L01","view_id":"behaviour","report_row_id":"fixed","weight":1},{"leg_id":"MAP.DEPR.IT.SUP.L02","view_id":"statement","report_row_id":"BS.ACC_DEP","weight":1},{"leg_id":"MAP.DEPR.IT.SUP.L02","view_id":"nature","report_row_id":"acc_dep","weight":1},{"leg_id":"MAP.DEPR.IT.SUP.L02","view_id":"function","report_row_id":"balance_sheet","weight":1},{"leg_id":"MAP.DEPR.IT.SUP.L02","view_id":"cost_centre","report_row_id":"SUP","weight":1},{"leg_id":"MAP.DEPR.IT.SUP.L02","view_id":"vendor","report_row_id":"UNKNOWN_FORECAST","weight":1},{"leg_id":"MAP.DEPR.IT.SUP.L02","view_id":"recurrence","report_row_id":"not_applicable","weight":1},{"leg_id":"MAP.DEPR.IT.SUP.L02","view_id":"commitment","report_row_id":"not_applicable","weight":1},{"leg_id":"MAP.DEPR.IT.SUP.L02","view_id":"behaviour","report_row_id":"not_applicable","weight":1}]},{"mapping_id":"MAP.DEPR.IT.FIN","source_row_id":"CAP.DEPRECIATION","posting_owner":"Capex","stream":"CORPORATE","cost_centre":"FIN","vendor_id":"UNKNOWN_FORECAST","tax_code":"NONE","cash_class":"noncash","classification":{"recurrence":"recurring","commitment":"committed","behaviour":"fixed"},"legs":[{"leg_id":"MAP.DEPR.IT.FIN.L01","side":"debit","account_id":"GL.DEPR.IT","amount_component":"depreciation"},{"leg_id":"MAP.DEPR.IT.FIN.L02","side":"credit","account_id":"GL.ACCDEP.IT","amount_component":"depreciation"}],"report_allocations":[{"leg_id":"MAP.DEPR.IT.FIN.L01","view_id":"statement","report_row_id":"PNL.DEPRECIATION","weight":1},{"leg_id":"MAP.DEPR.IT.FIN.L01","view_id":"nature","report_row_id":"depreciation","weight":1},{"leg_id":"MAP.DEPR.IT.FIN.L01","view_id":"function","report_row_id":"general_admin","weight":1},{"leg_id":"MAP.DEPR.IT.FIN.L01","view_id":"cost_centre","report_row_id":"FIN","weight":1},{"leg_id":"MAP.DEPR.IT.FIN.L01","view_id":"vendor","report_row_id":"UNKNOWN_FORECAST","weight":1},{"leg_id":"MAP.DEPR.IT.FIN.L01","view_id":"recurrence","report_row_id":"recurring","weight":1},{"leg_id":"MAP.DEPR.IT.FIN.L01","view_id":"commitment","report_row_id":"committed","weight":1},{"leg_id":"MAP.DEPR.IT.FIN.L01","view_id":"behaviour","report_row_id":"fixed","weight":1},{"leg_id":"MAP.DEPR.IT.FIN.L02","view_id":"statement","report_row_id":"BS.ACC_DEP","weight":1},{"leg_id":"MAP.DEPR.IT.FIN.L02","view_id":"nature","report_row_id":"acc_dep","weight":1},{"leg_id":"MAP.DEPR.IT.FIN.L02","view_id":"function","report_row_id":"balance_sheet","weight":1},{"leg_id":"MAP.DEPR.IT.FIN.L02","view_id":"cost_centre","report_row_id":"FIN","weight":1},{"leg_id":"MAP.DEPR.IT.FIN.L02","view_id":"vendor","report_row_id":"UNKNOWN_FORECAST","weight":1},{"leg_id":"MAP.DEPR.IT.FIN.L02","view_id":"recurrence","report_row_id":"not_applicable","weight":1},{"leg_id":"MAP.DEPR.IT.FIN.L02","view_id":"commitment","report_row_id":"not_applicable","weight":1},{"leg_id":"MAP.DEPR.IT.FIN.L02","view_id":"behaviour","report_row_id":"not_applicable","weight":1}]},{"mapping_id":"MAP.DEPR.IT.SALES","source_row_id":"CAP.DEPRECIATION","posting_owner":"Capex","stream":"CORPORATE","cost_centre":"SALES","vendor_id":"UNKNOWN_FORECAST","tax_code":"NONE","cash_class":"noncash","classification":{"recurrence":"recurring","commitment":"committed","behaviour":"fixed"},"legs":[{"leg_id":"MAP.DEPR.IT.SALES.L01","side":"debit","account_id":"GL.DEPR.IT","amount_component":"depreciation"},{"leg_id":"MAP.DEPR.IT.SALES.L02","side":"credit","account_id":"GL.ACCDEP.IT","amount_component":"depreciation"}],"report_allocations":[{"leg_id":"MAP.DEPR.IT.SALES.L01","view_id":"statement","report_row_id":"PNL.DEPRECIATION","weight":1},{"leg_id":"MAP.DEPR.IT.SALES.L01","view_id":"nature","report_row_id":"depreciation","weight":1},{"leg_id":"MAP.DEPR.IT.SALES.L01","view_id":"function","report_row_id":"sales_marketing","weight":1},{"leg_id":"MAP.DEPR.IT.SALES.L01","view_id":"cost_centre","report_row_id":"SALES","weight":1},{"leg_id":"MAP.DEPR.IT.SALES.L01","view_id":"vendor","report_row_id":"UNKNOWN_FORECAST","weight":1},{"leg_id":"MAP.DEPR.IT.SALES.L01","view_id":"recurrence","report_row_id":"recurring","weight":1},{"leg_id":"MAP.DEPR.IT.SALES.L01","view_id":"commitment","report_row_id":"committed","weight":1},{"leg_id":"MAP.DEPR.IT.SALES.L01","view_id":"behaviour","report_row_id":"fixed","weight":1},{"leg_id":"MAP.DEPR.IT.SALES.L02","view_id":"statement","report_row_id":"BS.ACC_DEP","weight":1},{"leg_id":"MAP.DEPR.IT.SALES.L02","view_id":"nature","report_row_id":"acc_dep","weight":1},{"leg_id":"MAP.DEPR.IT.SALES.L02","view_id":"function","report_row_id":"balance_sheet","weight":1},{"leg_id":"MAP.DEPR.IT.SALES.L02","view_id":"cost_centre","report_row_id":"SALES","weight":1},{"leg_id":"MAP.DEPR.IT.SALES.L02","view_id":"vendor","report_row_id":"UNKNOWN_FORECAST","weight":1},{"leg_id":"MAP.DEPR.IT.SALES.L02","view_id":"recurrence","report_row_id":"not_applicable","weight":1},{"leg_id":"MAP.DEPR.IT.SALES.L02","view_id":"commitment","report_row_id":"not_applicable","weight":1},{"leg_id":"MAP.DEPR.IT.SALES.L02","view_id":"behaviour","report_row_id":"not_applicable","weight":1}]},{"mapping_id":"MAP.DISPOSAL.IT","source_row_id":"CAP.GROSS","posting_owner":"Capex","stream":"CORPORATE","cost_centre":"CORP","vendor_id":"UNKNOWN_FORECAST","tax_code":"NONE","cash_class":"noncash","classification":{"recurrence":"not_applicable","commitment":"not_applicable","behaviour":"not_applicable"},"legs":[{"leg_id":"MAP.DISPOSAL.IT.L01","side":"debit","account_id":"GL.ACCDEP.IT","amount_component":"old_cost"},{"leg_id":"MAP.DISPOSAL.IT.L02","side":"credit","account_id":"GL.ASSET.IT","amount_component":"old_cost"}],"report_allocations":[{"leg_id":"MAP.DISPOSAL.IT.L01","view_id":"statement","report_row_id":"BS.ACC_DEP","weight":1},{"leg_id":"MAP.DISPOSAL.IT.L01","view_id":"nature","report_row_id":"acc_dep","weight":1},{"leg_id":"MAP.DISPOSAL.IT.L01","view_id":"function","report_row_id":"balance_sheet","weight":1},{"leg_id":"MAP.DISPOSAL.IT.L01","view_id":"cost_centre","report_row_id":"CORP","weight":1},{"leg_id":"MAP.DISPOSAL.IT.L01","view_id":"vendor","report_row_id":"UNKNOWN_FORECAST","weight":1},{"leg_id":"MAP.DISPOSAL.IT.L01","view_id":"recurrence","report_row_id":"not_applicable","weight":1},{"leg_id":"MAP.DISPOSAL.IT.L01","view_id":"commitment","report_row_id":"not_applicable","weight":1},{"leg_id":"MAP.DISPOSAL.IT.L01","view_id":"behaviour","report_row_id":"not_applicable","weight":1},{"leg_id":"MAP.DISPOSAL.IT.L02","view_id":"statement","report_row_id":"BS.ASSET_GROSS","weight":1},{"leg_id":"MAP.DISPOSAL.IT.L02","view_id":"nature","report_row_id":"asset_gross","weight":1},{"leg_id":"MAP.DISPOSAL.IT.L02","view_id":"function","report_row_id":"balance_sheet","weight":1},{"leg_id":"MAP.DISPOSAL.IT.L02","view_id":"cost_centre","report_row_id":"CORP","weight":1},{"leg_id":"MAP.DISPOSAL.IT.L02","view_id":"vendor","report_row_id":"UNKNOWN_FORECAST","weight":1},{"leg_id":"MAP.DISPOSAL.IT.L02","view_id":"recurrence","report_row_id":"not_applicable","weight":1},{"leg_id":"MAP.DISPOSAL.IT.L02","view_id":"commitment","report_row_id":"not_applicable","weight":1},{"leg_id":"MAP.DISPOSAL.IT.L02","view_id":"behaviour","report_row_id":"not_applicable","weight":1}]},{"mapping_id":"MAP.DEPR.FITOUT.CORP","source_row_id":"CAP.DEPRECIATION","posting_owner":"Capex","stream":"CORPORATE","cost_centre":"CORP","vendor_id":"UNKNOWN_FORECAST","tax_code":"NONE","cash_class":"noncash","classification":{"recurrence":"recurring","commitment":"committed","behaviour":"fixed"},"legs":[{"leg_id":"MAP.DEPR.FITOUT.CORP.L01","side":"debit","account_id":"GL.DEPR.FITOUT","amount_component":"depreciation"},{"leg_id":"MAP.DEPR.FITOUT.CORP.L02","side":"credit","account_id":"GL.ACCDEP.FITOUT","amount_component":"depreciation"}],"report_allocations":[{"leg_id":"MAP.DEPR.FITOUT.CORP.L01","view_id":"statement","report_row_id":"PNL.DEPRECIATION","weight":1},{"leg_id":"MAP.DEPR.FITOUT.CORP.L01","view_id":"nature","report_row_id":"depreciation","weight":1},{"leg_id":"MAP.DEPR.FITOUT.CORP.L01","view_id":"function","report_row_id":"general_admin","weight":1},{"leg_id":"MAP.DEPR.FITOUT.CORP.L01","view_id":"cost_centre","report_row_id":"CORP","weight":1},{"leg_id":"MAP.DEPR.FITOUT.CORP.L01","view_id":"vendor","report_row_id":"UNKNOWN_FORECAST","weight":1},{"leg_id":"MAP.DEPR.FITOUT.CORP.L01","view_id":"recurrence","report_row_id":"recurring","weight":1},{"leg_id":"MAP.DEPR.FITOUT.CORP.L01","view_id":"commitment","report_row_id":"committed","weight":1},{"leg_id":"MAP.DEPR.FITOUT.CORP.L01","view_id":"behaviour","report_row_id":"fixed","weight":1},{"leg_id":"MAP.DEPR.FITOUT.CORP.L02","view_id":"statement","report_row_id":"BS.ACC_DEP","weight":1},{"leg_id":"MAP.DEPR.FITOUT.CORP.L02","view_id":"nature","report_row_id":"acc_dep","weight":1},{"leg_id":"MAP.DEPR.FITOUT.CORP.L02","view_id":"function","report_row_id":"balance_sheet","weight":1},{"leg_id":"MAP.DEPR.FITOUT.CORP.L02","view_id":"cost_centre","report_row_id":"CORP","weight":1},{"leg_id":"MAP.DEPR.FITOUT.CORP.L02","view_id":"vendor","report_row_id":"UNKNOWN_FORECAST","weight":1},{"leg_id":"MAP.DEPR.FITOUT.CORP.L02","view_id":"recurrence","report_row_id":"not_applicable","weight":1},{"leg_id":"MAP.DEPR.FITOUT.CORP.L02","view_id":"commitment","report_row_id":"not_applicable","weight":1},{"leg_id":"MAP.DEPR.FITOUT.CORP.L02","view_id":"behaviour","report_row_id":"not_applicable","weight":1}]},{"mapping_id":"MAP.COST.RC.PPL.SW.MGMT","source_row_id":"OPX.SOFTWARE","posting_owner":"Opex","stream":"CORPORATE","cost_centre":"MGMT","vendor_id":"UNKNOWN_FORECAST","tax_code":"RC_IN19","cash_class":"operating","classification":{"recurrence":"recurring","commitment":"committed","behaviour":"fixed"},"legs":[{"leg_id":"MAP.COST.RC.PPL.SW.MGMT.L01","side":"debit","account_id":"GL.OPEX.PPL.SW","amount_component":"net_plus_unrecoverable_vat"},{"leg_id":"MAP.COST.RC.PPL.SW.MGMT.L02","side":"debit","account_id":"GL.VAT.DOM_ASSET","amount_component":"recoverable_vat"},{"leg_id":"MAP.COST.RC.PPL.SW.MGMT.L03","side":"credit","account_id":"GL.AP.SUPPLIER","amount_component":"net"},{"leg_id":"MAP.COST.RC.PPL.SW.MGMT.L04","side":"credit","account_id":"GL.VAT.DOM_LIAB","amount_component":"self_assessed_vat"}],"report_allocations":[{"leg_id":"MAP.COST.RC.PPL.SW.MGMT.L01","view_id":"statement","report_row_id":"PNL.OPEX","weight":1},{"leg_id":"MAP.COST.RC.PPL.SW.MGMT.L01","view_id":"nature","report_row_id":"operating_expense","weight":1},{"leg_id":"MAP.COST.RC.PPL.SW.MGMT.L01","view_id":"function","report_row_id":"general_admin","weight":1},{"leg_id":"MAP.COST.RC.PPL.SW.MGMT.L01","view_id":"cost_centre","report_row_id":"MGMT","weight":1},{"leg_id":"MAP.COST.RC.PPL.SW.MGMT.L01","view_id":"vendor","report_row_id":"UNKNOWN_FORECAST","weight":1},{"leg_id":"MAP.COST.RC.PPL.SW.MGMT.L01","view_id":"recurrence","report_row_id":"recurring","weight":1},{"leg_id":"MAP.COST.RC.PPL.SW.MGMT.L01","view_id":"commitment","report_row_id":"committed","weight":1},{"leg_id":"MAP.COST.RC.PPL.SW.MGMT.L01","view_id":"behaviour","report_row_id":"fixed","weight":1},{"leg_id":"MAP.COST.RC.PPL.SW.MGMT.L02","view_id":"statement","report_row_id":"BS.TAX_ASSETS","weight":1},{"leg_id":"MAP.COST.RC.PPL.SW.MGMT.L02","view_id":"nature","report_row_id":"tax_assets","weight":1},{"leg_id":"MAP.COST.RC.PPL.SW.MGMT.L02","view_id":"function","report_row_id":"balance_sheet","weight":1},{"leg_id":"MAP.COST.RC.PPL.SW.MGMT.L02","view_id":"cost_centre","report_row_id":"MGMT","weight":1},{"leg_id":"MAP.COST.RC.PPL.SW.MGMT.L02","view_id":"vendor","report_row_id":"UNKNOWN_FORECAST","weight":1},{"leg_id":"MAP.COST.RC.PPL.SW.MGMT.L02","view_id":"recurrence","report_row_id":"not_applicable","weight":1},{"leg_id":"MAP.COST.RC.PPL.SW.MGMT.L02","view_id":"commitment","report_row_id":"not_applicable","weight":1},{"leg_id":"MAP.COST.RC.PPL.SW.MGMT.L02","view_id":"behaviour","report_row_id":"not_applicable","weight":1},{"leg_id":"MAP.COST.RC.PPL.SW.MGMT.L03","view_id":"statement","report_row_id":"BS.AP","weight":1},{"leg_id":"MAP.COST.RC.PPL.SW.MGMT.L03","view_id":"nature","report_row_id":"ap","weight":1},{"leg_id":"MAP.COST.RC.PPL.SW.MGMT.L03","view_id":"function","report_row_id":"balance_sheet","weight":1},{"leg_id":"MAP.COST.RC.PPL.SW.MGMT.L03","view_id":"cost_centre","report_row_id":"MGMT","weight":1},{"leg_id":"MAP.COST.RC.PPL.SW.MGMT.L03","view_id":"vendor","report_row_id":"UNKNOWN_FORECAST","weight":1},{"leg_id":"MAP.COST.RC.PPL.SW.MGMT.L03","view_id":"recurrence","report_row_id":"not_applicable","weight":1},{"leg_id":"MAP.COST.RC.PPL.SW.MGMT.L03","view_id":"commitment","report_row_id":"not_applicable","weight":1},{"leg_id":"MAP.COST.RC.PPL.SW.MGMT.L03","view_id":"behaviour","report_row_id":"not_applicable","weight":1},{"leg_id":"MAP.COST.RC.PPL.SW.MGMT.L04","view_id":"statement","report_row_id":"BS.TAX_LIABILITIES","weight":1},{"leg_id":"MAP.COST.RC.PPL.SW.MGMT.L04","view_id":"nature","report_row_id":"tax_liabilities","weight":1},{"leg_id":"MAP.COST.RC.PPL.SW.MGMT.L04","view_id":"function","report_row_id":"balance_sheet","weight":1},{"leg_id":"MAP.COST.RC.PPL.SW.MGMT.L04","view_id":"cost_centre","report_row_id":"MGMT","weight":1},{"leg_id":"MAP.COST.RC.PPL.SW.MGMT.L04","view_id":"vendor","report_row_id":"UNKNOWN_FORECAST","weight":1},{"leg_id":"MAP.COST.RC.PPL.SW.MGMT.L04","view_id":"recurrence","report_row_id":"not_applicable","weight":1},{"leg_id":"MAP.COST.RC.PPL.SW.MGMT.L04","view_id":"commitment","report_row_id":"not_applicable","weight":1},{"leg_id":"MAP.COST.RC.PPL.SW.MGMT.L04","view_id":"behaviour","report_row_id":"not_applicable","weight":1}]},{"mapping_id":"MAP.COST.RC.PPL.SW.ENG","source_row_id":"OPX.SOFTWARE","posting_owner":"Opex","stream":"CORPORATE","cost_centre":"ENG","vendor_id":"UNKNOWN_FORECAST","tax_code":"RC_IN19","cash_class":"operating","classification":{"recurrence":"recurring","commitment":"committed","behaviour":"fixed"},"legs":[{"leg_id":"MAP.COST.RC.PPL.SW.ENG.L01","side":"debit","account_id":"GL.OPEX.PPL.SW","amount_component":"net_plus_unrecoverable_vat"},{"leg_id":"MAP.COST.RC.PPL.SW.ENG.L02","side":"debit","account_id":"GL.VAT.DOM_ASSET","amount_component":"recoverable_vat"},{"leg_id":"MAP.COST.RC.PPL.SW.ENG.L03","side":"credit","account_id":"GL.AP.SUPPLIER","amount_component":"net"},{"leg_id":"MAP.COST.RC.PPL.SW.ENG.L04","side":"credit","account_id":"GL.VAT.DOM_LIAB","amount_component":"self_assessed_vat"}],"report_allocations":[{"leg_id":"MAP.COST.RC.PPL.SW.ENG.L01","view_id":"statement","report_row_id":"PNL.OPEX","weight":1},{"leg_id":"MAP.COST.RC.PPL.SW.ENG.L01","view_id":"nature","report_row_id":"operating_expense","weight":1},{"leg_id":"MAP.COST.RC.PPL.SW.ENG.L01","view_id":"function","report_row_id":"general_admin","weight":1},{"leg_id":"MAP.COST.RC.PPL.SW.ENG.L01","view_id":"cost_centre","report_row_id":"ENG","weight":1},{"leg_id":"MAP.COST.RC.PPL.SW.ENG.L01","view_id":"vendor","report_row_id":"UNKNOWN_FORECAST","weight":1},{"leg_id":"MAP.COST.RC.PPL.SW.ENG.L01","view_id":"recurrence","report_row_id":"recurring","weight":1},{"leg_id":"MAP.COST.RC.PPL.SW.ENG.L01","view_id":"commitment","report_row_id":"committed","weight":1},{"leg_id":"MAP.COST.RC.PPL.SW.ENG.L01","view_id":"behaviour","report_row_id":"fixed","weight":1},{"leg_id":"MAP.COST.RC.PPL.SW.ENG.L02","view_id":"statement","report_row_id":"BS.TAX_ASSETS","weight":1},{"leg_id":"MAP.COST.RC.PPL.SW.ENG.L02","view_id":"nature","report_row_id":"tax_assets","weight":1},{"leg_id":"MAP.COST.RC.PPL.SW.ENG.L02","view_id":"function","report_row_id":"balance_sheet","weight":1},{"leg_id":"MAP.COST.RC.PPL.SW.ENG.L02","view_id":"cost_centre","report_row_id":"ENG","weight":1},{"leg_id":"MAP.COST.RC.PPL.SW.ENG.L02","view_id":"vendor","report_row_id":"UNKNOWN_FORECAST","weight":1},{"leg_id":"MAP.COST.RC.PPL.SW.ENG.L02","view_id":"recurrence","report_row_id":"not_applicable","weight":1},{"leg_id":"MAP.COST.RC.PPL.SW.ENG.L02","view_id":"commitment","report_row_id":"not_applicable","weight":1},{"leg_id":"MAP.COST.RC.PPL.SW.ENG.L02","view_id":"behaviour","report_row_id":"not_applicable","weight":1},{"leg_id":"MAP.COST.RC.PPL.SW.ENG.L03","view_id":"statement","report_row_id":"BS.AP","weight":1},{"leg_id":"MAP.COST.RC.PPL.SW.ENG.L03","view_id":"nature","report_row_id":"ap","weight":1},{"leg_id":"MAP.COST.RC.PPL.SW.ENG.L03","view_id":"function","report_row_id":"balance_sheet","weight":1},{"leg_id":"MAP.COST.RC.PPL.SW.ENG.L03","view_id":"cost_centre","report_row_id":"ENG","weight":1},{"leg_id":"MAP.COST.RC.PPL.SW.ENG.L03","view_id":"vendor","report_row_id":"UNKNOWN_FORECAST","weight":1},{"leg_id":"MAP.COST.RC.PPL.SW.ENG.L03","view_id":"recurrence","report_row_id":"not_applicable","weight":1},{"leg_id":"MAP.COST.RC.PPL.SW.ENG.L03","view_id":"commitment","report_row_id":"not_applicable","weight":1},{"leg_id":"MAP.COST.RC.PPL.SW.ENG.L03","view_id":"behaviour","report_row_id":"not_applicable","weight":1},{"leg_id":"MAP.COST.RC.PPL.SW.ENG.L04","view_id":"statement","report_row_id":"BS.TAX_LIABILITIES","weight":1},{"leg_id":"MAP.COST.RC.PPL.SW.ENG.L04","view_id":"nature","report_row_id":"tax_liabilities","weight":1},{"leg_id":"MAP.COST.RC.PPL.SW.ENG.L04","view_id":"function","report_row_id":"balance_sheet","weight":1},{"leg_id":"MAP.COST.RC.PPL.SW.ENG.L04","view_id":"cost_centre","report_row_id":"ENG","weight":1},{"leg_id":"MAP.COST.RC.PPL.SW.ENG.L04","view_id":"vendor","report_row_id":"UNKNOWN_FORECAST","weight":1},{"leg_id":"MAP.COST.RC.PPL.SW.ENG.L04","view_id":"recurrence","report_row_id":"not_applicable","weight":1},{"leg_id":"MAP.COST.RC.PPL.SW.ENG.L04","view_id":"commitment","report_row_id":"not_applicable","weight":1},{"leg_id":"MAP.COST.RC.PPL.SW.ENG.L04","view_id":"behaviour","report_row_id":"not_applicable","weight":1}]},{"mapping_id":"MAP.COST.RC.PPL.SW.COMP","source_row_id":"OPX.SOFTWARE","posting_owner":"Opex","stream":"CORPORATE","cost_centre":"COMP","vendor_id":"UNKNOWN_FORECAST","tax_code":"RC_IN19","cash_class":"operating","classification":{"recurrence":"recurring","commitment":"committed","behaviour":"fixed"},"legs":[{"leg_id":"MAP.COST.RC.PPL.SW.COMP.L01","side":"debit","account_id":"GL.OPEX.PPL.SW","amount_component":"net_plus_unrecoverable_vat"},{"leg_id":"MAP.COST.RC.PPL.SW.COMP.L02","side":"debit","account_id":"GL.VAT.DOM_ASSET","amount_component":"recoverable_vat"},{"leg_id":"MAP.COST.RC.PPL.SW.COMP.L03","side":"credit","account_id":"GL.AP.SUPPLIER","amount_component":"net"},{"leg_id":"MAP.COST.RC.PPL.SW.COMP.L04","side":"credit","account_id":"GL.VAT.DOM_LIAB","amount_component":"self_assessed_vat"}],"report_allocations":[{"leg_id":"MAP.COST.RC.PPL.SW.COMP.L01","view_id":"statement","report_row_id":"PNL.OPEX","weight":1},{"leg_id":"MAP.COST.RC.PPL.SW.COMP.L01","view_id":"nature","report_row_id":"operating_expense","weight":1},{"leg_id":"MAP.COST.RC.PPL.SW.COMP.L01","view_id":"function","report_row_id":"general_admin","weight":1},{"leg_id":"MAP.COST.RC.PPL.SW.COMP.L01","view_id":"cost_centre","report_row_id":"COMP","weight":1},{"leg_id":"MAP.COST.RC.PPL.SW.COMP.L01","view_id":"vendor","report_row_id":"UNKNOWN_FORECAST","weight":1},{"leg_id":"MAP.COST.RC.PPL.SW.COMP.L01","view_id":"recurrence","report_row_id":"recurring","weight":1},{"leg_id":"MAP.COST.RC.PPL.SW.COMP.L01","view_id":"commitment","report_row_id":"committed","weight":1},{"leg_id":"MAP.COST.RC.PPL.SW.COMP.L01","view_id":"behaviour","report_row_id":"fixed","weight":1},{"leg_id":"MAP.COST.RC.PPL.SW.COMP.L02","view_id":"statement","report_row_id":"BS.TAX_ASSETS","weight":1},{"leg_id":"MAP.COST.RC.PPL.SW.COMP.L02","view_id":"nature","report_row_id":"tax_assets","weight":1},{"leg_id":"MAP.COST.RC.PPL.SW.COMP.L02","view_id":"function","report_row_id":"balance_sheet","weight":1},{"leg_id":"MAP.COST.RC.PPL.SW.COMP.L02","view_id":"cost_centre","report_row_id":"COMP","weight":1},{"leg_id":"MAP.COST.RC.PPL.SW.COMP.L02","view_id":"vendor","report_row_id":"UNKNOWN_FORECAST","weight":1},{"leg_id":"MAP.COST.RC.PPL.SW.COMP.L02","view_id":"recurrence","report_row_id":"not_applicable","weight":1},{"leg_id":"MAP.COST.RC.PPL.SW.COMP.L02","view_id":"commitment","report_row_id":"not_applicable","weight":1},{"leg_id":"MAP.COST.RC.PPL.SW.COMP.L02","view_id":"behaviour","report_row_id":"not_applicable","weight":1},{"leg_id":"MAP.COST.RC.PPL.SW.COMP.L03","view_id":"statement","report_row_id":"BS.AP","weight":1},{"leg_id":"MAP.COST.RC.PPL.SW.COMP.L03","view_id":"nature","report_row_id":"ap","weight":1},{"leg_id":"MAP.COST.RC.PPL.SW.COMP.L03","view_id":"function","report_row_id":"balance_sheet","weight":1},{"leg_id":"MAP.COST.RC.PPL.SW.COMP.L03","view_id":"cost_centre","report_row_id":"COMP","weight":1},{"leg_id":"MAP.COST.RC.PPL.SW.COMP.L03","view_id":"vendor","report_row_id":"UNKNOWN_FORECAST","weight":1},{"leg_id":"MAP.COST.RC.PPL.SW.COMP.L03","view_id":"recurrence","report_row_id":"not_applicable","weight":1},{"leg_id":"MAP.COST.RC.PPL.SW.COMP.L03","view_id":"commitment","report_row_id":"not_applicable","weight":1},{"leg_id":"MAP.COST.RC.PPL.SW.COMP.L03","view_id":"behaviour","report_row_id":"not_applicable","weight":1},{"leg_id":"MAP.COST.RC.PPL.SW.COMP.L04","view_id":"statement","report_row_id":"BS.TAX_LIABILITIES","weight":1},{"leg_id":"MAP.COST.RC.PPL.SW.COMP.L04","view_id":"nature","report_row_id":"tax_liabilities","weight":1},{"leg_id":"MAP.COST.RC.PPL.SW.COMP.L04","view_id":"function","report_row_id":"balance_sheet","weight":1},{"leg_id":"MAP.COST.RC.PPL.SW.COMP.L04","view_id":"cost_centre","report_row_id":"COMP","weight":1},{"leg_id":"MAP.COST.RC.PPL.SW.COMP.L04","view_id":"vendor","report_row_id":"UNKNOWN_FORECAST","weight":1},{"leg_id":"MAP.COST.RC.PPL.SW.COMP.L04","view_id":"recurrence","report_row_id":"not_applicable","weight":1},{"leg_id":"MAP.COST.RC.PPL.SW.COMP.L04","view_id":"commitment","report_row_id":"not_applicable","weight":1},{"leg_id":"MAP.COST.RC.PPL.SW.COMP.L04","view_id":"behaviour","report_row_id":"not_applicable","weight":1}]},{"mapping_id":"MAP.COST.RC.PPL.SW.PROD","source_row_id":"OPX.SOFTWARE","posting_owner":"Opex","stream":"CORPORATE","cost_centre":"PROD","vendor_id":"UNKNOWN_FORECAST","tax_code":"RC_IN19","cash_class":"operating","classification":{"recurrence":"recurring","commitment":"committed","behaviour":"fixed"},"legs":[{"leg_id":"MAP.COST.RC.PPL.SW.PROD.L01","side":"debit","account_id":"GL.OPEX.PPL.SW","amount_component":"net_plus_unrecoverable_vat"},{"leg_id":"MAP.COST.RC.PPL.SW.PROD.L02","side":"debit","account_id":"GL.VAT.DOM_ASSET","amount_component":"recoverable_vat"},{"leg_id":"MAP.COST.RC.PPL.SW.PROD.L03","side":"credit","account_id":"GL.AP.SUPPLIER","amount_component":"net"},{"leg_id":"MAP.COST.RC.PPL.SW.PROD.L04","side":"credit","account_id":"GL.VAT.DOM_LIAB","amount_component":"self_assessed_vat"}],"report_allocations":[{"leg_id":"MAP.COST.RC.PPL.SW.PROD.L01","view_id":"statement","report_row_id":"PNL.OPEX","weight":1},{"leg_id":"MAP.COST.RC.PPL.SW.PROD.L01","view_id":"nature","report_row_id":"operating_expense","weight":1},{"leg_id":"MAP.COST.RC.PPL.SW.PROD.L01","view_id":"function","report_row_id":"general_admin","weight":1},{"leg_id":"MAP.COST.RC.PPL.SW.PROD.L01","view_id":"cost_centre","report_row_id":"PROD","weight":1},{"leg_id":"MAP.COST.RC.PPL.SW.PROD.L01","view_id":"vendor","report_row_id":"UNKNOWN_FORECAST","weight":1},{"leg_id":"MAP.COST.RC.PPL.SW.PROD.L01","view_id":"recurrence","report_row_id":"recurring","weight":1},{"leg_id":"MAP.COST.RC.PPL.SW.PROD.L01","view_id":"commitment","report_row_id":"committed","weight":1},{"leg_id":"MAP.COST.RC.PPL.SW.PROD.L01","view_id":"behaviour","report_row_id":"fixed","weight":1},{"leg_id":"MAP.COST.RC.PPL.SW.PROD.L02","view_id":"statement","report_row_id":"BS.TAX_ASSETS","weight":1},{"leg_id":"MAP.COST.RC.PPL.SW.PROD.L02","view_id":"nature","report_row_id":"tax_assets","weight":1},{"leg_id":"MAP.COST.RC.PPL.SW.PROD.L02","view_id":"function","report_row_id":"balance_sheet","weight":1},{"leg_id":"MAP.COST.RC.PPL.SW.PROD.L02","view_id":"cost_centre","report_row_id":"PROD","weight":1},{"leg_id":"MAP.COST.RC.PPL.SW.PROD.L02","view_id":"vendor","report_row_id":"UNKNOWN_FORECAST","weight":1},{"leg_id":"MAP.COST.RC.PPL.SW.PROD.L02","view_id":"recurrence","report_row_id":"not_applicable","weight":1},{"leg_id":"MAP.COST.RC.PPL.SW.PROD.L02","view_id":"commitment","report_row_id":"not_applicable","weight":1},{"leg_id":"MAP.COST.RC.PPL.SW.PROD.L02","view_id":"behaviour","report_row_id":"not_applicable","weight":1},{"leg_id":"MAP.COST.RC.PPL.SW.PROD.L03","view_id":"statement","report_row_id":"BS.AP","weight":1},{"leg_id":"MAP.COST.RC.PPL.SW.PROD.L03","view_id":"nature","report_row_id":"ap","weight":1},{"leg_id":"MAP.COST.RC.PPL.SW.PROD.L03","view_id":"function","report_row_id":"balance_sheet","weight":1},{"leg_id":"MAP.COST.RC.PPL.SW.PROD.L03","view_id":"cost_centre","report_row_id":"PROD","weight":1},{"leg_id":"MAP.COST.RC.PPL.SW.PROD.L03","view_id":"vendor","report_row_id":"UNKNOWN_FORECAST","weight":1},{"leg_id":"MAP.COST.RC.PPL.SW.PROD.L03","view_id":"recurrence","report_row_id":"not_applicable","weight":1},{"leg_id":"MAP.COST.RC.PPL.SW.PROD.L03","view_id":"commitment","report_row_id":"not_applicable","weight":1},{"leg_id":"MAP.COST.RC.PPL.SW.PROD.L03","view_id":"behaviour","report_row_id":"not_applicable","weight":1},{"leg_id":"MAP.COST.RC.PPL.SW.PROD.L04","view_id":"statement","report_row_id":"BS.TAX_LIABILITIES","weight":1},{"leg_id":"MAP.COST.RC.PPL.SW.PROD.L04","view_id":"nature","report_row_id":"tax_liabilities","weight":1},{"leg_id":"MAP.COST.RC.PPL.SW.PROD.L04","view_id":"function","report_row_id":"balance_sheet","weight":1},{"leg_id":"MAP.COST.RC.PPL.SW.PROD.L04","view_id":"cost_centre","report_row_id":"PROD","weight":1},{"leg_id":"MAP.COST.RC.PPL.SW.PROD.L04","view_id":"vendor","report_row_id":"UNKNOWN_FORECAST","weight":1},{"leg_id":"MAP.COST.RC.PPL.SW.PROD.L04","view_id":"recurrence","report_row_id":"not_applicable","weight":1},{"leg_id":"MAP.COST.RC.PPL.SW.PROD.L04","view_id":"commitment","report_row_id":"not_applicable","weight":1},{"leg_id":"MAP.COST.RC.PPL.SW.PROD.L04","view_id":"behaviour","report_row_id":"not_applicable","weight":1}]},{"mapping_id":"MAP.COST.RC.PPL.SW.MKT","source_row_id":"OPX.SOFTWARE","posting_owner":"Opex","stream":"CORPORATE","cost_centre":"MKT","vendor_id":"UNKNOWN_FORECAST","tax_code":"RC_IN19","cash_class":"operating","classification":{"recurrence":"recurring","commitment":"committed","behaviour":"fixed"},"legs":[{"leg_id":"MAP.COST.RC.PPL.SW.MKT.L01","side":"debit","account_id":"GL.OPEX.PPL.SW","amount_component":"net_plus_unrecoverable_vat"},{"leg_id":"MAP.COST.RC.PPL.SW.MKT.L02","side":"debit","account_id":"GL.VAT.DOM_ASSET","amount_component":"recoverable_vat"},{"leg_id":"MAP.COST.RC.PPL.SW.MKT.L03","side":"credit","account_id":"GL.AP.SUPPLIER","amount_component":"net"},{"leg_id":"MAP.COST.RC.PPL.SW.MKT.L04","side":"credit","account_id":"GL.VAT.DOM_LIAB","amount_component":"self_assessed_vat"}],"report_allocations":[{"leg_id":"MAP.COST.RC.PPL.SW.MKT.L01","view_id":"statement","report_row_id":"PNL.OPEX","weight":1},{"leg_id":"MAP.COST.RC.PPL.SW.MKT.L01","view_id":"nature","report_row_id":"operating_expense","weight":1},{"leg_id":"MAP.COST.RC.PPL.SW.MKT.L01","view_id":"function","report_row_id":"general_admin","weight":1},{"leg_id":"MAP.COST.RC.PPL.SW.MKT.L01","view_id":"cost_centre","report_row_id":"MKT","weight":1},{"leg_id":"MAP.COST.RC.PPL.SW.MKT.L01","view_id":"vendor","report_row_id":"UNKNOWN_FORECAST","weight":1},{"leg_id":"MAP.COST.RC.PPL.SW.MKT.L01","view_id":"recurrence","report_row_id":"recurring","weight":1},{"leg_id":"MAP.COST.RC.PPL.SW.MKT.L01","view_id":"commitment","report_row_id":"committed","weight":1},{"leg_id":"MAP.COST.RC.PPL.SW.MKT.L01","view_id":"behaviour","report_row_id":"fixed","weight":1},{"leg_id":"MAP.COST.RC.PPL.SW.MKT.L02","view_id":"statement","report_row_id":"BS.TAX_ASSETS","weight":1},{"leg_id":"MAP.COST.RC.PPL.SW.MKT.L02","view_id":"nature","report_row_id":"tax_assets","weight":1},{"leg_id":"MAP.COST.RC.PPL.SW.MKT.L02","view_id":"function","report_row_id":"balance_sheet","weight":1},{"leg_id":"MAP.COST.RC.PPL.SW.MKT.L02","view_id":"cost_centre","report_row_id":"MKT","weight":1},{"leg_id":"MAP.COST.RC.PPL.SW.MKT.L02","view_id":"vendor","report_row_id":"UNKNOWN_FORECAST","weight":1},{"leg_id":"MAP.COST.RC.PPL.SW.MKT.L02","view_id":"recurrence","report_row_id":"not_applicable","weight":1},{"leg_id":"MAP.COST.RC.PPL.SW.MKT.L02","view_id":"commitment","report_row_id":"not_applicable","weight":1},{"leg_id":"MAP.COST.RC.PPL.SW.MKT.L02","view_id":"behaviour","report_row_id":"not_applicable","weight":1},{"leg_id":"MAP.COST.RC.PPL.SW.MKT.L03","view_id":"statement","report_row_id":"BS.AP","weight":1},{"leg_id":"MAP.COST.RC.PPL.SW.MKT.L03","view_id":"nature","report_row_id":"ap","weight":1},{"leg_id":"MAP.COST.RC.PPL.SW.MKT.L03","view_id":"function","report_row_id":"balance_sheet","weight":1},{"leg_id":"MAP.COST.RC.PPL.SW.MKT.L03","view_id":"cost_centre","report_row_id":"MKT","weight":1},{"leg_id":"MAP.COST.RC.PPL.SW.MKT.L03","view_id":"vendor","report_row_id":"UNKNOWN_FORECAST","weight":1},{"leg_id":"MAP.COST.RC.PPL.SW.MKT.L03","view_id":"recurrence","report_row_id":"not_applicable","weight":1},{"leg_id":"MAP.COST.RC.PPL.SW.MKT.L03","view_id":"commitment","report_row_id":"not_applicable","weight":1},{"leg_id":"MAP.COST.RC.PPL.SW.MKT.L03","view_id":"behaviour","report_row_id":"not_applicable","weight":1},{"leg_id":"MAP.COST.RC.PPL.SW.MKT.L04","view_id":"statement","report_row_id":"BS.TAX_LIABILITIES","weight":1},{"leg_id":"MAP.COST.RC.PPL.SW.MKT.L04","view_id":"nature","report_row_id":"tax_liabilities","weight":1},{"leg_id":"MAP.COST.RC.PPL.SW.MKT.L04","view_id":"function","report_row_id":"balance_sheet","weight":1},{"leg_id":"MAP.COST.RC.PPL.SW.MKT.L04","view_id":"cost_centre","report_row_id":"MKT","weight":1},{"leg_id":"MAP.COST.RC.PPL.SW.MKT.L04","view_id":"vendor","report_row_id":"UNKNOWN_FORECAST","weight":1},{"leg_id":"MAP.COST.RC.PPL.SW.MKT.L04","view_id":"recurrence","report_row_id":"not_applicable","weight":1},{"leg_id":"MAP.COST.RC.PPL.SW.MKT.L04","view_id":"commitment","report_row_id":"not_applicable","weight":1},{"leg_id":"MAP.COST.RC.PPL.SW.MKT.L04","view_id":"behaviour","report_row_id":"not_applicable","weight":1}]},{"mapping_id":"MAP.COST.RC.PPL.SW.SUP","source_row_id":"OPX.SOFTWARE","posting_owner":"Opex","stream":"CORPORATE","cost_centre":"SUP","vendor_id":"UNKNOWN_FORECAST","tax_code":"RC_IN19","cash_class":"operating","classification":{"recurrence":"recurring","commitment":"committed","behaviour":"fixed"},"legs":[{"leg_id":"MAP.COST.RC.PPL.SW.SUP.L01","side":"debit","account_id":"GL.OPEX.PPL.SW","amount_component":"net_plus_unrecoverable_vat"},{"leg_id":"MAP.COST.RC.PPL.SW.SUP.L02","side":"debit","account_id":"GL.VAT.DOM_ASSET","amount_component":"recoverable_vat"},{"leg_id":"MAP.COST.RC.PPL.SW.SUP.L03","side":"credit","account_id":"GL.AP.SUPPLIER","amount_component":"net"},{"leg_id":"MAP.COST.RC.PPL.SW.SUP.L04","side":"credit","account_id":"GL.VAT.DOM_LIAB","amount_component":"self_assessed_vat"}],"report_allocations":[{"leg_id":"MAP.COST.RC.PPL.SW.SUP.L01","view_id":"statement","report_row_id":"PNL.OPEX","weight":1},{"leg_id":"MAP.COST.RC.PPL.SW.SUP.L01","view_id":"nature","report_row_id":"operating_expense","weight":1},{"leg_id":"MAP.COST.RC.PPL.SW.SUP.L01","view_id":"function","report_row_id":"general_admin","weight":1},{"leg_id":"MAP.COST.RC.PPL.SW.SUP.L01","view_id":"cost_centre","report_row_id":"SUP","weight":1},{"leg_id":"MAP.COST.RC.PPL.SW.SUP.L01","view_id":"vendor","report_row_id":"UNKNOWN_FORECAST","weight":1},{"leg_id":"MAP.COST.RC.PPL.SW.SUP.L01","view_id":"recurrence","report_row_id":"recurring","weight":1},{"leg_id":"MAP.COST.RC.PPL.SW.SUP.L01","view_id":"commitment","report_row_id":"committed","weight":1},{"leg_id":"MAP.COST.RC.PPL.SW.SUP.L01","view_id":"behaviour","report_row_id":"fixed","weight":1},{"leg_id":"MAP.COST.RC.PPL.SW.SUP.L02","view_id":"statement","report_row_id":"BS.TAX_ASSETS","weight":1},{"leg_id":"MAP.COST.RC.PPL.SW.SUP.L02","view_id":"nature","report_row_id":"tax_assets","weight":1},{"leg_id":"MAP.COST.RC.PPL.SW.SUP.L02","view_id":"function","report_row_id":"balance_sheet","weight":1},{"leg_id":"MAP.COST.RC.PPL.SW.SUP.L02","view_id":"cost_centre","report_row_id":"SUP","weight":1},{"leg_id":"MAP.COST.RC.PPL.SW.SUP.L02","view_id":"vendor","report_row_id":"UNKNOWN_FORECAST","weight":1},{"leg_id":"MAP.COST.RC.PPL.SW.SUP.L02","view_id":"recurrence","report_row_id":"not_applicable","weight":1},{"leg_id":"MAP.COST.RC.PPL.SW.SUP.L02","view_id":"commitment","report_row_id":"not_applicable","weight":1},{"leg_id":"MAP.COST.RC.PPL.SW.SUP.L02","view_id":"behaviour","report_row_id":"not_applicable","weight":1},{"leg_id":"MAP.COST.RC.PPL.SW.SUP.L03","view_id":"statement","report_row_id":"BS.AP","weight":1},{"leg_id":"MAP.COST.RC.PPL.SW.SUP.L03","view_id":"nature","report_row_id":"ap","weight":1},{"leg_id":"MAP.COST.RC.PPL.SW.SUP.L03","view_id":"function","report_row_id":"balance_sheet","weight":1},{"leg_id":"MAP.COST.RC.PPL.SW.SUP.L03","view_id":"cost_centre","report_row_id":"SUP","weight":1},{"leg_id":"MAP.COST.RC.PPL.SW.SUP.L03","view_id":"vendor","report_row_id":"UNKNOWN_FORECAST","weight":1},{"leg_id":"MAP.COST.RC.PPL.SW.SUP.L03","view_id":"recurrence","report_row_id":"not_applicable","weight":1},{"leg_id":"MAP.COST.RC.PPL.SW.SUP.L03","view_id":"commitment","report_row_id":"not_applicable","weight":1},{"leg_id":"MAP.COST.RC.PPL.SW.SUP.L03","view_id":"behaviour","report_row_id":"not_applicable","weight":1},{"leg_id":"MAP.COST.RC.PPL.SW.SUP.L04","view_id":"statement","report_row_id":"BS.TAX_LIABILITIES","weight":1},{"leg_id":"MAP.COST.RC.PPL.SW.SUP.L04","view_id":"nature","report_row_id":"tax_liabilities","weight":1},{"leg_id":"MAP.COST.RC.PPL.SW.SUP.L04","view_id":"function","report_row_id":"balance_sheet","weight":1},{"leg_id":"MAP.COST.RC.PPL.SW.SUP.L04","view_id":"cost_centre","report_row_id":"SUP","weight":1},{"leg_id":"MAP.COST.RC.PPL.SW.SUP.L04","view_id":"vendor","report_row_id":"UNKNOWN_FORECAST","weight":1},{"leg_id":"MAP.COST.RC.PPL.SW.SUP.L04","view_id":"recurrence","report_row_id":"not_applicable","weight":1},{"leg_id":"MAP.COST.RC.PPL.SW.SUP.L04","view_id":"commitment","report_row_id":"not_applicable","weight":1},{"leg_id":"MAP.COST.RC.PPL.SW.SUP.L04","view_id":"behaviour","report_row_id":"not_applicable","weight":1}]},{"mapping_id":"MAP.COST.RC.PPL.SW.FIN","source_row_id":"OPX.SOFTWARE","posting_owner":"Opex","stream":"CORPORATE","cost_centre":"FIN","vendor_id":"UNKNOWN_FORECAST","tax_code":"RC_IN19","cash_class":"operating","classification":{"recurrence":"recurring","commitment":"committed","behaviour":"fixed"},"legs":[{"leg_id":"MAP.COST.RC.PPL.SW.FIN.L01","side":"debit","account_id":"GL.OPEX.PPL.SW","amount_component":"net_plus_unrecoverable_vat"},{"leg_id":"MAP.COST.RC.PPL.SW.FIN.L02","side":"debit","account_id":"GL.VAT.DOM_ASSET","amount_component":"recoverable_vat"},{"leg_id":"MAP.COST.RC.PPL.SW.FIN.L03","side":"credit","account_id":"GL.AP.SUPPLIER","amount_component":"net"},{"leg_id":"MAP.COST.RC.PPL.SW.FIN.L04","side":"credit","account_id":"GL.VAT.DOM_LIAB","amount_component":"self_assessed_vat"}],"report_allocations":[{"leg_id":"MAP.COST.RC.PPL.SW.FIN.L01","view_id":"statement","report_row_id":"PNL.OPEX","weight":1},{"leg_id":"MAP.COST.RC.PPL.SW.FIN.L01","view_id":"nature","report_row_id":"operating_expense","weight":1},{"leg_id":"MAP.COST.RC.PPL.SW.FIN.L01","view_id":"function","report_row_id":"general_admin","weight":1},{"leg_id":"MAP.COST.RC.PPL.SW.FIN.L01","view_id":"cost_centre","report_row_id":"FIN","weight":1},{"leg_id":"MAP.COST.RC.PPL.SW.FIN.L01","view_id":"vendor","report_row_id":"UNKNOWN_FORECAST","weight":1},{"leg_id":"MAP.COST.RC.PPL.SW.FIN.L01","view_id":"recurrence","report_row_id":"recurring","weight":1},{"leg_id":"MAP.COST.RC.PPL.SW.FIN.L01","view_id":"commitment","report_row_id":"committed","weight":1},{"leg_id":"MAP.COST.RC.PPL.SW.FIN.L01","view_id":"behaviour","report_row_id":"fixed","weight":1},{"leg_id":"MAP.COST.RC.PPL.SW.FIN.L02","view_id":"statement","report_row_id":"BS.TAX_ASSETS","weight":1},{"leg_id":"MAP.COST.RC.PPL.SW.FIN.L02","view_id":"nature","report_row_id":"tax_assets","weight":1},{"leg_id":"MAP.COST.RC.PPL.SW.FIN.L02","view_id":"function","report_row_id":"balance_sheet","weight":1},{"leg_id":"MAP.COST.RC.PPL.SW.FIN.L02","view_id":"cost_centre","report_row_id":"FIN","weight":1},{"leg_id":"MAP.COST.RC.PPL.SW.FIN.L02","view_id":"vendor","report_row_id":"UNKNOWN_FORECAST","weight":1},{"leg_id":"MAP.COST.RC.PPL.SW.FIN.L02","view_id":"recurrence","report_row_id":"not_applicable","weight":1},{"leg_id":"MAP.COST.RC.PPL.SW.FIN.L02","view_id":"commitment","report_row_id":"not_applicable","weight":1},{"leg_id":"MAP.COST.RC.PPL.SW.FIN.L02","view_id":"behaviour","report_row_id":"not_applicable","weight":1},{"leg_id":"MAP.COST.RC.PPL.SW.FIN.L03","view_id":"statement","report_row_id":"BS.AP","weight":1},{"leg_id":"MAP.COST.RC.PPL.SW.FIN.L03","view_id":"nature","report_row_id":"ap","weight":1},{"leg_id":"MAP.COST.RC.PPL.SW.FIN.L03","view_id":"function","report_row_id":"balance_sheet","weight":1},{"leg_id":"MAP.COST.RC.PPL.SW.FIN.L03","view_id":"cost_centre","report_row_id":"FIN","weight":1},{"leg_id":"MAP.COST.RC.PPL.SW.FIN.L03","view_id":"vendor","report_row_id":"UNKNOWN_FORECAST","weight":1},{"leg_id":"MAP.COST.RC.PPL.SW.FIN.L03","view_id":"recurrence","report_row_id":"not_applicable","weight":1},{"leg_id":"MAP.COST.RC.PPL.SW.FIN.L03","view_id":"commitment","report_row_id":"not_applicable","weight":1},{"leg_id":"MAP.COST.RC.PPL.SW.FIN.L03","view_id":"behaviour","report_row_id":"not_applicable","weight":1},{"leg_id":"MAP.COST.RC.PPL.SW.FIN.L04","view_id":"statement","report_row_id":"BS.TAX_LIABILITIES","weight":1},{"leg_id":"MAP.COST.RC.PPL.SW.FIN.L04","view_id":"nature","report_row_id":"tax_liabilities","weight":1},{"leg_id":"MAP.COST.RC.PPL.SW.FIN.L04","view_id":"function","report_row_id":"balance_sheet","weight":1},{"leg_id":"MAP.COST.RC.PPL.SW.FIN.L04","view_id":"cost_centre","report_row_id":"FIN","weight":1},{"leg_id":"MAP.COST.RC.PPL.SW.FIN.L04","view_id":"vendor","report_row_id":"UNKNOWN_FORECAST","weight":1},{"leg_id":"MAP.COST.RC.PPL.SW.FIN.L04","view_id":"recurrence","report_row_id":"not_applicable","weight":1},{"leg_id":"MAP.COST.RC.PPL.SW.FIN.L04","view_id":"commitment","report_row_id":"not_applicable","weight":1},{"leg_id":"MAP.COST.RC.PPL.SW.FIN.L04","view_id":"behaviour","report_row_id":"not_applicable","weight":1}]},{"mapping_id":"MAP.COST.RC.PPL.SW.SALES","source_row_id":"OPX.SOFTWARE","posting_owner":"Opex","stream":"CORPORATE","cost_centre":"SALES","vendor_id":"UNKNOWN_FORECAST","tax_code":"RC_IN19","cash_class":"operating","classification":{"recurrence":"recurring","commitment":"committed","behaviour":"fixed"},"legs":[{"leg_id":"MAP.COST.RC.PPL.SW.SALES.L01","side":"debit","account_id":"GL.OPEX.PPL.SW","amount_component":"net_plus_unrecoverable_vat"},{"leg_id":"MAP.COST.RC.PPL.SW.SALES.L02","side":"debit","account_id":"GL.VAT.DOM_ASSET","amount_component":"recoverable_vat"},{"leg_id":"MAP.COST.RC.PPL.SW.SALES.L03","side":"credit","account_id":"GL.AP.SUPPLIER","amount_component":"net"},{"leg_id":"MAP.COST.RC.PPL.SW.SALES.L04","side":"credit","account_id":"GL.VAT.DOM_LIAB","amount_component":"self_assessed_vat"}],"report_allocations":[{"leg_id":"MAP.COST.RC.PPL.SW.SALES.L01","view_id":"statement","report_row_id":"PNL.OPEX","weight":1},{"leg_id":"MAP.COST.RC.PPL.SW.SALES.L01","view_id":"nature","report_row_id":"operating_expense","weight":1},{"leg_id":"MAP.COST.RC.PPL.SW.SALES.L01","view_id":"function","report_row_id":"general_admin","weight":1},{"leg_id":"MAP.COST.RC.PPL.SW.SALES.L01","view_id":"cost_centre","report_row_id":"SALES","weight":1},{"leg_id":"MAP.COST.RC.PPL.SW.SALES.L01","view_id":"vendor","report_row_id":"UNKNOWN_FORECAST","weight":1},{"leg_id":"MAP.COST.RC.PPL.SW.SALES.L01","view_id":"recurrence","report_row_id":"recurring","weight":1},{"leg_id":"MAP.COST.RC.PPL.SW.SALES.L01","view_id":"commitment","report_row_id":"committed","weight":1},{"leg_id":"MAP.COST.RC.PPL.SW.SALES.L01","view_id":"behaviour","report_row_id":"fixed","weight":1},{"leg_id":"MAP.COST.RC.PPL.SW.SALES.L02","view_id":"statement","report_row_id":"BS.TAX_ASSETS","weight":1},{"leg_id":"MAP.COST.RC.PPL.SW.SALES.L02","view_id":"nature","report_row_id":"tax_assets","weight":1},{"leg_id":"MAP.COST.RC.PPL.SW.SALES.L02","view_id":"function","report_row_id":"balance_sheet","weight":1},{"leg_id":"MAP.COST.RC.PPL.SW.SALES.L02","view_id":"cost_centre","report_row_id":"SALES","weight":1},{"leg_id":"MAP.COST.RC.PPL.SW.SALES.L02","view_id":"vendor","report_row_id":"UNKNOWN_FORECAST","weight":1},{"leg_id":"MAP.COST.RC.PPL.SW.SALES.L02","view_id":"recurrence","report_row_id":"not_applicable","weight":1},{"leg_id":"MAP.COST.RC.PPL.SW.SALES.L02","view_id":"commitment","report_row_id":"not_applicable","weight":1},{"leg_id":"MAP.COST.RC.PPL.SW.SALES.L02","view_id":"behaviour","report_row_id":"not_applicable","weight":1},{"leg_id":"MAP.COST.RC.PPL.SW.SALES.L03","view_id":"statement","report_row_id":"BS.AP","weight":1},{"leg_id":"MAP.COST.RC.PPL.SW.SALES.L03","view_id":"nature","report_row_id":"ap","weight":1},{"leg_id":"MAP.COST.RC.PPL.SW.SALES.L03","view_id":"function","report_row_id":"balance_sheet","weight":1},{"leg_id":"MAP.COST.RC.PPL.SW.SALES.L03","view_id":"cost_centre","report_row_id":"SALES","weight":1},{"leg_id":"MAP.COST.RC.PPL.SW.SALES.L03","view_id":"vendor","report_row_id":"UNKNOWN_FORECAST","weight":1},{"leg_id":"MAP.COST.RC.PPL.SW.SALES.L03","view_id":"recurrence","report_row_id":"not_applicable","weight":1},{"leg_id":"MAP.COST.RC.PPL.SW.SALES.L03","view_id":"commitment","report_row_id":"not_applicable","weight":1},{"leg_id":"MAP.COST.RC.PPL.SW.SALES.L03","view_id":"behaviour","report_row_id":"not_applicable","weight":1},{"leg_id":"MAP.COST.RC.PPL.SW.SALES.L04","view_id":"statement","report_row_id":"BS.TAX_LIABILITIES","weight":1},{"leg_id":"MAP.COST.RC.PPL.SW.SALES.L04","view_id":"nature","report_row_id":"tax_liabilities","weight":1},{"leg_id":"MAP.COST.RC.PPL.SW.SALES.L04","view_id":"function","report_row_id":"balance_sheet","weight":1},{"leg_id":"MAP.COST.RC.PPL.SW.SALES.L04","view_id":"cost_centre","report_row_id":"SALES","weight":1},{"leg_id":"MAP.COST.RC.PPL.SW.SALES.L04","view_id":"vendor","report_row_id":"UNKNOWN_FORECAST","weight":1},{"leg_id":"MAP.COST.RC.PPL.SW.SALES.L04","view_id":"recurrence","report_row_id":"not_applicable","weight":1},{"leg_id":"MAP.COST.RC.PPL.SW.SALES.L04","view_id":"commitment","report_row_id":"not_applicable","weight":1},{"leg_id":"MAP.COST.RC.PPL.SW.SALES.L04","view_id":"behaviour","report_row_id":"not_applicable","weight":1}]},{"mapping_id":"MAP.COST.PPL.RECRUIT.MGMT","source_row_id":"OPX.RECRUIT","posting_owner":"Opex","stream":"CORPORATE","cost_centre":"MGMT","vendor_id":"UNKNOWN_FORECAST","tax_code":"DE_IN19","cash_class":"operating","classification":{"recurrence":"one_off","commitment":"committed","behaviour":"variable"},"legs":[{"leg_id":"MAP.COST.PPL.RECRUIT.MGMT.L01","side":"debit","account_id":"GL.OPEX.PPL.RECRUIT","amount_component":"net_plus_unrecoverable_vat"},{"leg_id":"MAP.COST.PPL.RECRUIT.MGMT.L02","side":"debit","account_id":"GL.VAT.DOM_ASSET","amount_component":"recoverable_vat"},{"leg_id":"MAP.COST.PPL.RECRUIT.MGMT.L03","side":"credit","account_id":"GL.AP.SUPPLIER","amount_component":"gross"}],"report_allocations":[{"leg_id":"MAP.COST.PPL.RECRUIT.MGMT.L01","view_id":"statement","report_row_id":"PNL.OPEX","weight":1},{"leg_id":"MAP.COST.PPL.RECRUIT.MGMT.L01","view_id":"nature","report_row_id":"operating_expense","weight":1},{"leg_id":"MAP.COST.PPL.RECRUIT.MGMT.L01","view_id":"function","report_row_id":"general_admin","weight":1},{"leg_id":"MAP.COST.PPL.RECRUIT.MGMT.L01","view_id":"cost_centre","report_row_id":"MGMT","weight":1},{"leg_id":"MAP.COST.PPL.RECRUIT.MGMT.L01","view_id":"vendor","report_row_id":"UNKNOWN_FORECAST","weight":1},{"leg_id":"MAP.COST.PPL.RECRUIT.MGMT.L01","view_id":"recurrence","report_row_id":"one_off","weight":1},{"leg_id":"MAP.COST.PPL.RECRUIT.MGMT.L01","view_id":"commitment","report_row_id":"committed","weight":1},{"leg_id":"MAP.COST.PPL.RECRUIT.MGMT.L01","view_id":"behaviour","report_row_id":"variable","weight":1},{"leg_id":"MAP.COST.PPL.RECRUIT.MGMT.L02","view_id":"statement","report_row_id":"BS.TAX_ASSETS","weight":1},{"leg_id":"MAP.COST.PPL.RECRUIT.MGMT.L02","view_id":"nature","report_row_id":"tax_assets","weight":1},{"leg_id":"MAP.COST.PPL.RECRUIT.MGMT.L02","view_id":"function","report_row_id":"balance_sheet","weight":1},{"leg_id":"MAP.COST.PPL.RECRUIT.MGMT.L02","view_id":"cost_centre","report_row_id":"MGMT","weight":1},{"leg_id":"MAP.COST.PPL.RECRUIT.MGMT.L02","view_id":"vendor","report_row_id":"UNKNOWN_FORECAST","weight":1},{"leg_id":"MAP.COST.PPL.RECRUIT.MGMT.L02","view_id":"recurrence","report_row_id":"not_applicable","weight":1},{"leg_id":"MAP.COST.PPL.RECRUIT.MGMT.L02","view_id":"commitment","report_row_id":"not_applicable","weight":1},{"leg_id":"MAP.COST.PPL.RECRUIT.MGMT.L02","view_id":"behaviour","report_row_id":"not_applicable","weight":1},{"leg_id":"MAP.COST.PPL.RECRUIT.MGMT.L03","view_id":"statement","report_row_id":"BS.AP","weight":1},{"leg_id":"MAP.COST.PPL.RECRUIT.MGMT.L03","view_id":"nature","report_row_id":"ap","weight":1},{"leg_id":"MAP.COST.PPL.RECRUIT.MGMT.L03","view_id":"function","report_row_id":"balance_sheet","weight":1},{"leg_id":"MAP.COST.PPL.RECRUIT.MGMT.L03","view_id":"cost_centre","report_row_id":"MGMT","weight":1},{"leg_id":"MAP.COST.PPL.RECRUIT.MGMT.L03","view_id":"vendor","report_row_id":"UNKNOWN_FORECAST","weight":1},{"leg_id":"MAP.COST.PPL.RECRUIT.MGMT.L03","view_id":"recurrence","report_row_id":"not_applicable","weight":1},{"leg_id":"MAP.COST.PPL.RECRUIT.MGMT.L03","view_id":"commitment","report_row_id":"not_applicable","weight":1},{"leg_id":"MAP.COST.PPL.RECRUIT.MGMT.L03","view_id":"behaviour","report_row_id":"not_applicable","weight":1}]},{"mapping_id":"MAP.COST.PPL.RECRUIT.ENG","source_row_id":"OPX.RECRUIT","posting_owner":"Opex","stream":"CORPORATE","cost_centre":"ENG","vendor_id":"UNKNOWN_FORECAST","tax_code":"DE_IN19","cash_class":"operating","classification":{"recurrence":"one_off","commitment":"committed","behaviour":"variable"},"legs":[{"leg_id":"MAP.COST.PPL.RECRUIT.ENG.L01","side":"debit","account_id":"GL.OPEX.PPL.RECRUIT","amount_component":"net_plus_unrecoverable_vat"},{"leg_id":"MAP.COST.PPL.RECRUIT.ENG.L02","side":"debit","account_id":"GL.VAT.DOM_ASSET","amount_component":"recoverable_vat"},{"leg_id":"MAP.COST.PPL.RECRUIT.ENG.L03","side":"credit","account_id":"GL.AP.SUPPLIER","amount_component":"gross"}],"report_allocations":[{"leg_id":"MAP.COST.PPL.RECRUIT.ENG.L01","view_id":"statement","report_row_id":"PNL.OPEX","weight":1},{"leg_id":"MAP.COST.PPL.RECRUIT.ENG.L01","view_id":"nature","report_row_id":"operating_expense","weight":1},{"leg_id":"MAP.COST.PPL.RECRUIT.ENG.L01","view_id":"function","report_row_id":"general_admin","weight":1},{"leg_id":"MAP.COST.PPL.RECRUIT.ENG.L01","view_id":"cost_centre","report_row_id":"ENG","weight":1},{"leg_id":"MAP.COST.PPL.RECRUIT.ENG.L01","view_id":"vendor","report_row_id":"UNKNOWN_FORECAST","weight":1},{"leg_id":"MAP.COST.PPL.RECRUIT.ENG.L01","view_id":"recurrence","report_row_id":"one_off","weight":1},{"leg_id":"MAP.COST.PPL.RECRUIT.ENG.L01","view_id":"commitment","report_row_id":"committed","weight":1},{"leg_id":"MAP.COST.PPL.RECRUIT.ENG.L01","view_id":"behaviour","report_row_id":"variable","weight":1},{"leg_id":"MAP.COST.PPL.RECRUIT.ENG.L02","view_id":"statement","report_row_id":"BS.TAX_ASSETS","weight":1},{"leg_id":"MAP.COST.PPL.RECRUIT.ENG.L02","view_id":"nature","report_row_id":"tax_assets","weight":1},{"leg_id":"MAP.COST.PPL.RECRUIT.ENG.L02","view_id":"function","report_row_id":"balance_sheet","weight":1},{"leg_id":"MAP.COST.PPL.RECRUIT.ENG.L02","view_id":"cost_centre","report_row_id":"ENG","weight":1},{"leg_id":"MAP.COST.PPL.RECRUIT.ENG.L02","view_id":"vendor","report_row_id":"UNKNOWN_FORECAST","weight":1},{"leg_id":"MAP.COST.PPL.RECRUIT.ENG.L02","view_id":"recurrence","report_row_id":"not_applicable","weight":1},{"leg_id":"MAP.COST.PPL.RECRUIT.ENG.L02","view_id":"commitment","report_row_id":"not_applicable","weight":1},{"leg_id":"MAP.COST.PPL.RECRUIT.ENG.L02","view_id":"behaviour","report_row_id":"not_applicable","weight":1},{"leg_id":"MAP.COST.PPL.RECRUIT.ENG.L03","view_id":"statement","report_row_id":"BS.AP","weight":1},{"leg_id":"MAP.COST.PPL.RECRUIT.ENG.L03","view_id":"nature","report_row_id":"ap","weight":1},{"leg_id":"MAP.COST.PPL.RECRUIT.ENG.L03","view_id":"function","report_row_id":"balance_sheet","weight":1},{"leg_id":"MAP.COST.PPL.RECRUIT.ENG.L03","view_id":"cost_centre","report_row_id":"ENG","weight":1},{"leg_id":"MAP.COST.PPL.RECRUIT.ENG.L03","view_id":"vendor","report_row_id":"UNKNOWN_FORECAST","weight":1},{"leg_id":"MAP.COST.PPL.RECRUIT.ENG.L03","view_id":"recurrence","report_row_id":"not_applicable","weight":1},{"leg_id":"MAP.COST.PPL.RECRUIT.ENG.L03","view_id":"commitment","report_row_id":"not_applicable","weight":1},{"leg_id":"MAP.COST.PPL.RECRUIT.ENG.L03","view_id":"behaviour","report_row_id":"not_applicable","weight":1}]},{"mapping_id":"MAP.COST.PPL.RECRUIT.COMP","source_row_id":"OPX.RECRUIT","posting_owner":"Opex","stream":"CORPORATE","cost_centre":"COMP","vendor_id":"UNKNOWN_FORECAST","tax_code":"DE_IN19","cash_class":"operating","classification":{"recurrence":"one_off","commitment":"committed","behaviour":"variable"},"legs":[{"leg_id":"MAP.COST.PPL.RECRUIT.COMP.L01","side":"debit","account_id":"GL.OPEX.PPL.RECRUIT","amount_component":"net_plus_unrecoverable_vat"},{"leg_id":"MAP.COST.PPL.RECRUIT.COMP.L02","side":"debit","account_id":"GL.VAT.DOM_ASSET","amount_component":"recoverable_vat"},{"leg_id":"MAP.COST.PPL.RECRUIT.COMP.L03","side":"credit","account_id":"GL.AP.SUPPLIER","amount_component":"gross"}],"report_allocations":[{"leg_id":"MAP.COST.PPL.RECRUIT.COMP.L01","view_id":"statement","report_row_id":"PNL.OPEX","weight":1},{"leg_id":"MAP.COST.PPL.RECRUIT.COMP.L01","view_id":"nature","report_row_id":"operating_expense","weight":1},{"leg_id":"MAP.COST.PPL.RECRUIT.COMP.L01","view_id":"function","report_row_id":"general_admin","weight":1},{"leg_id":"MAP.COST.PPL.RECRUIT.COMP.L01","view_id":"cost_centre","report_row_id":"COMP","weight":1},{"leg_id":"MAP.COST.PPL.RECRUIT.COMP.L01","view_id":"vendor","report_row_id":"UNKNOWN_FORECAST","weight":1},{"leg_id":"MAP.COST.PPL.RECRUIT.COMP.L01","view_id":"recurrence","report_row_id":"one_off","weight":1},{"leg_id":"MAP.COST.PPL.RECRUIT.COMP.L01","view_id":"commitment","report_row_id":"committed","weight":1},{"leg_id":"MAP.COST.PPL.RECRUIT.COMP.L01","view_id":"behaviour","report_row_id":"variable","weight":1},{"leg_id":"MAP.COST.PPL.RECRUIT.COMP.L02","view_id":"statement","report_row_id":"BS.TAX_ASSETS","weight":1},{"leg_id":"MAP.COST.PPL.RECRUIT.COMP.L02","view_id":"nature","report_row_id":"tax_assets","weight":1},{"leg_id":"MAP.COST.PPL.RECRUIT.COMP.L02","view_id":"function","report_row_id":"balance_sheet","weight":1},{"leg_id":"MAP.COST.PPL.RECRUIT.COMP.L02","view_id":"cost_centre","report_row_id":"COMP","weight":1},{"leg_id":"MAP.COST.PPL.RECRUIT.COMP.L02","view_id":"vendor","report_row_id":"UNKNOWN_FORECAST","weight":1},{"leg_id":"MAP.COST.PPL.RECRUIT.COMP.L02","view_id":"recurrence","report_row_id":"not_applicable","weight":1},{"leg_id":"MAP.COST.PPL.RECRUIT.COMP.L02","view_id":"commitment","report_row_id":"not_applicable","weight":1},{"leg_id":"MAP.COST.PPL.RECRUIT.COMP.L02","view_id":"behaviour","report_row_id":"not_applicable","weight":1},{"leg_id":"MAP.COST.PPL.RECRUIT.COMP.L03","view_id":"statement","report_row_id":"BS.AP","weight":1},{"leg_id":"MAP.COST.PPL.RECRUIT.COMP.L03","view_id":"nature","report_row_id":"ap","weight":1},{"leg_id":"MAP.COST.PPL.RECRUIT.COMP.L03","view_id":"function","report_row_id":"balance_sheet","weight":1},{"leg_id":"MAP.COST.PPL.RECRUIT.COMP.L03","view_id":"cost_centre","report_row_id":"COMP","weight":1},{"leg_id":"MAP.COST.PPL.RECRUIT.COMP.L03","view_id":"vendor","report_row_id":"UNKNOWN_FORECAST","weight":1},{"leg_id":"MAP.COST.PPL.RECRUIT.COMP.L03","view_id":"recurrence","report_row_id":"not_applicable","weight":1},{"leg_id":"MAP.COST.PPL.RECRUIT.COMP.L03","view_id":"commitment","report_row_id":"not_applicable","weight":1},{"leg_id":"MAP.COST.PPL.RECRUIT.COMP.L03","view_id":"behaviour","report_row_id":"not_applicable","weight":1}]},{"mapping_id":"MAP.COST.PPL.RECRUIT.PROD","source_row_id":"OPX.RECRUIT","posting_owner":"Opex","stream":"CORPORATE","cost_centre":"PROD","vendor_id":"UNKNOWN_FORECAST","tax_code":"DE_IN19","cash_class":"operating","classification":{"recurrence":"one_off","commitment":"committed","behaviour":"variable"},"legs":[{"leg_id":"MAP.COST.PPL.RECRUIT.PROD.L01","side":"debit","account_id":"GL.OPEX.PPL.RECRUIT","amount_component":"net_plus_unrecoverable_vat"},{"leg_id":"MAP.COST.PPL.RECRUIT.PROD.L02","side":"debit","account_id":"GL.VAT.DOM_ASSET","amount_component":"recoverable_vat"},{"leg_id":"MAP.COST.PPL.RECRUIT.PROD.L03","side":"credit","account_id":"GL.AP.SUPPLIER","amount_component":"gross"}],"report_allocations":[{"leg_id":"MAP.COST.PPL.RECRUIT.PROD.L01","view_id":"statement","report_row_id":"PNL.OPEX","weight":1},{"leg_id":"MAP.COST.PPL.RECRUIT.PROD.L01","view_id":"nature","report_row_id":"operating_expense","weight":1},{"leg_id":"MAP.COST.PPL.RECRUIT.PROD.L01","view_id":"function","report_row_id":"general_admin","weight":1},{"leg_id":"MAP.COST.PPL.RECRUIT.PROD.L01","view_id":"cost_centre","report_row_id":"PROD","weight":1},{"leg_id":"MAP.COST.PPL.RECRUIT.PROD.L01","view_id":"vendor","report_row_id":"UNKNOWN_FORECAST","weight":1},{"leg_id":"MAP.COST.PPL.RECRUIT.PROD.L01","view_id":"recurrence","report_row_id":"one_off","weight":1},{"leg_id":"MAP.COST.PPL.RECRUIT.PROD.L01","view_id":"commitment","report_row_id":"committed","weight":1},{"leg_id":"MAP.COST.PPL.RECRUIT.PROD.L01","view_id":"behaviour","report_row_id":"variable","weight":1},{"leg_id":"MAP.COST.PPL.RECRUIT.PROD.L02","view_id":"statement","report_row_id":"BS.TAX_ASSETS","weight":1},{"leg_id":"MAP.COST.PPL.RECRUIT.PROD.L02","view_id":"nature","report_row_id":"tax_assets","weight":1},{"leg_id":"MAP.COST.PPL.RECRUIT.PROD.L02","view_id":"function","report_row_id":"balance_sheet","weight":1},{"leg_id":"MAP.COST.PPL.RECRUIT.PROD.L02","view_id":"cost_centre","report_row_id":"PROD","weight":1},{"leg_id":"MAP.COST.PPL.RECRUIT.PROD.L02","view_id":"vendor","report_row_id":"UNKNOWN_FORECAST","weight":1},{"leg_id":"MAP.COST.PPL.RECRUIT.PROD.L02","view_id":"recurrence","report_row_id":"not_applicable","weight":1},{"leg_id":"MAP.COST.PPL.RECRUIT.PROD.L02","view_id":"commitment","report_row_id":"not_applicable","weight":1},{"leg_id":"MAP.COST.PPL.RECRUIT.PROD.L02","view_id":"behaviour","report_row_id":"not_applicable","weight":1},{"leg_id":"MAP.COST.PPL.RECRUIT.PROD.L03","view_id":"statement","report_row_id":"BS.AP","weight":1},{"leg_id":"MAP.COST.PPL.RECRUIT.PROD.L03","view_id":"nature","report_row_id":"ap","weight":1},{"leg_id":"MAP.COST.PPL.RECRUIT.PROD.L03","view_id":"function","report_row_id":"balance_sheet","weight":1},{"leg_id":"MAP.COST.PPL.RECRUIT.PROD.L03","view_id":"cost_centre","report_row_id":"PROD","weight":1},{"leg_id":"MAP.COST.PPL.RECRUIT.PROD.L03","view_id":"vendor","report_row_id":"UNKNOWN_FORECAST","weight":1},{"leg_id":"MAP.COST.PPL.RECRUIT.PROD.L03","view_id":"recurrence","report_row_id":"not_applicable","weight":1},{"leg_id":"MAP.COST.PPL.RECRUIT.PROD.L03","view_id":"commitment","report_row_id":"not_applicable","weight":1},{"leg_id":"MAP.COST.PPL.RECRUIT.PROD.L03","view_id":"behaviour","report_row_id":"not_applicable","weight":1}]},{"mapping_id":"MAP.COST.PPL.RECRUIT.MKT","source_row_id":"OPX.RECRUIT","posting_owner":"Opex","stream":"CORPORATE","cost_centre":"MKT","vendor_id":"UNKNOWN_FORECAST","tax_code":"DE_IN19","cash_class":"operating","classification":{"recurrence":"one_off","commitment":"committed","behaviour":"variable"},"legs":[{"leg_id":"MAP.COST.PPL.RECRUIT.MKT.L01","side":"debit","account_id":"GL.OPEX.PPL.RECRUIT","amount_component":"net_plus_unrecoverable_vat"},{"leg_id":"MAP.COST.PPL.RECRUIT.MKT.L02","side":"debit","account_id":"GL.VAT.DOM_ASSET","amount_component":"recoverable_vat"},{"leg_id":"MAP.COST.PPL.RECRUIT.MKT.L03","side":"credit","account_id":"GL.AP.SUPPLIER","amount_component":"gross"}],"report_allocations":[{"leg_id":"MAP.COST.PPL.RECRUIT.MKT.L01","view_id":"statement","report_row_id":"PNL.OPEX","weight":1},{"leg_id":"MAP.COST.PPL.RECRUIT.MKT.L01","view_id":"nature","report_row_id":"operating_expense","weight":1},{"leg_id":"MAP.COST.PPL.RECRUIT.MKT.L01","view_id":"function","report_row_id":"general_admin","weight":1},{"leg_id":"MAP.COST.PPL.RECRUIT.MKT.L01","view_id":"cost_centre","report_row_id":"MKT","weight":1},{"leg_id":"MAP.COST.PPL.RECRUIT.MKT.L01","view_id":"vendor","report_row_id":"UNKNOWN_FORECAST","weight":1},{"leg_id":"MAP.COST.PPL.RECRUIT.MKT.L01","view_id":"recurrence","report_row_id":"one_off","weight":1},{"leg_id":"MAP.COST.PPL.RECRUIT.MKT.L01","view_id":"commitment","report_row_id":"committed","weight":1},{"leg_id":"MAP.COST.PPL.RECRUIT.MKT.L01","view_id":"behaviour","report_row_id":"variable","weight":1},{"leg_id":"MAP.COST.PPL.RECRUIT.MKT.L02","view_id":"statement","report_row_id":"BS.TAX_ASSETS","weight":1},{"leg_id":"MAP.COST.PPL.RECRUIT.MKT.L02","view_id":"nature","report_row_id":"tax_assets","weight":1},{"leg_id":"MAP.COST.PPL.RECRUIT.MKT.L02","view_id":"function","report_row_id":"balance_sheet","weight":1},{"leg_id":"MAP.COST.PPL.RECRUIT.MKT.L02","view_id":"cost_centre","report_row_id":"MKT","weight":1},{"leg_id":"MAP.COST.PPL.RECRUIT.MKT.L02","view_id":"vendor","report_row_id":"UNKNOWN_FORECAST","weight":1},{"leg_id":"MAP.COST.PPL.RECRUIT.MKT.L02","view_id":"recurrence","report_row_id":"not_applicable","weight":1},{"leg_id":"MAP.COST.PPL.RECRUIT.MKT.L02","view_id":"commitment","report_row_id":"not_applicable","weight":1},{"leg_id":"MAP.COST.PPL.RECRUIT.MKT.L02","view_id":"behaviour","report_row_id":"not_applicable","weight":1},{"leg_id":"MAP.COST.PPL.RECRUIT.MKT.L03","view_id":"statement","report_row_id":"BS.AP","weight":1},{"leg_id":"MAP.COST.PPL.RECRUIT.MKT.L03","view_id":"nature","report_row_id":"ap","weight":1},{"leg_id":"MAP.COST.PPL.RECRUIT.MKT.L03","view_id":"function","report_row_id":"balance_sheet","weight":1},{"leg_id":"MAP.COST.PPL.RECRUIT.MKT.L03","view_id":"cost_centre","report_row_id":"MKT","weight":1},{"leg_id":"MAP.COST.PPL.RECRUIT.MKT.L03","view_id":"vendor","report_row_id":"UNKNOWN_FORECAST","weight":1},{"leg_id":"MAP.COST.PPL.RECRUIT.MKT.L03","view_id":"recurrence","report_row_id":"not_applicable","weight":1},{"leg_id":"MAP.COST.PPL.RECRUIT.MKT.L03","view_id":"commitment","report_row_id":"not_applicable","weight":1},{"leg_id":"MAP.COST.PPL.RECRUIT.MKT.L03","view_id":"behaviour","report_row_id":"not_applicable","weight":1}]},{"mapping_id":"MAP.COST.PPL.RECRUIT.SUP","source_row_id":"OPX.RECRUIT","posting_owner":"Opex","stream":"CORPORATE","cost_centre":"SUP","vendor_id":"UNKNOWN_FORECAST","tax_code":"DE_IN19","cash_class":"operating","classification":{"recurrence":"one_off","commitment":"committed","behaviour":"variable"},"legs":[{"leg_id":"MAP.COST.PPL.RECRUIT.SUP.L01","side":"debit","account_id":"GL.OPEX.PPL.RECRUIT","amount_component":"net_plus_unrecoverable_vat"},{"leg_id":"MAP.COST.PPL.RECRUIT.SUP.L02","side":"debit","account_id":"GL.VAT.DOM_ASSET","amount_component":"recoverable_vat"},{"leg_id":"MAP.COST.PPL.RECRUIT.SUP.L03","side":"credit","account_id":"GL.AP.SUPPLIER","amount_component":"gross"}],"report_allocations":[{"leg_id":"MAP.COST.PPL.RECRUIT.SUP.L01","view_id":"statement","report_row_id":"PNL.OPEX","weight":1},{"leg_id":"MAP.COST.PPL.RECRUIT.SUP.L01","view_id":"nature","report_row_id":"operating_expense","weight":1},{"leg_id":"MAP.COST.PPL.RECRUIT.SUP.L01","view_id":"function","report_row_id":"general_admin","weight":1},{"leg_id":"MAP.COST.PPL.RECRUIT.SUP.L01","view_id":"cost_centre","report_row_id":"SUP","weight":1},{"leg_id":"MAP.COST.PPL.RECRUIT.SUP.L01","view_id":"vendor","report_row_id":"UNKNOWN_FORECAST","weight":1},{"leg_id":"MAP.COST.PPL.RECRUIT.SUP.L01","view_id":"recurrence","report_row_id":"one_off","weight":1},{"leg_id":"MAP.COST.PPL.RECRUIT.SUP.L01","view_id":"commitment","report_row_id":"committed","weight":1},{"leg_id":"MAP.COST.PPL.RECRUIT.SUP.L01","view_id":"behaviour","report_row_id":"variable","weight":1},{"leg_id":"MAP.COST.PPL.RECRUIT.SUP.L02","view_id":"statement","report_row_id":"BS.TAX_ASSETS","weight":1},{"leg_id":"MAP.COST.PPL.RECRUIT.SUP.L02","view_id":"nature","report_row_id":"tax_assets","weight":1},{"leg_id":"MAP.COST.PPL.RECRUIT.SUP.L02","view_id":"function","report_row_id":"balance_sheet","weight":1},{"leg_id":"MAP.COST.PPL.RECRUIT.SUP.L02","view_id":"cost_centre","report_row_id":"SUP","weight":1},{"leg_id":"MAP.COST.PPL.RECRUIT.SUP.L02","view_id":"vendor","report_row_id":"UNKNOWN_FORECAST","weight":1},{"leg_id":"MAP.COST.PPL.RECRUIT.SUP.L02","view_id":"recurrence","report_row_id":"not_applicable","weight":1},{"leg_id":"MAP.COST.PPL.RECRUIT.SUP.L02","view_id":"commitment","report_row_id":"not_applicable","weight":1},{"leg_id":"MAP.COST.PPL.RECRUIT.SUP.L02","view_id":"behaviour","report_row_id":"not_applicable","weight":1},{"leg_id":"MAP.COST.PPL.RECRUIT.SUP.L03","view_id":"statement","report_row_id":"BS.AP","weight":1},{"leg_id":"MAP.COST.PPL.RECRUIT.SUP.L03","view_id":"nature","report_row_id":"ap","weight":1},{"leg_id":"MAP.COST.PPL.RECRUIT.SUP.L03","view_id":"function","report_row_id":"balance_sheet","weight":1},{"leg_id":"MAP.COST.PPL.RECRUIT.SUP.L03","view_id":"cost_centre","report_row_id":"SUP","weight":1},{"leg_id":"MAP.COST.PPL.RECRUIT.SUP.L03","view_id":"vendor","report_row_id":"UNKNOWN_FORECAST","weight":1},{"leg_id":"MAP.COST.PPL.RECRUIT.SUP.L03","view_id":"recurrence","report_row_id":"not_applicable","weight":1},{"leg_id":"MAP.COST.PPL.RECRUIT.SUP.L03","view_id":"commitment","report_row_id":"not_applicable","weight":1},{"leg_id":"MAP.COST.PPL.RECRUIT.SUP.L03","view_id":"behaviour","report_row_id":"not_applicable","weight":1}]},{"mapping_id":"MAP.COST.PPL.RECRUIT.FIN","source_row_id":"OPX.RECRUIT","posting_owner":"Opex","stream":"CORPORATE","cost_centre":"FIN","vendor_id":"UNKNOWN_FORECAST","tax_code":"DE_IN19","cash_class":"operating","classification":{"recurrence":"one_off","commitment":"committed","behaviour":"variable"},"legs":[{"leg_id":"MAP.COST.PPL.RECRUIT.FIN.L01","side":"debit","account_id":"GL.OPEX.PPL.RECRUIT","amount_component":"net_plus_unrecoverable_vat"},{"leg_id":"MAP.COST.PPL.RECRUIT.FIN.L02","side":"debit","account_id":"GL.VAT.DOM_ASSET","amount_component":"recoverable_vat"},{"leg_id":"MAP.COST.PPL.RECRUIT.FIN.L03","side":"credit","account_id":"GL.AP.SUPPLIER","amount_component":"gross"}],"report_allocations":[{"leg_id":"MAP.COST.PPL.RECRUIT.FIN.L01","view_id":"statement","report_row_id":"PNL.OPEX","weight":1},{"leg_id":"MAP.COST.PPL.RECRUIT.FIN.L01","view_id":"nature","report_row_id":"operating_expense","weight":1},{"leg_id":"MAP.COST.PPL.RECRUIT.FIN.L01","view_id":"function","report_row_id":"general_admin","weight":1},{"leg_id":"MAP.COST.PPL.RECRUIT.FIN.L01","view_id":"cost_centre","report_row_id":"FIN","weight":1},{"leg_id":"MAP.COST.PPL.RECRUIT.FIN.L01","view_id":"vendor","report_row_id":"UNKNOWN_FORECAST","weight":1},{"leg_id":"MAP.COST.PPL.RECRUIT.FIN.L01","view_id":"recurrence","report_row_id":"one_off","weight":1},{"leg_id":"MAP.COST.PPL.RECRUIT.FIN.L01","view_id":"commitment","report_row_id":"committed","weight":1},{"leg_id":"MAP.COST.PPL.RECRUIT.FIN.L01","view_id":"behaviour","report_row_id":"variable","weight":1},{"leg_id":"MAP.COST.PPL.RECRUIT.FIN.L02","view_id":"statement","report_row_id":"BS.TAX_ASSETS","weight":1},{"leg_id":"MAP.COST.PPL.RECRUIT.FIN.L02","view_id":"nature","report_row_id":"tax_assets","weight":1},{"leg_id":"MAP.COST.PPL.RECRUIT.FIN.L02","view_id":"function","report_row_id":"balance_sheet","weight":1},{"leg_id":"MAP.COST.PPL.RECRUIT.FIN.L02","view_id":"cost_centre","report_row_id":"FIN","weight":1},{"leg_id":"MAP.COST.PPL.RECRUIT.FIN.L02","view_id":"vendor","report_row_id":"UNKNOWN_FORECAST","weight":1},{"leg_id":"MAP.COST.PPL.RECRUIT.FIN.L02","view_id":"recurrence","report_row_id":"not_applicable","weight":1},{"leg_id":"MAP.COST.PPL.RECRUIT.FIN.L02","view_id":"commitment","report_row_id":"not_applicable","weight":1},{"leg_id":"MAP.COST.PPL.RECRUIT.FIN.L02","view_id":"behaviour","report_row_id":"not_applicable","weight":1},{"leg_id":"MAP.COST.PPL.RECRUIT.FIN.L03","view_id":"statement","report_row_id":"BS.AP","weight":1},{"leg_id":"MAP.COST.PPL.RECRUIT.FIN.L03","view_id":"nature","report_row_id":"ap","weight":1},{"leg_id":"MAP.COST.PPL.RECRUIT.FIN.L03","view_id":"function","report_row_id":"balance_sheet","weight":1},{"leg_id":"MAP.COST.PPL.RECRUIT.FIN.L03","view_id":"cost_centre","report_row_id":"FIN","weight":1},{"leg_id":"MAP.COST.PPL.RECRUIT.FIN.L03","view_id":"vendor","report_row_id":"UNKNOWN_FORECAST","weight":1},{"leg_id":"MAP.COST.PPL.RECRUIT.FIN.L03","view_id":"recurrence","report_row_id":"not_applicable","weight":1},{"leg_id":"MAP.COST.PPL.RECRUIT.FIN.L03","view_id":"commitment","report_row_id":"not_applicable","weight":1},{"leg_id":"MAP.COST.PPL.RECRUIT.FIN.L03","view_id":"behaviour","report_row_id":"not_applicable","weight":1}]},{"mapping_id":"MAP.COST.PPL.RECRUIT.SALES","source_row_id":"OPX.RECRUIT","posting_owner":"Opex","stream":"CORPORATE","cost_centre":"SALES","vendor_id":"UNKNOWN_FORECAST","tax_code":"DE_IN19","cash_class":"operating","classification":{"recurrence":"one_off","commitment":"committed","behaviour":"variable"},"legs":[{"leg_id":"MAP.COST.PPL.RECRUIT.SALES.L01","side":"debit","account_id":"GL.OPEX.PPL.RECRUIT","amount_component":"net_plus_unrecoverable_vat"},{"leg_id":"MAP.COST.PPL.RECRUIT.SALES.L02","side":"debit","account_id":"GL.VAT.DOM_ASSET","amount_component":"recoverable_vat"},{"leg_id":"MAP.COST.PPL.RECRUIT.SALES.L03","side":"credit","account_id":"GL.AP.SUPPLIER","amount_component":"gross"}],"report_allocations":[{"leg_id":"MAP.COST.PPL.RECRUIT.SALES.L01","view_id":"statement","report_row_id":"PNL.OPEX","weight":1},{"leg_id":"MAP.COST.PPL.RECRUIT.SALES.L01","view_id":"nature","report_row_id":"operating_expense","weight":1},{"leg_id":"MAP.COST.PPL.RECRUIT.SALES.L01","view_id":"function","report_row_id":"general_admin","weight":1},{"leg_id":"MAP.COST.PPL.RECRUIT.SALES.L01","view_id":"cost_centre","report_row_id":"SALES","weight":1},{"leg_id":"MAP.COST.PPL.RECRUIT.SALES.L01","view_id":"vendor","report_row_id":"UNKNOWN_FORECAST","weight":1},{"leg_id":"MAP.COST.PPL.RECRUIT.SALES.L01","view_id":"recurrence","report_row_id":"one_off","weight":1},{"leg_id":"MAP.COST.PPL.RECRUIT.SALES.L01","view_id":"commitment","report_row_id":"committed","weight":1},{"leg_id":"MAP.COST.PPL.RECRUIT.SALES.L01","view_id":"behaviour","report_row_id":"variable","weight":1},{"leg_id":"MAP.COST.PPL.RECRUIT.SALES.L02","view_id":"statement","report_row_id":"BS.TAX_ASSETS","weight":1},{"leg_id":"MAP.COST.PPL.RECRUIT.SALES.L02","view_id":"nature","report_row_id":"tax_assets","weight":1},{"leg_id":"MAP.COST.PPL.RECRUIT.SALES.L02","view_id":"function","report_row_id":"balance_sheet","weight":1},{"leg_id":"MAP.COST.PPL.RECRUIT.SALES.L02","view_id":"cost_centre","report_row_id":"SALES","weight":1},{"leg_id":"MAP.COST.PPL.RECRUIT.SALES.L02","view_id":"vendor","report_row_id":"UNKNOWN_FORECAST","weight":1},{"leg_id":"MAP.COST.PPL.RECRUIT.SALES.L02","view_id":"recurrence","report_row_id":"not_applicable","weight":1},{"leg_id":"MAP.COST.PPL.RECRUIT.SALES.L02","view_id":"commitment","report_row_id":"not_applicable","weight":1},{"leg_id":"MAP.COST.PPL.RECRUIT.SALES.L02","view_id":"behaviour","report_row_id":"not_applicable","weight":1},{"leg_id":"MAP.COST.PPL.RECRUIT.SALES.L03","view_id":"statement","report_row_id":"BS.AP","weight":1},{"leg_id":"MAP.COST.PPL.RECRUIT.SALES.L03","view_id":"nature","report_row_id":"ap","weight":1},{"leg_id":"MAP.COST.PPL.RECRUIT.SALES.L03","view_id":"function","report_row_id":"balance_sheet","weight":1},{"leg_id":"MAP.COST.PPL.RECRUIT.SALES.L03","view_id":"cost_centre","report_row_id":"SALES","weight":1},{"leg_id":"MAP.COST.PPL.RECRUIT.SALES.L03","view_id":"vendor","report_row_id":"UNKNOWN_FORECAST","weight":1},{"leg_id":"MAP.COST.PPL.RECRUIT.SALES.L03","view_id":"recurrence","report_row_id":"not_applicable","weight":1},{"leg_id":"MAP.COST.PPL.RECRUIT.SALES.L03","view_id":"commitment","report_row_id":"not_applicable","weight":1},{"leg_id":"MAP.COST.PPL.RECRUIT.SALES.L03","view_id":"behaviour","report_row_id":"not_applicable","weight":1}]},{"mapping_id":"MAP.CAPEX.PPL.EQUIP.MGMT","source_row_id":"CAP.IT_ADDITIONS","posting_owner":"Capex","stream":"CORPORATE","cost_centre":"MGMT","vendor_id":"UNKNOWN_FORECAST","tax_code":"DE_IN19","cash_class":"investing","classification":{"recurrence":"one_off","commitment":"committed","behaviour":"fixed"},"legs":[{"leg_id":"MAP.CAPEX.PPL.EQUIP.MGMT.L01","side":"debit","account_id":"GL.ASSET.IT","amount_component":"net_plus_unrecoverable_vat"},{"leg_id":"MAP.CAPEX.PPL.EQUIP.MGMT.L02","side":"debit","account_id":"GL.VAT.DOM_ASSET","amount_component":"recoverable_vat"},{"leg_id":"MAP.CAPEX.PPL.EQUIP.MGMT.L03","side":"credit","account_id":"GL.AP.CAPEX","amount_component":"gross"}],"report_allocations":[{"leg_id":"MAP.CAPEX.PPL.EQUIP.MGMT.L01","view_id":"statement","report_row_id":"BS.ASSET_GROSS","weight":1},{"leg_id":"MAP.CAPEX.PPL.EQUIP.MGMT.L01","view_id":"nature","report_row_id":"asset_gross","weight":1},{"leg_id":"MAP.CAPEX.PPL.EQUIP.MGMT.L01","view_id":"function","report_row_id":"balance_sheet","weight":1},{"leg_id":"MAP.CAPEX.PPL.EQUIP.MGMT.L01","view_id":"cost_centre","report_row_id":"MGMT","weight":1},{"leg_id":"MAP.CAPEX.PPL.EQUIP.MGMT.L01","view_id":"vendor","report_row_id":"UNKNOWN_FORECAST","weight":1},{"leg_id":"MAP.CAPEX.PPL.EQUIP.MGMT.L01","view_id":"recurrence","report_row_id":"not_applicable","weight":1},{"leg_id":"MAP.CAPEX.PPL.EQUIP.MGMT.L01","view_id":"commitment","report_row_id":"not_applicable","weight":1},{"leg_id":"MAP.CAPEX.PPL.EQUIP.MGMT.L01","view_id":"behaviour","report_row_id":"not_applicable","weight":1},{"leg_id":"MAP.CAPEX.PPL.EQUIP.MGMT.L02","view_id":"statement","report_row_id":"BS.TAX_ASSETS","weight":1},{"leg_id":"MAP.CAPEX.PPL.EQUIP.MGMT.L02","view_id":"nature","report_row_id":"tax_assets","weight":1},{"leg_id":"MAP.CAPEX.PPL.EQUIP.MGMT.L02","view_id":"function","report_row_id":"balance_sheet","weight":1},{"leg_id":"MAP.CAPEX.PPL.EQUIP.MGMT.L02","view_id":"cost_centre","report_row_id":"MGMT","weight":1},{"leg_id":"MAP.CAPEX.PPL.EQUIP.MGMT.L02","view_id":"vendor","report_row_id":"UNKNOWN_FORECAST","weight":1},{"leg_id":"MAP.CAPEX.PPL.EQUIP.MGMT.L02","view_id":"recurrence","report_row_id":"not_applicable","weight":1},{"leg_id":"MAP.CAPEX.PPL.EQUIP.MGMT.L02","view_id":"commitment","report_row_id":"not_applicable","weight":1},{"leg_id":"MAP.CAPEX.PPL.EQUIP.MGMT.L02","view_id":"behaviour","report_row_id":"not_applicable","weight":1},{"leg_id":"MAP.CAPEX.PPL.EQUIP.MGMT.L03","view_id":"statement","report_row_id":"BS.AP","weight":1},{"leg_id":"MAP.CAPEX.PPL.EQUIP.MGMT.L03","view_id":"nature","report_row_id":"ap","weight":1},{"leg_id":"MAP.CAPEX.PPL.EQUIP.MGMT.L03","view_id":"function","report_row_id":"balance_sheet","weight":1},{"leg_id":"MAP.CAPEX.PPL.EQUIP.MGMT.L03","view_id":"cost_centre","report_row_id":"MGMT","weight":1},{"leg_id":"MAP.CAPEX.PPL.EQUIP.MGMT.L03","view_id":"vendor","report_row_id":"UNKNOWN_FORECAST","weight":1},{"leg_id":"MAP.CAPEX.PPL.EQUIP.MGMT.L03","view_id":"recurrence","report_row_id":"not_applicable","weight":1},{"leg_id":"MAP.CAPEX.PPL.EQUIP.MGMT.L03","view_id":"commitment","report_row_id":"not_applicable","weight":1},{"leg_id":"MAP.CAPEX.PPL.EQUIP.MGMT.L03","view_id":"behaviour","report_row_id":"not_applicable","weight":1}]},{"mapping_id":"MAP.CAPEX.PPL.EQUIP.ENG","source_row_id":"CAP.IT_ADDITIONS","posting_owner":"Capex","stream":"CORPORATE","cost_centre":"ENG","vendor_id":"UNKNOWN_FORECAST","tax_code":"DE_IN19","cash_class":"investing","classification":{"recurrence":"one_off","commitment":"committed","behaviour":"fixed"},"legs":[{"leg_id":"MAP.CAPEX.PPL.EQUIP.ENG.L01","side":"debit","account_id":"GL.ASSET.IT","amount_component":"net_plus_unrecoverable_vat"},{"leg_id":"MAP.CAPEX.PPL.EQUIP.ENG.L02","side":"debit","account_id":"GL.VAT.DOM_ASSET","amount_component":"recoverable_vat"},{"leg_id":"MAP.CAPEX.PPL.EQUIP.ENG.L03","side":"credit","account_id":"GL.AP.CAPEX","amount_component":"gross"}],"report_allocations":[{"leg_id":"MAP.CAPEX.PPL.EQUIP.ENG.L01","view_id":"statement","report_row_id":"BS.ASSET_GROSS","weight":1},{"leg_id":"MAP.CAPEX.PPL.EQUIP.ENG.L01","view_id":"nature","report_row_id":"asset_gross","weight":1},{"leg_id":"MAP.CAPEX.PPL.EQUIP.ENG.L01","view_id":"function","report_row_id":"balance_sheet","weight":1},{"leg_id":"MAP.CAPEX.PPL.EQUIP.ENG.L01","view_id":"cost_centre","report_row_id":"ENG","weight":1},{"leg_id":"MAP.CAPEX.PPL.EQUIP.ENG.L01","view_id":"vendor","report_row_id":"UNKNOWN_FORECAST","weight":1},{"leg_id":"MAP.CAPEX.PPL.EQUIP.ENG.L01","view_id":"recurrence","report_row_id":"not_applicable","weight":1},{"leg_id":"MAP.CAPEX.PPL.EQUIP.ENG.L01","view_id":"commitment","report_row_id":"not_applicable","weight":1},{"leg_id":"MAP.CAPEX.PPL.EQUIP.ENG.L01","view_id":"behaviour","report_row_id":"not_applicable","weight":1},{"leg_id":"MAP.CAPEX.PPL.EQUIP.ENG.L02","view_id":"statement","report_row_id":"BS.TAX_ASSETS","weight":1},{"leg_id":"MAP.CAPEX.PPL.EQUIP.ENG.L02","view_id":"nature","report_row_id":"tax_assets","weight":1},{"leg_id":"MAP.CAPEX.PPL.EQUIP.ENG.L02","view_id":"function","report_row_id":"balance_sheet","weight":1},{"leg_id":"MAP.CAPEX.PPL.EQUIP.ENG.L02","view_id":"cost_centre","report_row_id":"ENG","weight":1},{"leg_id":"MAP.CAPEX.PPL.EQUIP.ENG.L02","view_id":"vendor","report_row_id":"UNKNOWN_FORECAST","weight":1},{"leg_id":"MAP.CAPEX.PPL.EQUIP.ENG.L02","view_id":"recurrence","report_row_id":"not_applicable","weight":1},{"leg_id":"MAP.CAPEX.PPL.EQUIP.ENG.L02","view_id":"commitment","report_row_id":"not_applicable","weight":1},{"leg_id":"MAP.CAPEX.PPL.EQUIP.ENG.L02","view_id":"behaviour","report_row_id":"not_applicable","weight":1},{"leg_id":"MAP.CAPEX.PPL.EQUIP.ENG.L03","view_id":"statement","report_row_id":"BS.AP","weight":1},{"leg_id":"MAP.CAPEX.PPL.EQUIP.ENG.L03","view_id":"nature","report_row_id":"ap","weight":1},{"leg_id":"MAP.CAPEX.PPL.EQUIP.ENG.L03","view_id":"function","report_row_id":"balance_sheet","weight":1},{"leg_id":"MAP.CAPEX.PPL.EQUIP.ENG.L03","view_id":"cost_centre","report_row_id":"ENG","weight":1},{"leg_id":"MAP.CAPEX.PPL.EQUIP.ENG.L03","view_id":"vendor","report_row_id":"UNKNOWN_FORECAST","weight":1},{"leg_id":"MAP.CAPEX.PPL.EQUIP.ENG.L03","view_id":"recurrence","report_row_id":"not_applicable","weight":1},{"leg_id":"MAP.CAPEX.PPL.EQUIP.ENG.L03","view_id":"commitment","report_row_id":"not_applicable","weight":1},{"leg_id":"MAP.CAPEX.PPL.EQUIP.ENG.L03","view_id":"behaviour","report_row_id":"not_applicable","weight":1}]},{"mapping_id":"MAP.CAPEX.PPL.EQUIP.COMP","source_row_id":"CAP.IT_ADDITIONS","posting_owner":"Capex","stream":"CORPORATE","cost_centre":"COMP","vendor_id":"UNKNOWN_FORECAST","tax_code":"DE_IN19","cash_class":"investing","classification":{"recurrence":"one_off","commitment":"committed","behaviour":"fixed"},"legs":[{"leg_id":"MAP.CAPEX.PPL.EQUIP.COMP.L01","side":"debit","account_id":"GL.ASSET.IT","amount_component":"net_plus_unrecoverable_vat"},{"leg_id":"MAP.CAPEX.PPL.EQUIP.COMP.L02","side":"debit","account_id":"GL.VAT.DOM_ASSET","amount_component":"recoverable_vat"},{"leg_id":"MAP.CAPEX.PPL.EQUIP.COMP.L03","side":"credit","account_id":"GL.AP.CAPEX","amount_component":"gross"}],"report_allocations":[{"leg_id":"MAP.CAPEX.PPL.EQUIP.COMP.L01","view_id":"statement","report_row_id":"BS.ASSET_GROSS","weight":1},{"leg_id":"MAP.CAPEX.PPL.EQUIP.COMP.L01","view_id":"nature","report_row_id":"asset_gross","weight":1},{"leg_id":"MAP.CAPEX.PPL.EQUIP.COMP.L01","view_id":"function","report_row_id":"balance_sheet","weight":1},{"leg_id":"MAP.CAPEX.PPL.EQUIP.COMP.L01","view_id":"cost_centre","report_row_id":"COMP","weight":1},{"leg_id":"MAP.CAPEX.PPL.EQUIP.COMP.L01","view_id":"vendor","report_row_id":"UNKNOWN_FORECAST","weight":1},{"leg_id":"MAP.CAPEX.PPL.EQUIP.COMP.L01","view_id":"recurrence","report_row_id":"not_applicable","weight":1},{"leg_id":"MAP.CAPEX.PPL.EQUIP.COMP.L01","view_id":"commitment","report_row_id":"not_applicable","weight":1},{"leg_id":"MAP.CAPEX.PPL.EQUIP.COMP.L01","view_id":"behaviour","report_row_id":"not_applicable","weight":1},{"leg_id":"MAP.CAPEX.PPL.EQUIP.COMP.L02","view_id":"statement","report_row_id":"BS.TAX_ASSETS","weight":1},{"leg_id":"MAP.CAPEX.PPL.EQUIP.COMP.L02","view_id":"nature","report_row_id":"tax_assets","weight":1},{"leg_id":"MAP.CAPEX.PPL.EQUIP.COMP.L02","view_id":"function","report_row_id":"balance_sheet","weight":1},{"leg_id":"MAP.CAPEX.PPL.EQUIP.COMP.L02","view_id":"cost_centre","report_row_id":"COMP","weight":1},{"leg_id":"MAP.CAPEX.PPL.EQUIP.COMP.L02","view_id":"vendor","report_row_id":"UNKNOWN_FORECAST","weight":1},{"leg_id":"MAP.CAPEX.PPL.EQUIP.COMP.L02","view_id":"recurrence","report_row_id":"not_applicable","weight":1},{"leg_id":"MAP.CAPEX.PPL.EQUIP.COMP.L02","view_id":"commitment","report_row_id":"not_applicable","weight":1},{"leg_id":"MAP.CAPEX.PPL.EQUIP.COMP.L02","view_id":"behaviour","report_row_id":"not_applicable","weight":1},{"leg_id":"MAP.CAPEX.PPL.EQUIP.COMP.L03","view_id":"statement","report_row_id":"BS.AP","weight":1},{"leg_id":"MAP.CAPEX.PPL.EQUIP.COMP.L03","view_id":"nature","report_row_id":"ap","weight":1},{"leg_id":"MAP.CAPEX.PPL.EQUIP.COMP.L03","view_id":"function","report_row_id":"balance_sheet","weight":1},{"leg_id":"MAP.CAPEX.PPL.EQUIP.COMP.L03","view_id":"cost_centre","report_row_id":"COMP","weight":1},{"leg_id":"MAP.CAPEX.PPL.EQUIP.COMP.L03","view_id":"vendor","report_row_id":"UNKNOWN_FORECAST","weight":1},{"leg_id":"MAP.CAPEX.PPL.EQUIP.COMP.L03","view_id":"recurrence","report_row_id":"not_applicable","weight":1},{"leg_id":"MAP.CAPEX.PPL.EQUIP.COMP.L03","view_id":"commitment","report_row_id":"not_applicable","weight":1},{"leg_id":"MAP.CAPEX.PPL.EQUIP.COMP.L03","view_id":"behaviour","report_row_id":"not_applicable","weight":1}]},{"mapping_id":"MAP.CAPEX.PPL.EQUIP.PROD","source_row_id":"CAP.IT_ADDITIONS","posting_owner":"Capex","stream":"CORPORATE","cost_centre":"PROD","vendor_id":"UNKNOWN_FORECAST","tax_code":"DE_IN19","cash_class":"investing","classification":{"recurrence":"one_off","commitment":"committed","behaviour":"fixed"},"legs":[{"leg_id":"MAP.CAPEX.PPL.EQUIP.PROD.L01","side":"debit","account_id":"GL.ASSET.IT","amount_component":"net_plus_unrecoverable_vat"},{"leg_id":"MAP.CAPEX.PPL.EQUIP.PROD.L02","side":"debit","account_id":"GL.VAT.DOM_ASSET","amount_component":"recoverable_vat"},{"leg_id":"MAP.CAPEX.PPL.EQUIP.PROD.L03","side":"credit","account_id":"GL.AP.CAPEX","amount_component":"gross"}],"report_allocations":[{"leg_id":"MAP.CAPEX.PPL.EQUIP.PROD.L01","view_id":"statement","report_row_id":"BS.ASSET_GROSS","weight":1},{"leg_id":"MAP.CAPEX.PPL.EQUIP.PROD.L01","view_id":"nature","report_row_id":"asset_gross","weight":1},{"leg_id":"MAP.CAPEX.PPL.EQUIP.PROD.L01","view_id":"function","report_row_id":"balance_sheet","weight":1},{"leg_id":"MAP.CAPEX.PPL.EQUIP.PROD.L01","view_id":"cost_centre","report_row_id":"PROD","weight":1},{"leg_id":"MAP.CAPEX.PPL.EQUIP.PROD.L01","view_id":"vendor","report_row_id":"UNKNOWN_FORECAST","weight":1},{"leg_id":"MAP.CAPEX.PPL.EQUIP.PROD.L01","view_id":"recurrence","report_row_id":"not_applicable","weight":1},{"leg_id":"MAP.CAPEX.PPL.EQUIP.PROD.L01","view_id":"commitment","report_row_id":"not_applicable","weight":1},{"leg_id":"MAP.CAPEX.PPL.EQUIP.PROD.L01","view_id":"behaviour","report_row_id":"not_applicable","weight":1},{"leg_id":"MAP.CAPEX.PPL.EQUIP.PROD.L02","view_id":"statement","report_row_id":"BS.TAX_ASSETS","weight":1},{"leg_id":"MAP.CAPEX.PPL.EQUIP.PROD.L02","view_id":"nature","report_row_id":"tax_assets","weight":1},{"leg_id":"MAP.CAPEX.PPL.EQUIP.PROD.L02","view_id":"function","report_row_id":"balance_sheet","weight":1},{"leg_id":"MAP.CAPEX.PPL.EQUIP.PROD.L02","view_id":"cost_centre","report_row_id":"PROD","weight":1},{"leg_id":"MAP.CAPEX.PPL.EQUIP.PROD.L02","view_id":"vendor","report_row_id":"UNKNOWN_FORECAST","weight":1},{"leg_id":"MAP.CAPEX.PPL.EQUIP.PROD.L02","view_id":"recurrence","report_row_id":"not_applicable","weight":1},{"leg_id":"MAP.CAPEX.PPL.EQUIP.PROD.L02","view_id":"commitment","report_row_id":"not_applicable","weight":1},{"leg_id":"MAP.CAPEX.PPL.EQUIP.PROD.L02","view_id":"behaviour","report_row_id":"not_applicable","weight":1},{"leg_id":"MAP.CAPEX.PPL.EQUIP.PROD.L03","view_id":"statement","report_row_id":"BS.AP","weight":1},{"leg_id":"MAP.CAPEX.PPL.EQUIP.PROD.L03","view_id":"nature","report_row_id":"ap","weight":1},{"leg_id":"MAP.CAPEX.PPL.EQUIP.PROD.L03","view_id":"function","report_row_id":"balance_sheet","weight":1},{"leg_id":"MAP.CAPEX.PPL.EQUIP.PROD.L03","view_id":"cost_centre","report_row_id":"PROD","weight":1},{"leg_id":"MAP.CAPEX.PPL.EQUIP.PROD.L03","view_id":"vendor","report_row_id":"UNKNOWN_FORECAST","weight":1},{"leg_id":"MAP.CAPEX.PPL.EQUIP.PROD.L03","view_id":"recurrence","report_row_id":"not_applicable","weight":1},{"leg_id":"MAP.CAPEX.PPL.EQUIP.PROD.L03","view_id":"commitment","report_row_id":"not_applicable","weight":1},{"leg_id":"MAP.CAPEX.PPL.EQUIP.PROD.L03","view_id":"behaviour","report_row_id":"not_applicable","weight":1}]},{"mapping_id":"MAP.CAPEX.PPL.EQUIP.MKT","source_row_id":"CAP.IT_ADDITIONS","posting_owner":"Capex","stream":"CORPORATE","cost_centre":"MKT","vendor_id":"UNKNOWN_FORECAST","tax_code":"DE_IN19","cash_class":"investing","classification":{"recurrence":"one_off","commitment":"committed","behaviour":"fixed"},"legs":[{"leg_id":"MAP.CAPEX.PPL.EQUIP.MKT.L01","side":"debit","account_id":"GL.ASSET.IT","amount_component":"net_plus_unrecoverable_vat"},{"leg_id":"MAP.CAPEX.PPL.EQUIP.MKT.L02","side":"debit","account_id":"GL.VAT.DOM_ASSET","amount_component":"recoverable_vat"},{"leg_id":"MAP.CAPEX.PPL.EQUIP.MKT.L03","side":"credit","account_id":"GL.AP.CAPEX","amount_component":"gross"}],"report_allocations":[{"leg_id":"MAP.CAPEX.PPL.EQUIP.MKT.L01","view_id":"statement","report_row_id":"BS.ASSET_GROSS","weight":1},{"leg_id":"MAP.CAPEX.PPL.EQUIP.MKT.L01","view_id":"nature","report_row_id":"asset_gross","weight":1},{"leg_id":"MAP.CAPEX.PPL.EQUIP.MKT.L01","view_id":"function","report_row_id":"balance_sheet","weight":1},{"leg_id":"MAP.CAPEX.PPL.EQUIP.MKT.L01","view_id":"cost_centre","report_row_id":"MKT","weight":1},{"leg_id":"MAP.CAPEX.PPL.EQUIP.MKT.L01","view_id":"vendor","report_row_id":"UNKNOWN_FORECAST","weight":1},{"leg_id":"MAP.CAPEX.PPL.EQUIP.MKT.L01","view_id":"recurrence","report_row_id":"not_applicable","weight":1},{"leg_id":"MAP.CAPEX.PPL.EQUIP.MKT.L01","view_id":"commitment","report_row_id":"not_applicable","weight":1},{"leg_id":"MAP.CAPEX.PPL.EQUIP.MKT.L01","view_id":"behaviour","report_row_id":"not_applicable","weight":1},{"leg_id":"MAP.CAPEX.PPL.EQUIP.MKT.L02","view_id":"statement","report_row_id":"BS.TAX_ASSETS","weight":1},{"leg_id":"MAP.CAPEX.PPL.EQUIP.MKT.L02","view_id":"nature","report_row_id":"tax_assets","weight":1},{"leg_id":"MAP.CAPEX.PPL.EQUIP.MKT.L02","view_id":"function","report_row_id":"balance_sheet","weight":1},{"leg_id":"MAP.CAPEX.PPL.EQUIP.MKT.L02","view_id":"cost_centre","report_row_id":"MKT","weight":1},{"leg_id":"MAP.CAPEX.PPL.EQUIP.MKT.L02","view_id":"vendor","report_row_id":"UNKNOWN_FORECAST","weight":1},{"leg_id":"MAP.CAPEX.PPL.EQUIP.MKT.L02","view_id":"recurrence","report_row_id":"not_applicable","weight":1},{"leg_id":"MAP.CAPEX.PPL.EQUIP.MKT.L02","view_id":"commitment","report_row_id":"not_applicable","weight":1},{"leg_id":"MAP.CAPEX.PPL.EQUIP.MKT.L02","view_id":"behaviour","report_row_id":"not_applicable","weight":1},{"leg_id":"MAP.CAPEX.PPL.EQUIP.MKT.L03","view_id":"statement","report_row_id":"BS.AP","weight":1},{"leg_id":"MAP.CAPEX.PPL.EQUIP.MKT.L03","view_id":"nature","report_row_id":"ap","weight":1},{"leg_id":"MAP.CAPEX.PPL.EQUIP.MKT.L03","view_id":"function","report_row_id":"balance_sheet","weight":1},{"leg_id":"MAP.CAPEX.PPL.EQUIP.MKT.L03","view_id":"cost_centre","report_row_id":"MKT","weight":1},{"leg_id":"MAP.CAPEX.PPL.EQUIP.MKT.L03","view_id":"vendor","report_row_id":"UNKNOWN_FORECAST","weight":1},{"leg_id":"MAP.CAPEX.PPL.EQUIP.MKT.L03","view_id":"recurrence","report_row_id":"not_applicable","weight":1},{"leg_id":"MAP.CAPEX.PPL.EQUIP.MKT.L03","view_id":"commitment","report_row_id":"not_applicable","weight":1},{"leg_id":"MAP.CAPEX.PPL.EQUIP.MKT.L03","view_id":"behaviour","report_row_id":"not_applicable","weight":1}]},{"mapping_id":"MAP.CAPEX.PPL.EQUIP.SUP","source_row_id":"CAP.IT_ADDITIONS","posting_owner":"Capex","stream":"CORPORATE","cost_centre":"SUP","vendor_id":"UNKNOWN_FORECAST","tax_code":"DE_IN19","cash_class":"investing","classification":{"recurrence":"one_off","commitment":"committed","behaviour":"fixed"},"legs":[{"leg_id":"MAP.CAPEX.PPL.EQUIP.SUP.L01","side":"debit","account_id":"GL.ASSET.IT","amount_component":"net_plus_unrecoverable_vat"},{"leg_id":"MAP.CAPEX.PPL.EQUIP.SUP.L02","side":"debit","account_id":"GL.VAT.DOM_ASSET","amount_component":"recoverable_vat"},{"leg_id":"MAP.CAPEX.PPL.EQUIP.SUP.L03","side":"credit","account_id":"GL.AP.CAPEX","amount_component":"gross"}],"report_allocations":[{"leg_id":"MAP.CAPEX.PPL.EQUIP.SUP.L01","view_id":"statement","report_row_id":"BS.ASSET_GROSS","weight":1},{"leg_id":"MAP.CAPEX.PPL.EQUIP.SUP.L01","view_id":"nature","report_row_id":"asset_gross","weight":1},{"leg_id":"MAP.CAPEX.PPL.EQUIP.SUP.L01","view_id":"function","report_row_id":"balance_sheet","weight":1},{"leg_id":"MAP.CAPEX.PPL.EQUIP.SUP.L01","view_id":"cost_centre","report_row_id":"SUP","weight":1},{"leg_id":"MAP.CAPEX.PPL.EQUIP.SUP.L01","view_id":"vendor","report_row_id":"UNKNOWN_FORECAST","weight":1},{"leg_id":"MAP.CAPEX.PPL.EQUIP.SUP.L01","view_id":"recurrence","report_row_id":"not_applicable","weight":1},{"leg_id":"MAP.CAPEX.PPL.EQUIP.SUP.L01","view_id":"commitment","report_row_id":"not_applicable","weight":1},{"leg_id":"MAP.CAPEX.PPL.EQUIP.SUP.L01","view_id":"behaviour","report_row_id":"not_applicable","weight":1},{"leg_id":"MAP.CAPEX.PPL.EQUIP.SUP.L02","view_id":"statement","report_row_id":"BS.TAX_ASSETS","weight":1},{"leg_id":"MAP.CAPEX.PPL.EQUIP.SUP.L02","view_id":"nature","report_row_id":"tax_assets","weight":1},{"leg_id":"MAP.CAPEX.PPL.EQUIP.SUP.L02","view_id":"function","report_row_id":"balance_sheet","weight":1},{"leg_id":"MAP.CAPEX.PPL.EQUIP.SUP.L02","view_id":"cost_centre","report_row_id":"SUP","weight":1},{"leg_id":"MAP.CAPEX.PPL.EQUIP.SUP.L02","view_id":"vendor","report_row_id":"UNKNOWN_FORECAST","weight":1},{"leg_id":"MAP.CAPEX.PPL.EQUIP.SUP.L02","view_id":"recurrence","report_row_id":"not_applicable","weight":1},{"leg_id":"MAP.CAPEX.PPL.EQUIP.SUP.L02","view_id":"commitment","report_row_id":"not_applicable","weight":1},{"leg_id":"MAP.CAPEX.PPL.EQUIP.SUP.L02","view_id":"behaviour","report_row_id":"not_applicable","weight":1},{"leg_id":"MAP.CAPEX.PPL.EQUIP.SUP.L03","view_id":"statement","report_row_id":"BS.AP","weight":1},{"leg_id":"MAP.CAPEX.PPL.EQUIP.SUP.L03","view_id":"nature","report_row_id":"ap","weight":1},{"leg_id":"MAP.CAPEX.PPL.EQUIP.SUP.L03","view_id":"function","report_row_id":"balance_sheet","weight":1},{"leg_id":"MAP.CAPEX.PPL.EQUIP.SUP.L03","view_id":"cost_centre","report_row_id":"SUP","weight":1},{"leg_id":"MAP.CAPEX.PPL.EQUIP.SUP.L03","view_id":"vendor","report_row_id":"UNKNOWN_FORECAST","weight":1},{"leg_id":"MAP.CAPEX.PPL.EQUIP.SUP.L03","view_id":"recurrence","report_row_id":"not_applicable","weight":1},{"leg_id":"MAP.CAPEX.PPL.EQUIP.SUP.L03","view_id":"commitment","report_row_id":"not_applicable","weight":1},{"leg_id":"MAP.CAPEX.PPL.EQUIP.SUP.L03","view_id":"behaviour","report_row_id":"not_applicable","weight":1}]},{"mapping_id":"MAP.CAPEX.PPL.EQUIP.FIN","source_row_id":"CAP.IT_ADDITIONS","posting_owner":"Capex","stream":"CORPORATE","cost_centre":"FIN","vendor_id":"UNKNOWN_FORECAST","tax_code":"DE_IN19","cash_class":"investing","classification":{"recurrence":"one_off","commitment":"committed","behaviour":"fixed"},"legs":[{"leg_id":"MAP.CAPEX.PPL.EQUIP.FIN.L01","side":"debit","account_id":"GL.ASSET.IT","amount_component":"net_plus_unrecoverable_vat"},{"leg_id":"MAP.CAPEX.PPL.EQUIP.FIN.L02","side":"debit","account_id":"GL.VAT.DOM_ASSET","amount_component":"recoverable_vat"},{"leg_id":"MAP.CAPEX.PPL.EQUIP.FIN.L03","side":"credit","account_id":"GL.AP.CAPEX","amount_component":"gross"}],"report_allocations":[{"leg_id":"MAP.CAPEX.PPL.EQUIP.FIN.L01","view_id":"statement","report_row_id":"BS.ASSET_GROSS","weight":1},{"leg_id":"MAP.CAPEX.PPL.EQUIP.FIN.L01","view_id":"nature","report_row_id":"asset_gross","weight":1},{"leg_id":"MAP.CAPEX.PPL.EQUIP.FIN.L01","view_id":"function","report_row_id":"balance_sheet","weight":1},{"leg_id":"MAP.CAPEX.PPL.EQUIP.FIN.L01","view_id":"cost_centre","report_row_id":"FIN","weight":1},{"leg_id":"MAP.CAPEX.PPL.EQUIP.FIN.L01","view_id":"vendor","report_row_id":"UNKNOWN_FORECAST","weight":1},{"leg_id":"MAP.CAPEX.PPL.EQUIP.FIN.L01","view_id":"recurrence","report_row_id":"not_applicable","weight":1},{"leg_id":"MAP.CAPEX.PPL.EQUIP.FIN.L01","view_id":"commitment","report_row_id":"not_applicable","weight":1},{"leg_id":"MAP.CAPEX.PPL.EQUIP.FIN.L01","view_id":"behaviour","report_row_id":"not_applicable","weight":1},{"leg_id":"MAP.CAPEX.PPL.EQUIP.FIN.L02","view_id":"statement","report_row_id":"BS.TAX_ASSETS","weight":1},{"leg_id":"MAP.CAPEX.PPL.EQUIP.FIN.L02","view_id":"nature","report_row_id":"tax_assets","weight":1},{"leg_id":"MAP.CAPEX.PPL.EQUIP.FIN.L02","view_id":"function","report_row_id":"balance_sheet","weight":1},{"leg_id":"MAP.CAPEX.PPL.EQUIP.FIN.L02","view_id":"cost_centre","report_row_id":"FIN","weight":1},{"leg_id":"MAP.CAPEX.PPL.EQUIP.FIN.L02","view_id":"vendor","report_row_id":"UNKNOWN_FORECAST","weight":1},{"leg_id":"MAP.CAPEX.PPL.EQUIP.FIN.L02","view_id":"recurrence","report_row_id":"not_applicable","weight":1},{"leg_id":"MAP.CAPEX.PPL.EQUIP.FIN.L02","view_id":"commitment","report_row_id":"not_applicable","weight":1},{"leg_id":"MAP.CAPEX.PPL.EQUIP.FIN.L02","view_id":"behaviour","report_row_id":"not_applicable","weight":1},{"leg_id":"MAP.CAPEX.PPL.EQUIP.FIN.L03","view_id":"statement","report_row_id":"BS.AP","weight":1},{"leg_id":"MAP.CAPEX.PPL.EQUIP.FIN.L03","view_id":"nature","report_row_id":"ap","weight":1},{"leg_id":"MAP.CAPEX.PPL.EQUIP.FIN.L03","view_id":"function","report_row_id":"balance_sheet","weight":1},{"leg_id":"MAP.CAPEX.PPL.EQUIP.FIN.L03","view_id":"cost_centre","report_row_id":"FIN","weight":1},{"leg_id":"MAP.CAPEX.PPL.EQUIP.FIN.L03","view_id":"vendor","report_row_id":"UNKNOWN_FORECAST","weight":1},{"leg_id":"MAP.CAPEX.PPL.EQUIP.FIN.L03","view_id":"recurrence","report_row_id":"not_applicable","weight":1},{"leg_id":"MAP.CAPEX.PPL.EQUIP.FIN.L03","view_id":"commitment","report_row_id":"not_applicable","weight":1},{"leg_id":"MAP.CAPEX.PPL.EQUIP.FIN.L03","view_id":"behaviour","report_row_id":"not_applicable","weight":1}]},{"mapping_id":"MAP.CAPEX.PPL.EQUIP.SALES","source_row_id":"CAP.IT_ADDITIONS","posting_owner":"Capex","stream":"CORPORATE","cost_centre":"SALES","vendor_id":"UNKNOWN_FORECAST","tax_code":"DE_IN19","cash_class":"investing","classification":{"recurrence":"one_off","commitment":"committed","behaviour":"fixed"},"legs":[{"leg_id":"MAP.CAPEX.PPL.EQUIP.SALES.L01","side":"debit","account_id":"GL.ASSET.IT","amount_component":"net_plus_unrecoverable_vat"},{"leg_id":"MAP.CAPEX.PPL.EQUIP.SALES.L02","side":"debit","account_id":"GL.VAT.DOM_ASSET","amount_component":"recoverable_vat"},{"leg_id":"MAP.CAPEX.PPL.EQUIP.SALES.L03","side":"credit","account_id":"GL.AP.CAPEX","amount_component":"gross"}],"report_allocations":[{"leg_id":"MAP.CAPEX.PPL.EQUIP.SALES.L01","view_id":"statement","report_row_id":"BS.ASSET_GROSS","weight":1},{"leg_id":"MAP.CAPEX.PPL.EQUIP.SALES.L01","view_id":"nature","report_row_id":"asset_gross","weight":1},{"leg_id":"MAP.CAPEX.PPL.EQUIP.SALES.L01","view_id":"function","report_row_id":"balance_sheet","weight":1},{"leg_id":"MAP.CAPEX.PPL.EQUIP.SALES.L01","view_id":"cost_centre","report_row_id":"SALES","weight":1},{"leg_id":"MAP.CAPEX.PPL.EQUIP.SALES.L01","view_id":"vendor","report_row_id":"UNKNOWN_FORECAST","weight":1},{"leg_id":"MAP.CAPEX.PPL.EQUIP.SALES.L01","view_id":"recurrence","report_row_id":"not_applicable","weight":1},{"leg_id":"MAP.CAPEX.PPL.EQUIP.SALES.L01","view_id":"commitment","report_row_id":"not_applicable","weight":1},{"leg_id":"MAP.CAPEX.PPL.EQUIP.SALES.L01","view_id":"behaviour","report_row_id":"not_applicable","weight":1},{"leg_id":"MAP.CAPEX.PPL.EQUIP.SALES.L02","view_id":"statement","report_row_id":"BS.TAX_ASSETS","weight":1},{"leg_id":"MAP.CAPEX.PPL.EQUIP.SALES.L02","view_id":"nature","report_row_id":"tax_assets","weight":1},{"leg_id":"MAP.CAPEX.PPL.EQUIP.SALES.L02","view_id":"function","report_row_id":"balance_sheet","weight":1},{"leg_id":"MAP.CAPEX.PPL.EQUIP.SALES.L02","view_id":"cost_centre","report_row_id":"SALES","weight":1},{"leg_id":"MAP.CAPEX.PPL.EQUIP.SALES.L02","view_id":"vendor","report_row_id":"UNKNOWN_FORECAST","weight":1},{"leg_id":"MAP.CAPEX.PPL.EQUIP.SALES.L02","view_id":"recurrence","report_row_id":"not_applicable","weight":1},{"leg_id":"MAP.CAPEX.PPL.EQUIP.SALES.L02","view_id":"commitment","report_row_id":"not_applicable","weight":1},{"leg_id":"MAP.CAPEX.PPL.EQUIP.SALES.L02","view_id":"behaviour","report_row_id":"not_applicable","weight":1},{"leg_id":"MAP.CAPEX.PPL.EQUIP.SALES.L03","view_id":"statement","report_row_id":"BS.AP","weight":1},{"leg_id":"MAP.CAPEX.PPL.EQUIP.SALES.L03","view_id":"nature","report_row_id":"ap","weight":1},{"leg_id":"MAP.CAPEX.PPL.EQUIP.SALES.L03","view_id":"function","report_row_id":"balance_sheet","weight":1},{"leg_id":"MAP.CAPEX.PPL.EQUIP.SALES.L03","view_id":"cost_centre","report_row_id":"SALES","weight":1},{"leg_id":"MAP.CAPEX.PPL.EQUIP.SALES.L03","view_id":"vendor","report_row_id":"UNKNOWN_FORECAST","weight":1},{"leg_id":"MAP.CAPEX.PPL.EQUIP.SALES.L03","view_id":"recurrence","report_row_id":"not_applicable","weight":1},{"leg_id":"MAP.CAPEX.PPL.EQUIP.SALES.L03","view_id":"commitment","report_row_id":"not_applicable","weight":1},{"leg_id":"MAP.CAPEX.PPL.EQUIP.SALES.L03","view_id":"behaviour","report_row_id":"not_applicable","weight":1}]},{"mapping_id":"MAP.EQUITY.INITIAL","source_row_id":"FUND.SHARE_CAPITAL","posting_owner":"Funding","stream":"CORPORATE","cost_centre":"CORP","vendor_id":"FOUNDER","tax_code":"NONE","cash_class":"financing","classification":{"recurrence":"not_applicable","commitment":"not_applicable","behaviour":"not_applicable"},"legs":[{"leg_id":"MAP.EQUITY.INITIAL.L01","side":"debit","account_id":"GL.CASH","amount_component":"cash_proceeds"},{"leg_id":"MAP.EQUITY.INITIAL.L02","side":"credit","account_id":"GL.EQUITY.CAPITAL","amount_component":"nominal"},{"leg_id":"MAP.EQUITY.INITIAL.L03","side":"credit","account_id":"GL.EQUITY.RESERVE","amount_component":"cash_proceeds_less_nominal"}],"report_allocations":[{"leg_id":"MAP.EQUITY.INITIAL.L01","view_id":"statement","report_row_id":"BS.CASH","weight":1},{"leg_id":"MAP.EQUITY.INITIAL.L01","view_id":"nature","report_row_id":"cash","weight":1},{"leg_id":"MAP.EQUITY.INITIAL.L01","view_id":"function","report_row_id":"balance_sheet","weight":1},{"leg_id":"MAP.EQUITY.INITIAL.L01","view_id":"cost_centre","report_row_id":"CORP","weight":1},{"leg_id":"MAP.EQUITY.INITIAL.L01","view_id":"vendor","report_row_id":"FOUNDER","weight":1},{"leg_id":"MAP.EQUITY.INITIAL.L01","view_id":"recurrence","report_row_id":"not_applicable","weight":1},{"leg_id":"MAP.EQUITY.INITIAL.L01","view_id":"commitment","report_row_id":"not_applicable","weight":1},{"leg_id":"MAP.EQUITY.INITIAL.L01","view_id":"behaviour","report_row_id":"not_applicable","weight":1},{"leg_id":"MAP.EQUITY.INITIAL.L02","view_id":"statement","report_row_id":"BS.EQUITY","weight":1},{"leg_id":"MAP.EQUITY.INITIAL.L02","view_id":"nature","report_row_id":"equity","weight":1},{"leg_id":"MAP.EQUITY.INITIAL.L02","view_id":"function","report_row_id":"balance_sheet","weight":1},{"leg_id":"MAP.EQUITY.INITIAL.L02","view_id":"cost_centre","report_row_id":"CORP","weight":1},{"leg_id":"MAP.EQUITY.INITIAL.L02","view_id":"vendor","report_row_id":"FOUNDER","weight":1},{"leg_id":"MAP.EQUITY.INITIAL.L02","view_id":"recurrence","report_row_id":"not_applicable","weight":1},{"leg_id":"MAP.EQUITY.INITIAL.L02","view_id":"commitment","report_row_id":"not_applicable","weight":1},{"leg_id":"MAP.EQUITY.INITIAL.L02","view_id":"behaviour","report_row_id":"not_applicable","weight":1},{"leg_id":"MAP.EQUITY.INITIAL.L03","view_id":"statement","report_row_id":"BS.EQUITY","weight":1},{"leg_id":"MAP.EQUITY.INITIAL.L03","view_id":"nature","report_row_id":"equity","weight":1},{"leg_id":"MAP.EQUITY.INITIAL.L03","view_id":"function","report_row_id":"balance_sheet","weight":1},{"leg_id":"MAP.EQUITY.INITIAL.L03","view_id":"cost_centre","report_row_id":"CORP","weight":1},{"leg_id":"MAP.EQUITY.INITIAL.L03","view_id":"vendor","report_row_id":"FOUNDER","weight":1},{"leg_id":"MAP.EQUITY.INITIAL.L03","view_id":"recurrence","report_row_id":"not_applicable","weight":1},{"leg_id":"MAP.EQUITY.INITIAL.L03","view_id":"commitment","report_row_id":"not_applicable","weight":1},{"leg_id":"MAP.EQUITY.INITIAL.L03","view_id":"behaviour","report_row_id":"not_applicable","weight":1}]},{"mapping_id":"MAP.EQUITY.SEED","source_row_id":"FUND.SHARE_CAPITAL","posting_owner":"Funding","stream":"CORPORATE","cost_centre":"CORP","vendor_id":"SEED_INVESTOR","tax_code":"NONE","cash_class":"financing","classification":{"recurrence":"not_applicable","commitment":"not_applicable","behaviour":"not_applicable"},"legs":[{"leg_id":"MAP.EQUITY.SEED.L01","side":"debit","account_id":"GL.CASH","amount_component":"cash_proceeds"},{"leg_id":"MAP.EQUITY.SEED.L02","side":"credit","account_id":"GL.EQUITY.CAPITAL","amount_component":"nominal"},{"leg_id":"MAP.EQUITY.SEED.L03","side":"credit","account_id":"GL.EQUITY.RESERVE","amount_component":"cash_proceeds_less_nominal"}],"report_allocations":[{"leg_id":"MAP.EQUITY.SEED.L01","view_id":"statement","report_row_id":"BS.CASH","weight":1},{"leg_id":"MAP.EQUITY.SEED.L01","view_id":"nature","report_row_id":"cash","weight":1},{"leg_id":"MAP.EQUITY.SEED.L01","view_id":"function","report_row_id":"balance_sheet","weight":1},{"leg_id":"MAP.EQUITY.SEED.L01","view_id":"cost_centre","report_row_id":"CORP","weight":1},{"leg_id":"MAP.EQUITY.SEED.L01","view_id":"vendor","report_row_id":"SEED_INVESTOR","weight":1},{"leg_id":"MAP.EQUITY.SEED.L01","view_id":"recurrence","report_row_id":"not_applicable","weight":1},{"leg_id":"MAP.EQUITY.SEED.L01","view_id":"commitment","report_row_id":"not_applicable","weight":1},{"leg_id":"MAP.EQUITY.SEED.L01","view_id":"behaviour","report_row_id":"not_applicable","weight":1},{"leg_id":"MAP.EQUITY.SEED.L02","view_id":"statement","report_row_id":"BS.EQUITY","weight":1},{"leg_id":"MAP.EQUITY.SEED.L02","view_id":"nature","report_row_id":"equity","weight":1},{"leg_id":"MAP.EQUITY.SEED.L02","view_id":"function","report_row_id":"balance_sheet","weight":1},{"leg_id":"MAP.EQUITY.SEED.L02","view_id":"cost_centre","report_row_id":"CORP","weight":1},{"leg_id":"MAP.EQUITY.SEED.L02","view_id":"vendor","report_row_id":"SEED_INVESTOR","weight":1},{"leg_id":"MAP.EQUITY.SEED.L02","view_id":"recurrence","report_row_id":"not_applicable","weight":1},{"leg_id":"MAP.EQUITY.SEED.L02","view_id":"commitment","report_row_id":"not_applicable","weight":1},{"leg_id":"MAP.EQUITY.SEED.L02","view_id":"behaviour","report_row_id":"not_applicable","weight":1},{"leg_id":"MAP.EQUITY.SEED.L03","view_id":"statement","report_row_id":"BS.EQUITY","weight":1},{"leg_id":"MAP.EQUITY.SEED.L03","view_id":"nature","report_row_id":"equity","weight":1},{"leg_id":"MAP.EQUITY.SEED.L03","view_id":"function","report_row_id":"balance_sheet","weight":1},{"leg_id":"MAP.EQUITY.SEED.L03","view_id":"cost_centre","report_row_id":"CORP","weight":1},{"leg_id":"MAP.EQUITY.SEED.L03","view_id":"vendor","report_row_id":"SEED_INVESTOR","weight":1},{"leg_id":"MAP.EQUITY.SEED.L03","view_id":"recurrence","report_row_id":"not_applicable","weight":1},{"leg_id":"MAP.EQUITY.SEED.L03","view_id":"commitment","report_row_id":"not_applicable","weight":1},{"leg_id":"MAP.EQUITY.SEED.L03","view_id":"behaviour","report_row_id":"not_applicable","weight":1}]},{"mapping_id":"MAP.EQUITY.SERIES_A","source_row_id":"FUND.SHARE_CAPITAL","posting_owner":"Funding","stream":"CORPORATE","cost_centre":"CORP","vendor_id":"A_INVESTOR","tax_code":"NONE","cash_class":"financing","classification":{"recurrence":"not_applicable","commitment":"not_applicable","behaviour":"not_applicable"},"legs":[{"leg_id":"MAP.EQUITY.SERIES_A.L01","side":"debit","account_id":"GL.CASH","amount_component":"cash_proceeds"},{"leg_id":"MAP.EQUITY.SERIES_A.L02","side":"credit","account_id":"GL.EQUITY.CAPITAL","amount_component":"nominal"},{"leg_id":"MAP.EQUITY.SERIES_A.L03","side":"credit","account_id":"GL.EQUITY.RESERVE","amount_component":"cash_proceeds_less_nominal"}],"report_allocations":[{"leg_id":"MAP.EQUITY.SERIES_A.L01","view_id":"statement","report_row_id":"BS.CASH","weight":1},{"leg_id":"MAP.EQUITY.SERIES_A.L01","view_id":"nature","report_row_id":"cash","weight":1},{"leg_id":"MAP.EQUITY.SERIES_A.L01","view_id":"function","report_row_id":"balance_sheet","weight":1},{"leg_id":"MAP.EQUITY.SERIES_A.L01","view_id":"cost_centre","report_row_id":"CORP","weight":1},{"leg_id":"MAP.EQUITY.SERIES_A.L01","view_id":"vendor","report_row_id":"A_INVESTOR","weight":1},{"leg_id":"MAP.EQUITY.SERIES_A.L01","view_id":"recurrence","report_row_id":"not_applicable","weight":1},{"leg_id":"MAP.EQUITY.SERIES_A.L01","view_id":"commitment","report_row_id":"not_applicable","weight":1},{"leg_id":"MAP.EQUITY.SERIES_A.L01","view_id":"behaviour","report_row_id":"not_applicable","weight":1},{"leg_id":"MAP.EQUITY.SERIES_A.L02","view_id":"statement","report_row_id":"BS.EQUITY","weight":1},{"leg_id":"MAP.EQUITY.SERIES_A.L02","view_id":"nature","report_row_id":"equity","weight":1},{"leg_id":"MAP.EQUITY.SERIES_A.L02","view_id":"function","report_row_id":"balance_sheet","weight":1},{"leg_id":"MAP.EQUITY.SERIES_A.L02","view_id":"cost_centre","report_row_id":"CORP","weight":1},{"leg_id":"MAP.EQUITY.SERIES_A.L02","view_id":"vendor","report_row_id":"A_INVESTOR","weight":1},{"leg_id":"MAP.EQUITY.SERIES_A.L02","view_id":"recurrence","report_row_id":"not_applicable","weight":1},{"leg_id":"MAP.EQUITY.SERIES_A.L02","view_id":"commitment","report_row_id":"not_applicable","weight":1},{"leg_id":"MAP.EQUITY.SERIES_A.L02","view_id":"behaviour","report_row_id":"not_applicable","weight":1},{"leg_id":"MAP.EQUITY.SERIES_A.L03","view_id":"statement","report_row_id":"BS.EQUITY","weight":1},{"leg_id":"MAP.EQUITY.SERIES_A.L03","view_id":"nature","report_row_id":"equity","weight":1},{"leg_id":"MAP.EQUITY.SERIES_A.L03","view_id":"function","report_row_id":"balance_sheet","weight":1},{"leg_id":"MAP.EQUITY.SERIES_A.L03","view_id":"cost_centre","report_row_id":"CORP","weight":1},{"leg_id":"MAP.EQUITY.SERIES_A.L03","view_id":"vendor","report_row_id":"A_INVESTOR","weight":1},{"leg_id":"MAP.EQUITY.SERIES_A.L03","view_id":"recurrence","report_row_id":"not_applicable","weight":1},{"leg_id":"MAP.EQUITY.SERIES_A.L03","view_id":"commitment","report_row_id":"not_applicable","weight":1},{"leg_id":"MAP.EQUITY.SERIES_A.L03","view_id":"behaviour","report_row_id":"not_applicable","weight":1}]},{"mapping_id":"MAP.NOTE.FUND","source_row_id":"FUND.NOTE_PRINCIPAL","posting_owner":"Funding","stream":"CORPORATE","cost_centre":"CORP","vendor_id":"NOTEHOLDER","tax_code":"NONE","cash_class":"financing","classification":{"recurrence":"not_applicable","commitment":"not_applicable","behaviour":"not_applicable"},"legs":[{"leg_id":"MAP.NOTE.FUND.L01","side":"debit","account_id":"GL.CASH","amount_component":"principal"},{"leg_id":"MAP.NOTE.FUND.L02","side":"credit","account_id":"GL.NOTE.PRINCIPAL","amount_component":"principal"}],"report_allocations":[{"leg_id":"MAP.NOTE.FUND.L01","view_id":"statement","report_row_id":"BS.CASH","weight":1},{"leg_id":"MAP.NOTE.FUND.L01","view_id":"nature","report_row_id":"cash","weight":1},{"leg_id":"MAP.NOTE.FUND.L01","view_id":"function","report_row_id":"balance_sheet","weight":1},{"leg_id":"MAP.NOTE.FUND.L01","view_id":"cost_centre","report_row_id":"CORP","weight":1},{"leg_id":"MAP.NOTE.FUND.L01","view_id":"vendor","report_row_id":"NOTEHOLDER","weight":1},{"leg_id":"MAP.NOTE.FUND.L01","view_id":"recurrence","report_row_id":"not_applicable","weight":1},{"leg_id":"MAP.NOTE.FUND.L01","view_id":"commitment","report_row_id":"not_applicable","weight":1},{"leg_id":"MAP.NOTE.FUND.L01","view_id":"behaviour","report_row_id":"not_applicable","weight":1},{"leg_id":"MAP.NOTE.FUND.L02","view_id":"statement","report_row_id":"BS.DEBT","weight":1},{"leg_id":"MAP.NOTE.FUND.L02","view_id":"nature","report_row_id":"debt","weight":1},{"leg_id":"MAP.NOTE.FUND.L02","view_id":"function","report_row_id":"balance_sheet","weight":1},{"leg_id":"MAP.NOTE.FUND.L02","view_id":"cost_centre","report_row_id":"CORP","weight":1},{"leg_id":"MAP.NOTE.FUND.L02","view_id":"vendor","report_row_id":"NOTEHOLDER","weight":1},{"leg_id":"MAP.NOTE.FUND.L02","view_id":"recurrence","report_row_id":"not_applicable","weight":1},{"leg_id":"MAP.NOTE.FUND.L02","view_id":"commitment","report_row_id":"not_applicable","weight":1},{"leg_id":"MAP.NOTE.FUND.L02","view_id":"behaviour","report_row_id":"not_applicable","weight":1}]},{"mapping_id":"MAP.NOTE.INTEREST","source_row_id":"FUND.NOTE_EXPENSE","posting_owner":"Funding","stream":"CORPORATE","cost_centre":"CORP","vendor_id":"NOTEHOLDER","tax_code":"NONE","cash_class":"noncash","classification":{"recurrence":"recurring","commitment":"committed","behaviour":"fixed"},"legs":[{"leg_id":"MAP.NOTE.INTEREST.L01","side":"debit","account_id":"GL.FIN.NOTE_INTEREST","amount_component":"interest"},{"leg_id":"MAP.NOTE.INTEREST.L02","side":"credit","account_id":"GL.NOTE.INTEREST","amount_component":"interest"}],"report_allocations":[{"leg_id":"MAP.NOTE.INTEREST.L01","view_id":"statement","report_row_id":"PNL.NOTE_INTEREST","weight":1},{"leg_id":"MAP.NOTE.INTEREST.L01","view_id":"nature","report_row_id":"note_interest","weight":1},{"leg_id":"MAP.NOTE.INTEREST.L01","view_id":"function","report_row_id":"finance","weight":1},{"leg_id":"MAP.NOTE.INTEREST.L01","view_id":"cost_centre","report_row_id":"CORP","weight":1},{"leg_id":"MAP.NOTE.INTEREST.L01","view_id":"vendor","report_row_id":"NOTEHOLDER","weight":1},{"leg_id":"MAP.NOTE.INTEREST.L01","view_id":"recurrence","report_row_id":"recurring","weight":1},{"leg_id":"MAP.NOTE.INTEREST.L01","view_id":"commitment","report_row_id":"committed","weight":1},{"leg_id":"MAP.NOTE.INTEREST.L01","view_id":"behaviour","report_row_id":"fixed","weight":1},{"leg_id":"MAP.NOTE.INTEREST.L02","view_id":"statement","report_row_id":"BS.DEBT","weight":1},{"leg_id":"MAP.NOTE.INTEREST.L02","view_id":"nature","report_row_id":"debt","weight":1},{"leg_id":"MAP.NOTE.INTEREST.L02","view_id":"function","report_row_id":"balance_sheet","weight":1},{"leg_id":"MAP.NOTE.INTEREST.L02","view_id":"cost_centre","report_row_id":"CORP","weight":1},{"leg_id":"MAP.NOTE.INTEREST.L02","view_id":"vendor","report_row_id":"NOTEHOLDER","weight":1},{"leg_id":"MAP.NOTE.INTEREST.L02","view_id":"recurrence","report_row_id":"not_applicable","weight":1},{"leg_id":"MAP.NOTE.INTEREST.L02","view_id":"commitment","report_row_id":"not_applicable","weight":1},{"leg_id":"MAP.NOTE.INTEREST.L02","view_id":"behaviour","report_row_id":"not_applicable","weight":1}]},{"mapping_id":"MAP.NOTE.CONVERT","source_row_id":"FUND.CONVERT_AMOUNT","posting_owner":"Funding","stream":"CORPORATE","cost_centre":"CORP","vendor_id":"NOTEHOLDER","tax_code":"NONE","cash_class":"noncash","classification":{"recurrence":"not_applicable","commitment":"not_applicable","behaviour":"not_applicable"},"legs":[{"leg_id":"MAP.NOTE.CONVERT.L01","side":"debit","account_id":"GL.NOTE.PRINCIPAL","amount_component":"principal"},{"leg_id":"MAP.NOTE.CONVERT.L02","side":"debit","account_id":"GL.NOTE.INTEREST","amount_component":"interest"},{"leg_id":"MAP.NOTE.CONVERT.L03","side":"credit","account_id":"GL.EQUITY.CAPITAL","amount_component":"nominal"},{"leg_id":"MAP.NOTE.CONVERT.L04","side":"credit","account_id":"GL.EQUITY.RESERVE","amount_component":"converting_amount_less_nominal"}],"report_allocations":[{"leg_id":"MAP.NOTE.CONVERT.L01","view_id":"statement","report_row_id":"BS.DEBT","weight":1},{"leg_id":"MAP.NOTE.CONVERT.L01","view_id":"nature","report_row_id":"debt","weight":1},{"leg_id":"MAP.NOTE.CONVERT.L01","view_id":"function","report_row_id":"balance_sheet","weight":1},{"leg_id":"MAP.NOTE.CONVERT.L01","view_id":"cost_centre","report_row_id":"CORP","weight":1},{"leg_id":"MAP.NOTE.CONVERT.L01","view_id":"vendor","report_row_id":"NOTEHOLDER","weight":1},{"leg_id":"MAP.NOTE.CONVERT.L01","view_id":"recurrence","report_row_id":"not_applicable","weight":1},{"leg_id":"MAP.NOTE.CONVERT.L01","view_id":"commitment","report_row_id":"not_applicable","weight":1},{"leg_id":"MAP.NOTE.CONVERT.L01","view_id":"behaviour","report_row_id":"not_applicable","weight":1},{"leg_id":"MAP.NOTE.CONVERT.L02","view_id":"statement","report_row_id":"BS.DEBT","weight":1},{"leg_id":"MAP.NOTE.CONVERT.L02","view_id":"nature","report_row_id":"debt","weight":1},{"leg_id":"MAP.NOTE.CONVERT.L02","view_id":"function","report_row_id":"balance_sheet","weight":1},{"leg_id":"MAP.NOTE.CONVERT.L02","view_id":"cost_centre","report_row_id":"CORP","weight":1},{"leg_id":"MAP.NOTE.CONVERT.L02","view_id":"vendor","report_row_id":"NOTEHOLDER","weight":1},{"leg_id":"MAP.NOTE.CONVERT.L02","view_id":"recurrence","report_row_id":"not_applicable","weight":1},{"leg_id":"MAP.NOTE.CONVERT.L02","view_id":"commitment","report_row_id":"not_applicable","weight":1},{"leg_id":"MAP.NOTE.CONVERT.L02","view_id":"behaviour","report_row_id":"not_applicable","weight":1},{"leg_id":"MAP.NOTE.CONVERT.L03","view_id":"statement","report_row_id":"BS.EQUITY","weight":1},{"leg_id":"MAP.NOTE.CONVERT.L03","view_id":"nature","report_row_id":"equity","weight":1},{"leg_id":"MAP.NOTE.CONVERT.L03","view_id":"function","report_row_id":"balance_sheet","weight":1},{"leg_id":"MAP.NOTE.CONVERT.L03","view_id":"cost_centre","report_row_id":"CORP","weight":1},{"leg_id":"MAP.NOTE.CONVERT.L03","view_id":"vendor","report_row_id":"NOTEHOLDER","weight":1},{"leg_id":"MAP.NOTE.CONVERT.L03","view_id":"recurrence","report_row_id":"not_applicable","weight":1},{"leg_id":"MAP.NOTE.CONVERT.L03","view_id":"commitment","report_row_id":"not_applicable","weight":1},{"leg_id":"MAP.NOTE.CONVERT.L03","view_id":"behaviour","report_row_id":"not_applicable","weight":1},{"leg_id":"MAP.NOTE.CONVERT.L04","view_id":"statement","report_row_id":"BS.EQUITY","weight":1},{"leg_id":"MAP.NOTE.CONVERT.L04","view_id":"nature","report_row_id":"equity","weight":1},{"leg_id":"MAP.NOTE.CONVERT.L04","view_id":"function","report_row_id":"balance_sheet","weight":1},{"leg_id":"MAP.NOTE.CONVERT.L04","view_id":"cost_centre","report_row_id":"CORP","weight":1},{"leg_id":"MAP.NOTE.CONVERT.L04","view_id":"vendor","report_row_id":"NOTEHOLDER","weight":1},{"leg_id":"MAP.NOTE.CONVERT.L04","view_id":"recurrence","report_row_id":"not_applicable","weight":1},{"leg_id":"MAP.NOTE.CONVERT.L04","view_id":"commitment","report_row_id":"not_applicable","weight":1},{"leg_id":"MAP.NOTE.CONVERT.L04","view_id":"behaviour","report_row_id":"not_applicable","weight":1}]},{"mapping_id":"MAP.DEPOSIT.INTEREST","source_row_id":"PNL.DEP_INTEREST","posting_owner":"Liquidity","stream":"CORPORATE","cost_centre":"CORP","vendor_id":"UNKNOWN_FORECAST","tax_code":"NONE","cash_class":"operating","classification":{"recurrence":"not_applicable","commitment":"not_applicable","behaviour":"not_applicable"},"legs":[{"leg_id":"MAP.DEPOSIT.INTEREST.L01","side":"debit","account_id":"GL.CASH","amount_component":"interest"},{"leg_id":"MAP.DEPOSIT.INTEREST.L02","side":"credit","account_id":"GL.FIN.DEP_INTEREST","amount_component":"interest"}],"report_allocations":[{"leg_id":"MAP.DEPOSIT.INTEREST.L01","view_id":"statement","report_row_id":"BS.CASH","weight":1},{"leg_id":"MAP.DEPOSIT.INTEREST.L01","view_id":"nature","report_row_id":"cash","weight":1},{"leg_id":"MAP.DEPOSIT.INTEREST.L01","view_id":"function","report_row_id":"balance_sheet","weight":1},{"leg_id":"MAP.DEPOSIT.INTEREST.L01","view_id":"cost_centre","report_row_id":"CORP","weight":1},{"leg_id":"MAP.DEPOSIT.INTEREST.L01","view_id":"vendor","report_row_id":"UNKNOWN_FORECAST","weight":1},{"leg_id":"MAP.DEPOSIT.INTEREST.L01","view_id":"recurrence","report_row_id":"not_applicable","weight":1},{"leg_id":"MAP.DEPOSIT.INTEREST.L01","view_id":"commitment","report_row_id":"not_applicable","weight":1},{"leg_id":"MAP.DEPOSIT.INTEREST.L01","view_id":"behaviour","report_row_id":"not_applicable","weight":1},{"leg_id":"MAP.DEPOSIT.INTEREST.L02","view_id":"statement","report_row_id":"PNL.DEP_INTEREST","weight":1},{"leg_id":"MAP.DEPOSIT.INTEREST.L02","view_id":"nature","report_row_id":"dep_interest","weight":1},{"leg_id":"MAP.DEPOSIT.INTEREST.L02","view_id":"function","report_row_id":"finance","weight":1},{"leg_id":"MAP.DEPOSIT.INTEREST.L02","view_id":"cost_centre","report_row_id":"CORP","weight":1},{"leg_id":"MAP.DEPOSIT.INTEREST.L02","view_id":"vendor","report_row_id":"UNKNOWN_FORECAST","weight":1},{"leg_id":"MAP.DEPOSIT.INTEREST.L02","view_id":"recurrence","report_row_id":"recurring","weight":1},{"leg_id":"MAP.DEPOSIT.INTEREST.L02","view_id":"commitment","report_row_id":"committed","weight":1},{"leg_id":"MAP.DEPOSIT.INTEREST.L02","view_id":"behaviour","report_row_id":"fixed","weight":1}]},{"mapping_id":"MAP.TAX.ACCRUE.KST","source_row_id":"TAX.KST","posting_owner":"Tax","stream":"CORPORATE","cost_centre":"CORP","vendor_id":"TAX_AUTHORITY","tax_code":"NONE","cash_class":"noncash","classification":{"recurrence":"recurring","commitment":"committed","behaviour":"fixed"},"legs":[{"leg_id":"MAP.TAX.ACCRUE.KST.L01","side":"debit","account_id":"GL.TAX.KST","amount_component":"expense"},{"leg_id":"MAP.TAX.ACCRUE.KST.L02","side":"credit","account_id":"GL.TAX.K_LIAB","amount_component":"expense"}],"report_allocations":[{"leg_id":"MAP.TAX.ACCRUE.KST.L01","view_id":"statement","report_row_id":"PNL.TAX","weight":1},{"leg_id":"MAP.TAX.ACCRUE.KST.L01","view_id":"nature","report_row_id":"tax","weight":1},{"leg_id":"MAP.TAX.ACCRUE.KST.L01","view_id":"function","report_row_id":"tax","weight":1},{"leg_id":"MAP.TAX.ACCRUE.KST.L01","view_id":"cost_centre","report_row_id":"CORP","weight":1},{"leg_id":"MAP.TAX.ACCRUE.KST.L01","view_id":"vendor","report_row_id":"TAX_AUTHORITY","weight":1},{"leg_id":"MAP.TAX.ACCRUE.KST.L01","view_id":"recurrence","report_row_id":"recurring","weight":1},{"leg_id":"MAP.TAX.ACCRUE.KST.L01","view_id":"commitment","report_row_id":"committed","weight":1},{"leg_id":"MAP.TAX.ACCRUE.KST.L01","view_id":"behaviour","report_row_id":"fixed","weight":1},{"leg_id":"MAP.TAX.ACCRUE.KST.L02","view_id":"statement","report_row_id":"BS.TAX_LIABILITIES","weight":1},{"leg_id":"MAP.TAX.ACCRUE.KST.L02","view_id":"nature","report_row_id":"tax_liabilities","weight":1},{"leg_id":"MAP.TAX.ACCRUE.KST.L02","view_id":"function","report_row_id":"balance_sheet","weight":1},{"leg_id":"MAP.TAX.ACCRUE.KST.L02","view_id":"cost_centre","report_row_id":"CORP","weight":1},{"leg_id":"MAP.TAX.ACCRUE.KST.L02","view_id":"vendor","report_row_id":"TAX_AUTHORITY","weight":1},{"leg_id":"MAP.TAX.ACCRUE.KST.L02","view_id":"recurrence","report_row_id":"not_applicable","weight":1},{"leg_id":"MAP.TAX.ACCRUE.KST.L02","view_id":"commitment","report_row_id":"not_applicable","weight":1},{"leg_id":"MAP.TAX.ACCRUE.KST.L02","view_id":"behaviour","report_row_id":"not_applicable","weight":1}]},{"mapping_id":"MAP.TAX.ACCRUE.KST.REVERSAL","source_row_id":"TAX.KST","posting_owner":"Tax","stream":"CORPORATE","cost_centre":"CORP","vendor_id":"TAX_AUTHORITY","tax_code":"NONE","cash_class":"noncash","classification":{"recurrence":"recurring","commitment":"committed","behaviour":"fixed"},"legs":[{"leg_id":"MAP.TAX.ACCRUE.KST.REVERSAL.L01","side":"credit","account_id":"GL.TAX.KST","amount_component":"expense"},{"leg_id":"MAP.TAX.ACCRUE.KST.REVERSAL.L02","side":"debit","account_id":"GL.TAX.K_LIAB","amount_component":"expense"}],"report_allocations":[{"leg_id":"MAP.TAX.ACCRUE.KST.REVERSAL.L01","view_id":"statement","report_row_id":"PNL.TAX","weight":1},{"leg_id":"MAP.TAX.ACCRUE.KST.REVERSAL.L01","view_id":"nature","report_row_id":"tax","weight":1},{"leg_id":"MAP.TAX.ACCRUE.KST.REVERSAL.L01","view_id":"function","report_row_id":"tax","weight":1},{"leg_id":"MAP.TAX.ACCRUE.KST.REVERSAL.L01","view_id":"cost_centre","report_row_id":"CORP","weight":1},{"leg_id":"MAP.TAX.ACCRUE.KST.REVERSAL.L01","view_id":"vendor","report_row_id":"TAX_AUTHORITY","weight":1},{"leg_id":"MAP.TAX.ACCRUE.KST.REVERSAL.L01","view_id":"recurrence","report_row_id":"recurring","weight":1},{"leg_id":"MAP.TAX.ACCRUE.KST.REVERSAL.L01","view_id":"commitment","report_row_id":"committed","weight":1},{"leg_id":"MAP.TAX.ACCRUE.KST.REVERSAL.L01","view_id":"behaviour","report_row_id":"fixed","weight":1},{"leg_id":"MAP.TAX.ACCRUE.KST.REVERSAL.L02","view_id":"statement","report_row_id":"BS.TAX_LIABILITIES","weight":1},{"leg_id":"MAP.TAX.ACCRUE.KST.REVERSAL.L02","view_id":"nature","report_row_id":"tax_liabilities","weight":1},{"leg_id":"MAP.TAX.ACCRUE.KST.REVERSAL.L02","view_id":"function","report_row_id":"balance_sheet","weight":1},{"leg_id":"MAP.TAX.ACCRUE.KST.REVERSAL.L02","view_id":"cost_centre","report_row_id":"CORP","weight":1},{"leg_id":"MAP.TAX.ACCRUE.KST.REVERSAL.L02","view_id":"vendor","report_row_id":"TAX_AUTHORITY","weight":1},{"leg_id":"MAP.TAX.ACCRUE.KST.REVERSAL.L02","view_id":"recurrence","report_row_id":"not_applicable","weight":1},{"leg_id":"MAP.TAX.ACCRUE.KST.REVERSAL.L02","view_id":"commitment","report_row_id":"not_applicable","weight":1},{"leg_id":"MAP.TAX.ACCRUE.KST.REVERSAL.L02","view_id":"behaviour","report_row_id":"not_applicable","weight":1}]},{"mapping_id":"MAP.TAX.SETTLE.KST.PAY","source_row_id":"TAX.BALANCE","posting_owner":"Tax","stream":"CORPORATE","cost_centre":"CORP","vendor_id":"TAX_AUTHORITY","tax_code":"NONE","cash_class":"operating","classification":{"recurrence":"not_applicable","commitment":"not_applicable","behaviour":"not_applicable"},"legs":[{"leg_id":"MAP.TAX.SETTLE.KST.PAY.L01","side":"debit","account_id":"GL.TAX.K_LIAB","amount_component":"payment"},{"leg_id":"MAP.TAX.SETTLE.KST.PAY.L02","side":"credit","account_id":"GL.CASH","amount_component":"payment"}],"report_allocations":[{"leg_id":"MAP.TAX.SETTLE.KST.PAY.L01","view_id":"statement","report_row_id":"BS.TAX_LIABILITIES","weight":1},{"leg_id":"MAP.TAX.SETTLE.KST.PAY.L01","view_id":"nature","report_row_id":"tax_liabilities","weight":1},{"leg_id":"MAP.TAX.SETTLE.KST.PAY.L01","view_id":"function","report_row_id":"balance_sheet","weight":1},{"leg_id":"MAP.TAX.SETTLE.KST.PAY.L01","view_id":"cost_centre","report_row_id":"CORP","weight":1},{"leg_id":"MAP.TAX.SETTLE.KST.PAY.L01","view_id":"vendor","report_row_id":"TAX_AUTHORITY","weight":1},{"leg_id":"MAP.TAX.SETTLE.KST.PAY.L01","view_id":"recurrence","report_row_id":"not_applicable","weight":1},{"leg_id":"MAP.TAX.SETTLE.KST.PAY.L01","view_id":"commitment","report_row_id":"not_applicable","weight":1},{"leg_id":"MAP.TAX.SETTLE.KST.PAY.L01","view_id":"behaviour","report_row_id":"not_applicable","weight":1},{"leg_id":"MAP.TAX.SETTLE.KST.PAY.L02","view_id":"statement","report_row_id":"BS.CASH","weight":1},{"leg_id":"MAP.TAX.SETTLE.KST.PAY.L02","view_id":"nature","report_row_id":"cash","weight":1},{"leg_id":"MAP.TAX.SETTLE.KST.PAY.L02","view_id":"function","report_row_id":"balance_sheet","weight":1},{"leg_id":"MAP.TAX.SETTLE.KST.PAY.L02","view_id":"cost_centre","report_row_id":"CORP","weight":1},{"leg_id":"MAP.TAX.SETTLE.KST.PAY.L02","view_id":"vendor","report_row_id":"TAX_AUTHORITY","weight":1},{"leg_id":"MAP.TAX.SETTLE.KST.PAY.L02","view_id":"recurrence","report_row_id":"not_applicable","weight":1},{"leg_id":"MAP.TAX.SETTLE.KST.PAY.L02","view_id":"commitment","report_row_id":"not_applicable","weight":1},{"leg_id":"MAP.TAX.SETTLE.KST.PAY.L02","view_id":"behaviour","report_row_id":"not_applicable","weight":1}]},{"mapping_id":"MAP.TAX.SETTLE.KST.ADVANCE","source_row_id":"TAX.BALANCE","posting_owner":"Tax","stream":"CORPORATE","cost_centre":"CORP","vendor_id":"TAX_AUTHORITY","tax_code":"NONE","cash_class":"operating","classification":{"recurrence":"not_applicable","commitment":"not_applicable","behaviour":"not_applicable"},"legs":[{"leg_id":"MAP.TAX.SETTLE.KST.ADVANCE.L01","side":"debit","account_id":"GL.TAX.K_ASSET","amount_component":"payment"},{"leg_id":"MAP.TAX.SETTLE.KST.ADVANCE.L02","side":"credit","account_id":"GL.CASH","amount_component":"payment"}],"report_allocations":[{"leg_id":"MAP.TAX.SETTLE.KST.ADVANCE.L01","view_id":"statement","report_row_id":"BS.TAX_ASSETS","weight":1},{"leg_id":"MAP.TAX.SETTLE.KST.ADVANCE.L01","view_id":"nature","report_row_id":"tax_assets","weight":1},{"leg_id":"MAP.TAX.SETTLE.KST.ADVANCE.L01","view_id":"function","report_row_id":"balance_sheet","weight":1},{"leg_id":"MAP.TAX.SETTLE.KST.ADVANCE.L01","view_id":"cost_centre","report_row_id":"CORP","weight":1},{"leg_id":"MAP.TAX.SETTLE.KST.ADVANCE.L01","view_id":"vendor","report_row_id":"TAX_AUTHORITY","weight":1},{"leg_id":"MAP.TAX.SETTLE.KST.ADVANCE.L01","view_id":"recurrence","report_row_id":"not_applicable","weight":1},{"leg_id":"MAP.TAX.SETTLE.KST.ADVANCE.L01","view_id":"commitment","report_row_id":"not_applicable","weight":1},{"leg_id":"MAP.TAX.SETTLE.KST.ADVANCE.L01","view_id":"behaviour","report_row_id":"not_applicable","weight":1},{"leg_id":"MAP.TAX.SETTLE.KST.ADVANCE.L02","view_id":"statement","report_row_id":"BS.CASH","weight":1},{"leg_id":"MAP.TAX.SETTLE.KST.ADVANCE.L02","view_id":"nature","report_row_id":"cash","weight":1},{"leg_id":"MAP.TAX.SETTLE.KST.ADVANCE.L02","view_id":"function","report_row_id":"balance_sheet","weight":1},{"leg_id":"MAP.TAX.SETTLE.KST.ADVANCE.L02","view_id":"cost_centre","report_row_id":"CORP","weight":1},{"leg_id":"MAP.TAX.SETTLE.KST.ADVANCE.L02","view_id":"vendor","report_row_id":"TAX_AUTHORITY","weight":1},{"leg_id":"MAP.TAX.SETTLE.KST.ADVANCE.L02","view_id":"recurrence","report_row_id":"not_applicable","weight":1},{"leg_id":"MAP.TAX.SETTLE.KST.ADVANCE.L02","view_id":"commitment","report_row_id":"not_applicable","weight":1},{"leg_id":"MAP.TAX.SETTLE.KST.ADVANCE.L02","view_id":"behaviour","report_row_id":"not_applicable","weight":1}]},{"mapping_id":"MAP.TAX.SETTLE.KST.REFUND","source_row_id":"TAX.BALANCE","posting_owner":"Tax","stream":"CORPORATE","cost_centre":"CORP","vendor_id":"TAX_AUTHORITY","tax_code":"NONE","cash_class":"operating","classification":{"recurrence":"not_applicable","commitment":"not_applicable","behaviour":"not_applicable"},"legs":[{"leg_id":"MAP.TAX.SETTLE.KST.REFUND.L01","side":"debit","account_id":"GL.CASH","amount_component":"refund"},{"leg_id":"MAP.TAX.SETTLE.KST.REFUND.L02","side":"credit","account_id":"GL.TAX.K_ASSET","amount_component":"refund"}],"report_allocations":[{"leg_id":"MAP.TAX.SETTLE.KST.REFUND.L01","view_id":"statement","report_row_id":"BS.CASH","weight":1},{"leg_id":"MAP.TAX.SETTLE.KST.REFUND.L01","view_id":"nature","report_row_id":"cash","weight":1},{"leg_id":"MAP.TAX.SETTLE.KST.REFUND.L01","view_id":"function","report_row_id":"balance_sheet","weight":1},{"leg_id":"MAP.TAX.SETTLE.KST.REFUND.L01","view_id":"cost_centre","report_row_id":"CORP","weight":1},{"leg_id":"MAP.TAX.SETTLE.KST.REFUND.L01","view_id":"vendor","report_row_id":"TAX_AUTHORITY","weight":1},{"leg_id":"MAP.TAX.SETTLE.KST.REFUND.L01","view_id":"recurrence","report_row_id":"not_applicable","weight":1},{"leg_id":"MAP.TAX.SETTLE.KST.REFUND.L01","view_id":"commitment","report_row_id":"not_applicable","weight":1},{"leg_id":"MAP.TAX.SETTLE.KST.REFUND.L01","view_id":"behaviour","report_row_id":"not_applicable","weight":1},{"leg_id":"MAP.TAX.SETTLE.KST.REFUND.L02","view_id":"statement","report_row_id":"BS.TAX_ASSETS","weight":1},{"leg_id":"MAP.TAX.SETTLE.KST.REFUND.L02","view_id":"nature","report_row_id":"tax_assets","weight":1},{"leg_id":"MAP.TAX.SETTLE.KST.REFUND.L02","view_id":"function","report_row_id":"balance_sheet","weight":1},{"leg_id":"MAP.TAX.SETTLE.KST.REFUND.L02","view_id":"cost_centre","report_row_id":"CORP","weight":1},{"leg_id":"MAP.TAX.SETTLE.KST.REFUND.L02","view_id":"vendor","report_row_id":"TAX_AUTHORITY","weight":1},{"leg_id":"MAP.TAX.SETTLE.KST.REFUND.L02","view_id":"recurrence","report_row_id":"not_applicable","weight":1},{"leg_id":"MAP.TAX.SETTLE.KST.REFUND.L02","view_id":"commitment","report_row_id":"not_applicable","weight":1},{"leg_id":"MAP.TAX.SETTLE.KST.REFUND.L02","view_id":"behaviour","report_row_id":"not_applicable","weight":1}]},{"mapping_id":"MAP.TAX.SETTLE.KST.OFFSET","source_row_id":"TAX.BALANCE","posting_owner":"Tax","stream":"CORPORATE","cost_centre":"CORP","vendor_id":"TAX_AUTHORITY","tax_code":"NONE","cash_class":"noncash","classification":{"recurrence":"not_applicable","commitment":"not_applicable","behaviour":"not_applicable"},"legs":[{"leg_id":"MAP.TAX.SETTLE.KST.OFFSET.L01","side":"debit","account_id":"GL.TAX.K_LIAB","amount_component":"offset"},{"leg_id":"MAP.TAX.SETTLE.KST.OFFSET.L02","side":"credit","account_id":"GL.TAX.K_ASSET","amount_component":"offset"}],"report_allocations":[{"leg_id":"MAP.TAX.SETTLE.KST.OFFSET.L01","view_id":"statement","report_row_id":"BS.TAX_LIABILITIES","weight":1},{"leg_id":"MAP.TAX.SETTLE.KST.OFFSET.L01","view_id":"nature","report_row_id":"tax_liabilities","weight":1},{"leg_id":"MAP.TAX.SETTLE.KST.OFFSET.L01","view_id":"function","report_row_id":"balance_sheet","weight":1},{"leg_id":"MAP.TAX.SETTLE.KST.OFFSET.L01","view_id":"cost_centre","report_row_id":"CORP","weight":1},{"leg_id":"MAP.TAX.SETTLE.KST.OFFSET.L01","view_id":"vendor","report_row_id":"TAX_AUTHORITY","weight":1},{"leg_id":"MAP.TAX.SETTLE.KST.OFFSET.L01","view_id":"recurrence","report_row_id":"not_applicable","weight":1},{"leg_id":"MAP.TAX.SETTLE.KST.OFFSET.L01","view_id":"commitment","report_row_id":"not_applicable","weight":1},{"leg_id":"MAP.TAX.SETTLE.KST.OFFSET.L01","view_id":"behaviour","report_row_id":"not_applicable","weight":1},{"leg_id":"MAP.TAX.SETTLE.KST.OFFSET.L02","view_id":"statement","report_row_id":"BS.TAX_ASSETS","weight":1},{"leg_id":"MAP.TAX.SETTLE.KST.OFFSET.L02","view_id":"nature","report_row_id":"tax_assets","weight":1},{"leg_id":"MAP.TAX.SETTLE.KST.OFFSET.L02","view_id":"function","report_row_id":"balance_sheet","weight":1},{"leg_id":"MAP.TAX.SETTLE.KST.OFFSET.L02","view_id":"cost_centre","report_row_id":"CORP","weight":1},{"leg_id":"MAP.TAX.SETTLE.KST.OFFSET.L02","view_id":"vendor","report_row_id":"TAX_AUTHORITY","weight":1},{"leg_id":"MAP.TAX.SETTLE.KST.OFFSET.L02","view_id":"recurrence","report_row_id":"not_applicable","weight":1},{"leg_id":"MAP.TAX.SETTLE.KST.OFFSET.L02","view_id":"commitment","report_row_id":"not_applicable","weight":1},{"leg_id":"MAP.TAX.SETTLE.KST.OFFSET.L02","view_id":"behaviour","report_row_id":"not_applicable","weight":1}]},{"mapping_id":"MAP.TAX.ACCRUE.SOLI","source_row_id":"TAX.SOLI","posting_owner":"Tax","stream":"CORPORATE","cost_centre":"CORP","vendor_id":"TAX_AUTHORITY","tax_code":"NONE","cash_class":"noncash","classification":{"recurrence":"recurring","commitment":"committed","behaviour":"fixed"},"legs":[{"leg_id":"MAP.TAX.ACCRUE.SOLI.L01","side":"debit","account_id":"GL.TAX.SOLI","amount_component":"expense"},{"leg_id":"MAP.TAX.ACCRUE.SOLI.L02","side":"credit","account_id":"GL.TAX.S_LIAB","amount_component":"expense"}],"report_allocations":[{"leg_id":"MAP.TAX.ACCRUE.SOLI.L01","view_id":"statement","report_row_id":"PNL.TAX","weight":1},{"leg_id":"MAP.TAX.ACCRUE.SOLI.L01","view_id":"nature","report_row_id":"tax","weight":1},{"leg_id":"MAP.TAX.ACCRUE.SOLI.L01","view_id":"function","report_row_id":"tax","weight":1},{"leg_id":"MAP.TAX.ACCRUE.SOLI.L01","view_id":"cost_centre","report_row_id":"CORP","weight":1},{"leg_id":"MAP.TAX.ACCRUE.SOLI.L01","view_id":"vendor","report_row_id":"TAX_AUTHORITY","weight":1},{"leg_id":"MAP.TAX.ACCRUE.SOLI.L01","view_id":"recurrence","report_row_id":"recurring","weight":1},{"leg_id":"MAP.TAX.ACCRUE.SOLI.L01","view_id":"commitment","report_row_id":"committed","weight":1},{"leg_id":"MAP.TAX.ACCRUE.SOLI.L01","view_id":"behaviour","report_row_id":"fixed","weight":1},{"leg_id":"MAP.TAX.ACCRUE.SOLI.L02","view_id":"statement","report_row_id":"BS.TAX_LIABILITIES","weight":1},{"leg_id":"MAP.TAX.ACCRUE.SOLI.L02","view_id":"nature","report_row_id":"tax_liabilities","weight":1},{"leg_id":"MAP.TAX.ACCRUE.SOLI.L02","view_id":"function","report_row_id":"balance_sheet","weight":1},{"leg_id":"MAP.TAX.ACCRUE.SOLI.L02","view_id":"cost_centre","report_row_id":"CORP","weight":1},{"leg_id":"MAP.TAX.ACCRUE.SOLI.L02","view_id":"vendor","report_row_id":"TAX_AUTHORITY","weight":1},{"leg_id":"MAP.TAX.ACCRUE.SOLI.L02","view_id":"recurrence","report_row_id":"not_applicable","weight":1},{"leg_id":"MAP.TAX.ACCRUE.SOLI.L02","view_id":"commitment","report_row_id":"not_applicable","weight":1},{"leg_id":"MAP.TAX.ACCRUE.SOLI.L02","view_id":"behaviour","report_row_id":"not_applicable","weight":1}]},{"mapping_id":"MAP.TAX.ACCRUE.SOLI.REVERSAL","source_row_id":"TAX.SOLI","posting_owner":"Tax","stream":"CORPORATE","cost_centre":"CORP","vendor_id":"TAX_AUTHORITY","tax_code":"NONE","cash_class":"noncash","classification":{"recurrence":"recurring","commitment":"committed","behaviour":"fixed"},"legs":[{"leg_id":"MAP.TAX.ACCRUE.SOLI.REVERSAL.L01","side":"credit","account_id":"GL.TAX.SOLI","amount_component":"expense"},{"leg_id":"MAP.TAX.ACCRUE.SOLI.REVERSAL.L02","side":"debit","account_id":"GL.TAX.S_LIAB","amount_component":"expense"}],"report_allocations":[{"leg_id":"MAP.TAX.ACCRUE.SOLI.REVERSAL.L01","view_id":"statement","report_row_id":"PNL.TAX","weight":1},{"leg_id":"MAP.TAX.ACCRUE.SOLI.REVERSAL.L01","view_id":"nature","report_row_id":"tax","weight":1},{"leg_id":"MAP.TAX.ACCRUE.SOLI.REVERSAL.L01","view_id":"function","report_row_id":"tax","weight":1},{"leg_id":"MAP.TAX.ACCRUE.SOLI.REVERSAL.L01","view_id":"cost_centre","report_row_id":"CORP","weight":1},{"leg_id":"MAP.TAX.ACCRUE.SOLI.REVERSAL.L01","view_id":"vendor","report_row_id":"TAX_AUTHORITY","weight":1},{"leg_id":"MAP.TAX.ACCRUE.SOLI.REVERSAL.L01","view_id":"recurrence","report_row_id":"recurring","weight":1},{"leg_id":"MAP.TAX.ACCRUE.SOLI.REVERSAL.L01","view_id":"commitment","report_row_id":"committed","weight":1},{"leg_id":"MAP.TAX.ACCRUE.SOLI.REVERSAL.L01","view_id":"behaviour","report_row_id":"fixed","weight":1},{"leg_id":"MAP.TAX.ACCRUE.SOLI.REVERSAL.L02","view_id":"statement","report_row_id":"BS.TAX_LIABILITIES","weight":1},{"leg_id":"MAP.TAX.ACCRUE.SOLI.REVERSAL.L02","view_id":"nature","report_row_id":"tax_liabilities","weight":1},{"leg_id":"MAP.TAX.ACCRUE.SOLI.REVERSAL.L02","view_id":"function","report_row_id":"balance_sheet","weight":1},{"leg_id":"MAP.TAX.ACCRUE.SOLI.REVERSAL.L02","view_id":"cost_centre","report_row_id":"CORP","weight":1},{"leg_id":"MAP.TAX.ACCRUE.SOLI.REVERSAL.L02","view_id":"vendor","report_row_id":"TAX_AUTHORITY","weight":1},{"leg_id":"MAP.TAX.ACCRUE.SOLI.REVERSAL.L02","view_id":"recurrence","report_row_id":"not_applicable","weight":1},{"leg_id":"MAP.TAX.ACCRUE.SOLI.REVERSAL.L02","view_id":"commitment","report_row_id":"not_applicable","weight":1},{"leg_id":"MAP.TAX.ACCRUE.SOLI.REVERSAL.L02","view_id":"behaviour","report_row_id":"not_applicable","weight":1}]},{"mapping_id":"MAP.TAX.SETTLE.SOLI.PAY","source_row_id":"TAX.BALANCE","posting_owner":"Tax","stream":"CORPORATE","cost_centre":"CORP","vendor_id":"TAX_AUTHORITY","tax_code":"NONE","cash_class":"operating","classification":{"recurrence":"not_applicable","commitment":"not_applicable","behaviour":"not_applicable"},"legs":[{"leg_id":"MAP.TAX.SETTLE.SOLI.PAY.L01","side":"debit","account_id":"GL.TAX.S_LIAB","amount_component":"payment"},{"leg_id":"MAP.TAX.SETTLE.SOLI.PAY.L02","side":"credit","account_id":"GL.CASH","amount_component":"payment"}],"report_allocations":[{"leg_id":"MAP.TAX.SETTLE.SOLI.PAY.L01","view_id":"statement","report_row_id":"BS.TAX_LIABILITIES","weight":1},{"leg_id":"MAP.TAX.SETTLE.SOLI.PAY.L01","view_id":"nature","report_row_id":"tax_liabilities","weight":1},{"leg_id":"MAP.TAX.SETTLE.SOLI.PAY.L01","view_id":"function","report_row_id":"balance_sheet","weight":1},{"leg_id":"MAP.TAX.SETTLE.SOLI.PAY.L01","view_id":"cost_centre","report_row_id":"CORP","weight":1},{"leg_id":"MAP.TAX.SETTLE.SOLI.PAY.L01","view_id":"vendor","report_row_id":"TAX_AUTHORITY","weight":1},{"leg_id":"MAP.TAX.SETTLE.SOLI.PAY.L01","view_id":"recurrence","report_row_id":"not_applicable","weight":1},{"leg_id":"MAP.TAX.SETTLE.SOLI.PAY.L01","view_id":"commitment","report_row_id":"not_applicable","weight":1},{"leg_id":"MAP.TAX.SETTLE.SOLI.PAY.L01","view_id":"behaviour","report_row_id":"not_applicable","weight":1},{"leg_id":"MAP.TAX.SETTLE.SOLI.PAY.L02","view_id":"statement","report_row_id":"BS.CASH","weight":1},{"leg_id":"MAP.TAX.SETTLE.SOLI.PAY.L02","view_id":"nature","report_row_id":"cash","weight":1},{"leg_id":"MAP.TAX.SETTLE.SOLI.PAY.L02","view_id":"function","report_row_id":"balance_sheet","weight":1},{"leg_id":"MAP.TAX.SETTLE.SOLI.PAY.L02","view_id":"cost_centre","report_row_id":"CORP","weight":1},{"leg_id":"MAP.TAX.SETTLE.SOLI.PAY.L02","view_id":"vendor","report_row_id":"TAX_AUTHORITY","weight":1},{"leg_id":"MAP.TAX.SETTLE.SOLI.PAY.L02","view_id":"recurrence","report_row_id":"not_applicable","weight":1},{"leg_id":"MAP.TAX.SETTLE.SOLI.PAY.L02","view_id":"commitment","report_row_id":"not_applicable","weight":1},{"leg_id":"MAP.TAX.SETTLE.SOLI.PAY.L02","view_id":"behaviour","report_row_id":"not_applicable","weight":1}]},{"mapping_id":"MAP.TAX.SETTLE.SOLI.ADVANCE","source_row_id":"TAX.BALANCE","posting_owner":"Tax","stream":"CORPORATE","cost_centre":"CORP","vendor_id":"TAX_AUTHORITY","tax_code":"NONE","cash_class":"operating","classification":{"recurrence":"not_applicable","commitment":"not_applicable","behaviour":"not_applicable"},"legs":[{"leg_id":"MAP.TAX.SETTLE.SOLI.ADVANCE.L01","side":"debit","account_id":"GL.TAX.S_ASSET","amount_component":"payment"},{"leg_id":"MAP.TAX.SETTLE.SOLI.ADVANCE.L02","side":"credit","account_id":"GL.CASH","amount_component":"payment"}],"report_allocations":[{"leg_id":"MAP.TAX.SETTLE.SOLI.ADVANCE.L01","view_id":"statement","report_row_id":"BS.TAX_ASSETS","weight":1},{"leg_id":"MAP.TAX.SETTLE.SOLI.ADVANCE.L01","view_id":"nature","report_row_id":"tax_assets","weight":1},{"leg_id":"MAP.TAX.SETTLE.SOLI.ADVANCE.L01","view_id":"function","report_row_id":"balance_sheet","weight":1},{"leg_id":"MAP.TAX.SETTLE.SOLI.ADVANCE.L01","view_id":"cost_centre","report_row_id":"CORP","weight":1},{"leg_id":"MAP.TAX.SETTLE.SOLI.ADVANCE.L01","view_id":"vendor","report_row_id":"TAX_AUTHORITY","weight":1},{"leg_id":"MAP.TAX.SETTLE.SOLI.ADVANCE.L01","view_id":"recurrence","report_row_id":"not_applicable","weight":1},{"leg_id":"MAP.TAX.SETTLE.SOLI.ADVANCE.L01","view_id":"commitment","report_row_id":"not_applicable","weight":1},{"leg_id":"MAP.TAX.SETTLE.SOLI.ADVANCE.L01","view_id":"behaviour","report_row_id":"not_applicable","weight":1},{"leg_id":"MAP.TAX.SETTLE.SOLI.ADVANCE.L02","view_id":"statement","report_row_id":"BS.CASH","weight":1},{"leg_id":"MAP.TAX.SETTLE.SOLI.ADVANCE.L02","view_id":"nature","report_row_id":"cash","weight":1},{"leg_id":"MAP.TAX.SETTLE.SOLI.ADVANCE.L02","view_id":"function","report_row_id":"balance_sheet","weight":1},{"leg_id":"MAP.TAX.SETTLE.SOLI.ADVANCE.L02","view_id":"cost_centre","report_row_id":"CORP","weight":1},{"leg_id":"MAP.TAX.SETTLE.SOLI.ADVANCE.L02","view_id":"vendor","report_row_id":"TAX_AUTHORITY","weight":1},{"leg_id":"MAP.TAX.SETTLE.SOLI.ADVANCE.L02","view_id":"recurrence","report_row_id":"not_applicable","weight":1},{"leg_id":"MAP.TAX.SETTLE.SOLI.ADVANCE.L02","view_id":"commitment","report_row_id":"not_applicable","weight":1},{"leg_id":"MAP.TAX.SETTLE.SOLI.ADVANCE.L02","view_id":"behaviour","report_row_id":"not_applicable","weight":1}]},{"mapping_id":"MAP.TAX.SETTLE.SOLI.REFUND","source_row_id":"TAX.BALANCE","posting_owner":"Tax","stream":"CORPORATE","cost_centre":"CORP","vendor_id":"TAX_AUTHORITY","tax_code":"NONE","cash_class":"operating","classification":{"recurrence":"not_applicable","commitment":"not_applicable","behaviour":"not_applicable"},"legs":[{"leg_id":"MAP.TAX.SETTLE.SOLI.REFUND.L01","side":"debit","account_id":"GL.CASH","amount_component":"refund"},{"leg_id":"MAP.TAX.SETTLE.SOLI.REFUND.L02","side":"credit","account_id":"GL.TAX.S_ASSET","amount_component":"refund"}],"report_allocations":[{"leg_id":"MAP.TAX.SETTLE.SOLI.REFUND.L01","view_id":"statement","report_row_id":"BS.CASH","weight":1},{"leg_id":"MAP.TAX.SETTLE.SOLI.REFUND.L01","view_id":"nature","report_row_id":"cash","weight":1},{"leg_id":"MAP.TAX.SETTLE.SOLI.REFUND.L01","view_id":"function","report_row_id":"balance_sheet","weight":1},{"leg_id":"MAP.TAX.SETTLE.SOLI.REFUND.L01","view_id":"cost_centre","report_row_id":"CORP","weight":1},{"leg_id":"MAP.TAX.SETTLE.SOLI.REFUND.L01","view_id":"vendor","report_row_id":"TAX_AUTHORITY","weight":1},{"leg_id":"MAP.TAX.SETTLE.SOLI.REFUND.L01","view_id":"recurrence","report_row_id":"not_applicable","weight":1},{"leg_id":"MAP.TAX.SETTLE.SOLI.REFUND.L01","view_id":"commitment","report_row_id":"not_applicable","weight":1},{"leg_id":"MAP.TAX.SETTLE.SOLI.REFUND.L01","view_id":"behaviour","report_row_id":"not_applicable","weight":1},{"leg_id":"MAP.TAX.SETTLE.SOLI.REFUND.L02","view_id":"statement","report_row_id":"BS.TAX_ASSETS","weight":1},{"leg_id":"MAP.TAX.SETTLE.SOLI.REFUND.L02","view_id":"nature","report_row_id":"tax_assets","weight":1},{"leg_id":"MAP.TAX.SETTLE.SOLI.REFUND.L02","view_id":"function","report_row_id":"balance_sheet","weight":1},{"leg_id":"MAP.TAX.SETTLE.SOLI.REFUND.L02","view_id":"cost_centre","report_row_id":"CORP","weight":1},{"leg_id":"MAP.TAX.SETTLE.SOLI.REFUND.L02","view_id":"vendor","report_row_id":"TAX_AUTHORITY","weight":1},{"leg_id":"MAP.TAX.SETTLE.SOLI.REFUND.L02","view_id":"recurrence","report_row_id":"not_applicable","weight":1},{"leg_id":"MAP.TAX.SETTLE.SOLI.REFUND.L02","view_id":"commitment","report_row_id":"not_applicable","weight":1},{"leg_id":"MAP.TAX.SETTLE.SOLI.REFUND.L02","view_id":"behaviour","report_row_id":"not_applicable","weight":1}]},{"mapping_id":"MAP.TAX.SETTLE.SOLI.OFFSET","source_row_id":"TAX.BALANCE","posting_owner":"Tax","stream":"CORPORATE","cost_centre":"CORP","vendor_id":"TAX_AUTHORITY","tax_code":"NONE","cash_class":"noncash","classification":{"recurrence":"not_applicable","commitment":"not_applicable","behaviour":"not_applicable"},"legs":[{"leg_id":"MAP.TAX.SETTLE.SOLI.OFFSET.L01","side":"debit","account_id":"GL.TAX.S_LIAB","amount_component":"offset"},{"leg_id":"MAP.TAX.SETTLE.SOLI.OFFSET.L02","side":"credit","account_id":"GL.TAX.S_ASSET","amount_component":"offset"}],"report_allocations":[{"leg_id":"MAP.TAX.SETTLE.SOLI.OFFSET.L01","view_id":"statement","report_row_id":"BS.TAX_LIABILITIES","weight":1},{"leg_id":"MAP.TAX.SETTLE.SOLI.OFFSET.L01","view_id":"nature","report_row_id":"tax_liabilities","weight":1},{"leg_id":"MAP.TAX.SETTLE.SOLI.OFFSET.L01","view_id":"function","report_row_id":"balance_sheet","weight":1},{"leg_id":"MAP.TAX.SETTLE.SOLI.OFFSET.L01","view_id":"cost_centre","report_row_id":"CORP","weight":1},{"leg_id":"MAP.TAX.SETTLE.SOLI.OFFSET.L01","view_id":"vendor","report_row_id":"TAX_AUTHORITY","weight":1},{"leg_id":"MAP.TAX.SETTLE.SOLI.OFFSET.L01","view_id":"recurrence","report_row_id":"not_applicable","weight":1},{"leg_id":"MAP.TAX.SETTLE.SOLI.OFFSET.L01","view_id":"commitment","report_row_id":"not_applicable","weight":1},{"leg_id":"MAP.TAX.SETTLE.SOLI.OFFSET.L01","view_id":"behaviour","report_row_id":"not_applicable","weight":1},{"leg_id":"MAP.TAX.SETTLE.SOLI.OFFSET.L02","view_id":"statement","report_row_id":"BS.TAX_ASSETS","weight":1},{"leg_id":"MAP.TAX.SETTLE.SOLI.OFFSET.L02","view_id":"nature","report_row_id":"tax_assets","weight":1},{"leg_id":"MAP.TAX.SETTLE.SOLI.OFFSET.L02","view_id":"function","report_row_id":"balance_sheet","weight":1},{"leg_id":"MAP.TAX.SETTLE.SOLI.OFFSET.L02","view_id":"cost_centre","report_row_id":"CORP","weight":1},{"leg_id":"MAP.TAX.SETTLE.SOLI.OFFSET.L02","view_id":"vendor","report_row_id":"TAX_AUTHORITY","weight":1},{"leg_id":"MAP.TAX.SETTLE.SOLI.OFFSET.L02","view_id":"recurrence","report_row_id":"not_applicable","weight":1},{"leg_id":"MAP.TAX.SETTLE.SOLI.OFFSET.L02","view_id":"commitment","report_row_id":"not_applicable","weight":1},{"leg_id":"MAP.TAX.SETTLE.SOLI.OFFSET.L02","view_id":"behaviour","report_row_id":"not_applicable","weight":1}]},{"mapping_id":"MAP.TAX.ACCRUE.GEWST","source_row_id":"TAX.GEWST","posting_owner":"Tax","stream":"CORPORATE","cost_centre":"CORP","vendor_id":"TAX_AUTHORITY","tax_code":"NONE","cash_class":"noncash","classification":{"recurrence":"recurring","commitment":"committed","behaviour":"fixed"},"legs":[{"leg_id":"MAP.TAX.ACCRUE.GEWST.L01","side":"debit","account_id":"GL.TAX.GEWST","amount_component":"expense"},{"leg_id":"MAP.TAX.ACCRUE.GEWST.L02","side":"credit","account_id":"GL.TAX.G_LIAB","amount_component":"expense"}],"report_allocations":[{"leg_id":"MAP.TAX.ACCRUE.GEWST.L01","view_id":"statement","report_row_id":"PNL.TAX","weight":1},{"leg_id":"MAP.TAX.ACCRUE.GEWST.L01","view_id":"nature","report_row_id":"tax","weight":1},{"leg_id":"MAP.TAX.ACCRUE.GEWST.L01","view_id":"function","report_row_id":"tax","weight":1},{"leg_id":"MAP.TAX.ACCRUE.GEWST.L01","view_id":"cost_centre","report_row_id":"CORP","weight":1},{"leg_id":"MAP.TAX.ACCRUE.GEWST.L01","view_id":"vendor","report_row_id":"TAX_AUTHORITY","weight":1},{"leg_id":"MAP.TAX.ACCRUE.GEWST.L01","view_id":"recurrence","report_row_id":"recurring","weight":1},{"leg_id":"MAP.TAX.ACCRUE.GEWST.L01","view_id":"commitment","report_row_id":"committed","weight":1},{"leg_id":"MAP.TAX.ACCRUE.GEWST.L01","view_id":"behaviour","report_row_id":"fixed","weight":1},{"leg_id":"MAP.TAX.ACCRUE.GEWST.L02","view_id":"statement","report_row_id":"BS.TAX_LIABILITIES","weight":1},{"leg_id":"MAP.TAX.ACCRUE.GEWST.L02","view_id":"nature","report_row_id":"tax_liabilities","weight":1},{"leg_id":"MAP.TAX.ACCRUE.GEWST.L02","view_id":"function","report_row_id":"balance_sheet","weight":1},{"leg_id":"MAP.TAX.ACCRUE.GEWST.L02","view_id":"cost_centre","report_row_id":"CORP","weight":1},{"leg_id":"MAP.TAX.ACCRUE.GEWST.L02","view_id":"vendor","report_row_id":"TAX_AUTHORITY","weight":1},{"leg_id":"MAP.TAX.ACCRUE.GEWST.L02","view_id":"recurrence","report_row_id":"not_applicable","weight":1},{"leg_id":"MAP.TAX.ACCRUE.GEWST.L02","view_id":"commitment","report_row_id":"not_applicable","weight":1},{"leg_id":"MAP.TAX.ACCRUE.GEWST.L02","view_id":"behaviour","report_row_id":"not_applicable","weight":1}]},{"mapping_id":"MAP.TAX.ACCRUE.GEWST.REVERSAL","source_row_id":"TAX.GEWST","posting_owner":"Tax","stream":"CORPORATE","cost_centre":"CORP","vendor_id":"TAX_AUTHORITY","tax_code":"NONE","cash_class":"noncash","classification":{"recurrence":"recurring","commitment":"committed","behaviour":"fixed"},"legs":[{"leg_id":"MAP.TAX.ACCRUE.GEWST.REVERSAL.L01","side":"credit","account_id":"GL.TAX.GEWST","amount_component":"expense"},{"leg_id":"MAP.TAX.ACCRUE.GEWST.REVERSAL.L02","side":"debit","account_id":"GL.TAX.G_LIAB","amount_component":"expense"}],"report_allocations":[{"leg_id":"MAP.TAX.ACCRUE.GEWST.REVERSAL.L01","view_id":"statement","report_row_id":"PNL.TAX","weight":1},{"leg_id":"MAP.TAX.ACCRUE.GEWST.REVERSAL.L01","view_id":"nature","report_row_id":"tax","weight":1},{"leg_id":"MAP.TAX.ACCRUE.GEWST.REVERSAL.L01","view_id":"function","report_row_id":"tax","weight":1},{"leg_id":"MAP.TAX.ACCRUE.GEWST.REVERSAL.L01","view_id":"cost_centre","report_row_id":"CORP","weight":1},{"leg_id":"MAP.TAX.ACCRUE.GEWST.REVERSAL.L01","view_id":"vendor","report_row_id":"TAX_AUTHORITY","weight":1},{"leg_id":"MAP.TAX.ACCRUE.GEWST.REVERSAL.L01","view_id":"recurrence","report_row_id":"recurring","weight":1},{"leg_id":"MAP.TAX.ACCRUE.GEWST.REVERSAL.L01","view_id":"commitment","report_row_id":"committed","weight":1},{"leg_id":"MAP.TAX.ACCRUE.GEWST.REVERSAL.L01","view_id":"behaviour","report_row_id":"fixed","weight":1},{"leg_id":"MAP.TAX.ACCRUE.GEWST.REVERSAL.L02","view_id":"statement","report_row_id":"BS.TAX_LIABILITIES","weight":1},{"leg_id":"MAP.TAX.ACCRUE.GEWST.REVERSAL.L02","view_id":"nature","report_row_id":"tax_liabilities","weight":1},{"leg_id":"MAP.TAX.ACCRUE.GEWST.REVERSAL.L02","view_id":"function","report_row_id":"balance_sheet","weight":1},{"leg_id":"MAP.TAX.ACCRUE.GEWST.REVERSAL.L02","view_id":"cost_centre","report_row_id":"CORP","weight":1},{"leg_id":"MAP.TAX.ACCRUE.GEWST.REVERSAL.L02","view_id":"vendor","report_row_id":"TAX_AUTHORITY","weight":1},{"leg_id":"MAP.TAX.ACCRUE.GEWST.REVERSAL.L02","view_id":"recurrence","report_row_id":"not_applicable","weight":1},{"leg_id":"MAP.TAX.ACCRUE.GEWST.REVERSAL.L02","view_id":"commitment","report_row_id":"not_applicable","weight":1},{"leg_id":"MAP.TAX.ACCRUE.GEWST.REVERSAL.L02","view_id":"behaviour","report_row_id":"not_applicable","weight":1}]},{"mapping_id":"MAP.TAX.SETTLE.GEWST.PAY","source_row_id":"TAX.BALANCE","posting_owner":"Tax","stream":"CORPORATE","cost_centre":"CORP","vendor_id":"TAX_AUTHORITY","tax_code":"NONE","cash_class":"operating","classification":{"recurrence":"not_applicable","commitment":"not_applicable","behaviour":"not_applicable"},"legs":[{"leg_id":"MAP.TAX.SETTLE.GEWST.PAY.L01","side":"debit","account_id":"GL.TAX.G_LIAB","amount_component":"payment"},{"leg_id":"MAP.TAX.SETTLE.GEWST.PAY.L02","side":"credit","account_id":"GL.CASH","amount_component":"payment"}],"report_allocations":[{"leg_id":"MAP.TAX.SETTLE.GEWST.PAY.L01","view_id":"statement","report_row_id":"BS.TAX_LIABILITIES","weight":1},{"leg_id":"MAP.TAX.SETTLE.GEWST.PAY.L01","view_id":"nature","report_row_id":"tax_liabilities","weight":1},{"leg_id":"MAP.TAX.SETTLE.GEWST.PAY.L01","view_id":"function","report_row_id":"balance_sheet","weight":1},{"leg_id":"MAP.TAX.SETTLE.GEWST.PAY.L01","view_id":"cost_centre","report_row_id":"CORP","weight":1},{"leg_id":"MAP.TAX.SETTLE.GEWST.PAY.L01","view_id":"vendor","report_row_id":"TAX_AUTHORITY","weight":1},{"leg_id":"MAP.TAX.SETTLE.GEWST.PAY.L01","view_id":"recurrence","report_row_id":"not_applicable","weight":1},{"leg_id":"MAP.TAX.SETTLE.GEWST.PAY.L01","view_id":"commitment","report_row_id":"not_applicable","weight":1},{"leg_id":"MAP.TAX.SETTLE.GEWST.PAY.L01","view_id":"behaviour","report_row_id":"not_applicable","weight":1},{"leg_id":"MAP.TAX.SETTLE.GEWST.PAY.L02","view_id":"statement","report_row_id":"BS.CASH","weight":1},{"leg_id":"MAP.TAX.SETTLE.GEWST.PAY.L02","view_id":"nature","report_row_id":"cash","weight":1},{"leg_id":"MAP.TAX.SETTLE.GEWST.PAY.L02","view_id":"function","report_row_id":"balance_sheet","weight":1},{"leg_id":"MAP.TAX.SETTLE.GEWST.PAY.L02","view_id":"cost_centre","report_row_id":"CORP","weight":1},{"leg_id":"MAP.TAX.SETTLE.GEWST.PAY.L02","view_id":"vendor","report_row_id":"TAX_AUTHORITY","weight":1},{"leg_id":"MAP.TAX.SETTLE.GEWST.PAY.L02","view_id":"recurrence","report_row_id":"not_applicable","weight":1},{"leg_id":"MAP.TAX.SETTLE.GEWST.PAY.L02","view_id":"commitment","report_row_id":"not_applicable","weight":1},{"leg_id":"MAP.TAX.SETTLE.GEWST.PAY.L02","view_id":"behaviour","report_row_id":"not_applicable","weight":1}]},{"mapping_id":"MAP.TAX.SETTLE.GEWST.ADVANCE","source_row_id":"TAX.BALANCE","posting_owner":"Tax","stream":"CORPORATE","cost_centre":"CORP","vendor_id":"TAX_AUTHORITY","tax_code":"NONE","cash_class":"operating","classification":{"recurrence":"not_applicable","commitment":"not_applicable","behaviour":"not_applicable"},"legs":[{"leg_id":"MAP.TAX.SETTLE.GEWST.ADVANCE.L01","side":"debit","account_id":"GL.TAX.G_ASSET","amount_component":"payment"},{"leg_id":"MAP.TAX.SETTLE.GEWST.ADVANCE.L02","side":"credit","account_id":"GL.CASH","amount_component":"payment"}],"report_allocations":[{"leg_id":"MAP.TAX.SETTLE.GEWST.ADVANCE.L01","view_id":"statement","report_row_id":"BS.TAX_ASSETS","weight":1},{"leg_id":"MAP.TAX.SETTLE.GEWST.ADVANCE.L01","view_id":"nature","report_row_id":"tax_assets","weight":1},{"leg_id":"MAP.TAX.SETTLE.GEWST.ADVANCE.L01","view_id":"function","report_row_id":"balance_sheet","weight":1},{"leg_id":"MAP.TAX.SETTLE.GEWST.ADVANCE.L01","view_id":"cost_centre","report_row_id":"CORP","weight":1},{"leg_id":"MAP.TAX.SETTLE.GEWST.ADVANCE.L01","view_id":"vendor","report_row_id":"TAX_AUTHORITY","weight":1},{"leg_id":"MAP.TAX.SETTLE.GEWST.ADVANCE.L01","view_id":"recurrence","report_row_id":"not_applicable","weight":1},{"leg_id":"MAP.TAX.SETTLE.GEWST.ADVANCE.L01","view_id":"commitment","report_row_id":"not_applicable","weight":1},{"leg_id":"MAP.TAX.SETTLE.GEWST.ADVANCE.L01","view_id":"behaviour","report_row_id":"not_applicable","weight":1},{"leg_id":"MAP.TAX.SETTLE.GEWST.ADVANCE.L02","view_id":"statement","report_row_id":"BS.CASH","weight":1},{"leg_id":"MAP.TAX.SETTLE.GEWST.ADVANCE.L02","view_id":"nature","report_row_id":"cash","weight":1},{"leg_id":"MAP.TAX.SETTLE.GEWST.ADVANCE.L02","view_id":"function","report_row_id":"balance_sheet","weight":1},{"leg_id":"MAP.TAX.SETTLE.GEWST.ADVANCE.L02","view_id":"cost_centre","report_row_id":"CORP","weight":1},{"leg_id":"MAP.TAX.SETTLE.GEWST.ADVANCE.L02","view_id":"vendor","report_row_id":"TAX_AUTHORITY","weight":1},{"leg_id":"MAP.TAX.SETTLE.GEWST.ADVANCE.L02","view_id":"recurrence","report_row_id":"not_applicable","weight":1},{"leg_id":"MAP.TAX.SETTLE.GEWST.ADVANCE.L02","view_id":"commitment","report_row_id":"not_applicable","weight":1},{"leg_id":"MAP.TAX.SETTLE.GEWST.ADVANCE.L02","view_id":"behaviour","report_row_id":"not_applicable","weight":1}]},{"mapping_id":"MAP.TAX.SETTLE.GEWST.REFUND","source_row_id":"TAX.BALANCE","posting_owner":"Tax","stream":"CORPORATE","cost_centre":"CORP","vendor_id":"TAX_AUTHORITY","tax_code":"NONE","cash_class":"operating","classification":{"recurrence":"not_applicable","commitment":"not_applicable","behaviour":"not_applicable"},"legs":[{"leg_id":"MAP.TAX.SETTLE.GEWST.REFUND.L01","side":"debit","account_id":"GL.CASH","amount_component":"refund"},{"leg_id":"MAP.TAX.SETTLE.GEWST.REFUND.L02","side":"credit","account_id":"GL.TAX.G_ASSET","amount_component":"refund"}],"report_allocations":[{"leg_id":"MAP.TAX.SETTLE.GEWST.REFUND.L01","view_id":"statement","report_row_id":"BS.CASH","weight":1},{"leg_id":"MAP.TAX.SETTLE.GEWST.REFUND.L01","view_id":"nature","report_row_id":"cash","weight":1},{"leg_id":"MAP.TAX.SETTLE.GEWST.REFUND.L01","view_id":"function","report_row_id":"balance_sheet","weight":1},{"leg_id":"MAP.TAX.SETTLE.GEWST.REFUND.L01","view_id":"cost_centre","report_row_id":"CORP","weight":1},{"leg_id":"MAP.TAX.SETTLE.GEWST.REFUND.L01","view_id":"vendor","report_row_id":"TAX_AUTHORITY","weight":1},{"leg_id":"MAP.TAX.SETTLE.GEWST.REFUND.L01","view_id":"recurrence","report_row_id":"not_applicable","weight":1},{"leg_id":"MAP.TAX.SETTLE.GEWST.REFUND.L01","view_id":"commitment","report_row_id":"not_applicable","weight":1},{"leg_id":"MAP.TAX.SETTLE.GEWST.REFUND.L01","view_id":"behaviour","report_row_id":"not_applicable","weight":1},{"leg_id":"MAP.TAX.SETTLE.GEWST.REFUND.L02","view_id":"statement","report_row_id":"BS.TAX_ASSETS","weight":1},{"leg_id":"MAP.TAX.SETTLE.GEWST.REFUND.L02","view_id":"nature","report_row_id":"tax_assets","weight":1},{"leg_id":"MAP.TAX.SETTLE.GEWST.REFUND.L02","view_id":"function","report_row_id":"balance_sheet","weight":1},{"leg_id":"MAP.TAX.SETTLE.GEWST.REFUND.L02","view_id":"cost_centre","report_row_id":"CORP","weight":1},{"leg_id":"MAP.TAX.SETTLE.GEWST.REFUND.L02","view_id":"vendor","report_row_id":"TAX_AUTHORITY","weight":1},{"leg_id":"MAP.TAX.SETTLE.GEWST.REFUND.L02","view_id":"recurrence","report_row_id":"not_applicable","weight":1},{"leg_id":"MAP.TAX.SETTLE.GEWST.REFUND.L02","view_id":"commitment","report_row_id":"not_applicable","weight":1},{"leg_id":"MAP.TAX.SETTLE.GEWST.REFUND.L02","view_id":"behaviour","report_row_id":"not_applicable","weight":1}]},{"mapping_id":"MAP.TAX.SETTLE.GEWST.OFFSET","source_row_id":"TAX.BALANCE","posting_owner":"Tax","stream":"CORPORATE","cost_centre":"CORP","vendor_id":"TAX_AUTHORITY","tax_code":"NONE","cash_class":"noncash","classification":{"recurrence":"not_applicable","commitment":"not_applicable","behaviour":"not_applicable"},"legs":[{"leg_id":"MAP.TAX.SETTLE.GEWST.OFFSET.L01","side":"debit","account_id":"GL.TAX.G_LIAB","amount_component":"offset"},{"leg_id":"MAP.TAX.SETTLE.GEWST.OFFSET.L02","side":"credit","account_id":"GL.TAX.G_ASSET","amount_component":"offset"}],"report_allocations":[{"leg_id":"MAP.TAX.SETTLE.GEWST.OFFSET.L01","view_id":"statement","report_row_id":"BS.TAX_LIABILITIES","weight":1},{"leg_id":"MAP.TAX.SETTLE.GEWST.OFFSET.L01","view_id":"nature","report_row_id":"tax_liabilities","weight":1},{"leg_id":"MAP.TAX.SETTLE.GEWST.OFFSET.L01","view_id":"function","report_row_id":"balance_sheet","weight":1},{"leg_id":"MAP.TAX.SETTLE.GEWST.OFFSET.L01","view_id":"cost_centre","report_row_id":"CORP","weight":1},{"leg_id":"MAP.TAX.SETTLE.GEWST.OFFSET.L01","view_id":"vendor","report_row_id":"TAX_AUTHORITY","weight":1},{"leg_id":"MAP.TAX.SETTLE.GEWST.OFFSET.L01","view_id":"recurrence","report_row_id":"not_applicable","weight":1},{"leg_id":"MAP.TAX.SETTLE.GEWST.OFFSET.L01","view_id":"commitment","report_row_id":"not_applicable","weight":1},{"leg_id":"MAP.TAX.SETTLE.GEWST.OFFSET.L01","view_id":"behaviour","report_row_id":"not_applicable","weight":1},{"leg_id":"MAP.TAX.SETTLE.GEWST.OFFSET.L02","view_id":"statement","report_row_id":"BS.TAX_ASSETS","weight":1},{"leg_id":"MAP.TAX.SETTLE.GEWST.OFFSET.L02","view_id":"nature","report_row_id":"tax_assets","weight":1},{"leg_id":"MAP.TAX.SETTLE.GEWST.OFFSET.L02","view_id":"function","report_row_id":"balance_sheet","weight":1},{"leg_id":"MAP.TAX.SETTLE.GEWST.OFFSET.L02","view_id":"cost_centre","report_row_id":"CORP","weight":1},{"leg_id":"MAP.TAX.SETTLE.GEWST.OFFSET.L02","view_id":"vendor","report_row_id":"TAX_AUTHORITY","weight":1},{"leg_id":"MAP.TAX.SETTLE.GEWST.OFFSET.L02","view_id":"recurrence","report_row_id":"not_applicable","weight":1},{"leg_id":"MAP.TAX.SETTLE.GEWST.OFFSET.L02","view_id":"commitment","report_row_id":"not_applicable","weight":1},{"leg_id":"MAP.TAX.SETTLE.GEWST.OFFSET.L02","view_id":"behaviour","report_row_id":"not_applicable","weight":1}]},{"mapping_id":"MAP.VAT.SETTLE.DOM.PAY","source_row_id":"VAT.DOM_PAID","posting_owner":"VAT","stream":"CORPORATE","cost_centre":"CORP","vendor_id":"TAX_AUTHORITY","tax_code":"NONE","cash_class":"operating","classification":{"recurrence":"not_applicable","commitment":"not_applicable","behaviour":"not_applicable"},"legs":[{"leg_id":"MAP.VAT.SETTLE.DOM.PAY.L01","side":"debit","account_id":"GL.VAT.DOM_LIAB","amount_component":"payment"},{"leg_id":"MAP.VAT.SETTLE.DOM.PAY.L02","side":"credit","account_id":"GL.CASH","amount_component":"payment"}],"report_allocations":[{"leg_id":"MAP.VAT.SETTLE.DOM.PAY.L01","view_id":"statement","report_row_id":"BS.TAX_LIABILITIES","weight":1},{"leg_id":"MAP.VAT.SETTLE.DOM.PAY.L01","view_id":"nature","report_row_id":"tax_liabilities","weight":1},{"leg_id":"MAP.VAT.SETTLE.DOM.PAY.L01","view_id":"function","report_row_id":"balance_sheet","weight":1},{"leg_id":"MAP.VAT.SETTLE.DOM.PAY.L01","view_id":"cost_centre","report_row_id":"CORP","weight":1},{"leg_id":"MAP.VAT.SETTLE.DOM.PAY.L01","view_id":"vendor","report_row_id":"TAX_AUTHORITY","weight":1},{"leg_id":"MAP.VAT.SETTLE.DOM.PAY.L01","view_id":"recurrence","report_row_id":"not_applicable","weight":1},{"leg_id":"MAP.VAT.SETTLE.DOM.PAY.L01","view_id":"commitment","report_row_id":"not_applicable","weight":1},{"leg_id":"MAP.VAT.SETTLE.DOM.PAY.L01","view_id":"behaviour","report_row_id":"not_applicable","weight":1},{"leg_id":"MAP.VAT.SETTLE.DOM.PAY.L02","view_id":"statement","report_row_id":"BS.CASH","weight":1},{"leg_id":"MAP.VAT.SETTLE.DOM.PAY.L02","view_id":"nature","report_row_id":"cash","weight":1},{"leg_id":"MAP.VAT.SETTLE.DOM.PAY.L02","view_id":"function","report_row_id":"balance_sheet","weight":1},{"leg_id":"MAP.VAT.SETTLE.DOM.PAY.L02","view_id":"cost_centre","report_row_id":"CORP","weight":1},{"leg_id":"MAP.VAT.SETTLE.DOM.PAY.L02","view_id":"vendor","report_row_id":"TAX_AUTHORITY","weight":1},{"leg_id":"MAP.VAT.SETTLE.DOM.PAY.L02","view_id":"recurrence","report_row_id":"not_applicable","weight":1},{"leg_id":"MAP.VAT.SETTLE.DOM.PAY.L02","view_id":"commitment","report_row_id":"not_applicable","weight":1},{"leg_id":"MAP.VAT.SETTLE.DOM.PAY.L02","view_id":"behaviour","report_row_id":"not_applicable","weight":1}]},{"mapping_id":"MAP.VAT.SETTLE.OSS.PAY","source_row_id":"VAT.OSS_PAID","posting_owner":"VAT","stream":"CORPORATE","cost_centre":"CORP","vendor_id":"TAX_AUTHORITY","tax_code":"NONE","cash_class":"operating","classification":{"recurrence":"not_applicable","commitment":"not_applicable","behaviour":"not_applicable"},"legs":[{"leg_id":"MAP.VAT.SETTLE.OSS.PAY.L01","side":"debit","account_id":"GL.VAT.OSS","amount_component":"payment"},{"leg_id":"MAP.VAT.SETTLE.OSS.PAY.L02","side":"credit","account_id":"GL.CASH","amount_component":"payment"}],"report_allocations":[{"leg_id":"MAP.VAT.SETTLE.OSS.PAY.L01","view_id":"statement","report_row_id":"BS.TAX_LIABILITIES","weight":1},{"leg_id":"MAP.VAT.SETTLE.OSS.PAY.L01","view_id":"nature","report_row_id":"tax_liabilities","weight":1},{"leg_id":"MAP.VAT.SETTLE.OSS.PAY.L01","view_id":"function","report_row_id":"balance_sheet","weight":1},{"leg_id":"MAP.VAT.SETTLE.OSS.PAY.L01","view_id":"cost_centre","report_row_id":"CORP","weight":1},{"leg_id":"MAP.VAT.SETTLE.OSS.PAY.L01","view_id":"vendor","report_row_id":"TAX_AUTHORITY","weight":1},{"leg_id":"MAP.VAT.SETTLE.OSS.PAY.L01","view_id":"recurrence","report_row_id":"not_applicable","weight":1},{"leg_id":"MAP.VAT.SETTLE.OSS.PAY.L01","view_id":"commitment","report_row_id":"not_applicable","weight":1},{"leg_id":"MAP.VAT.SETTLE.OSS.PAY.L01","view_id":"behaviour","report_row_id":"not_applicable","weight":1},{"leg_id":"MAP.VAT.SETTLE.OSS.PAY.L02","view_id":"statement","report_row_id":"BS.CASH","weight":1},{"leg_id":"MAP.VAT.SETTLE.OSS.PAY.L02","view_id":"nature","report_row_id":"cash","weight":1},{"leg_id":"MAP.VAT.SETTLE.OSS.PAY.L02","view_id":"function","report_row_id":"balance_sheet","weight":1},{"leg_id":"MAP.VAT.SETTLE.OSS.PAY.L02","view_id":"cost_centre","report_row_id":"CORP","weight":1},{"leg_id":"MAP.VAT.SETTLE.OSS.PAY.L02","view_id":"vendor","report_row_id":"TAX_AUTHORITY","weight":1},{"leg_id":"MAP.VAT.SETTLE.OSS.PAY.L02","view_id":"recurrence","report_row_id":"not_applicable","weight":1},{"leg_id":"MAP.VAT.SETTLE.OSS.PAY.L02","view_id":"commitment","report_row_id":"not_applicable","weight":1},{"leg_id":"MAP.VAT.SETTLE.OSS.PAY.L02","view_id":"behaviour","report_row_id":"not_applicable","weight":1}]},{"mapping_id":"MAP.VAT.SETTLE.DOM.REFUND","source_row_id":"VAT.DOM_PAID","posting_owner":"VAT","stream":"CORPORATE","cost_centre":"CORP","vendor_id":"TAX_AUTHORITY","tax_code":"NONE","cash_class":"operating","classification":{"recurrence":"not_applicable","commitment":"not_applicable","behaviour":"not_applicable"},"legs":[{"leg_id":"MAP.VAT.SETTLE.DOM.REFUND.L01","side":"debit","account_id":"GL.CASH","amount_component":"refund"},{"leg_id":"MAP.VAT.SETTLE.DOM.REFUND.L02","side":"credit","account_id":"GL.VAT.DOM_ASSET","amount_component":"refund"}],"report_allocations":[{"leg_id":"MAP.VAT.SETTLE.DOM.REFUND.L01","view_id":"statement","report_row_id":"BS.CASH","weight":1},{"leg_id":"MAP.VAT.SETTLE.DOM.REFUND.L01","view_id":"nature","report_row_id":"cash","weight":1},{"leg_id":"MAP.VAT.SETTLE.DOM.REFUND.L01","view_id":"function","report_row_id":"balance_sheet","weight":1},{"leg_id":"MAP.VAT.SETTLE.DOM.REFUND.L01","view_id":"cost_centre","report_row_id":"CORP","weight":1},{"leg_id":"MAP.VAT.SETTLE.DOM.REFUND.L01","view_id":"vendor","report_row_id":"TAX_AUTHORITY","weight":1},{"leg_id":"MAP.VAT.SETTLE.DOM.REFUND.L01","view_id":"recurrence","report_row_id":"not_applicable","weight":1},{"leg_id":"MAP.VAT.SETTLE.DOM.REFUND.L01","view_id":"commitment","report_row_id":"not_applicable","weight":1},{"leg_id":"MAP.VAT.SETTLE.DOM.REFUND.L01","view_id":"behaviour","report_row_id":"not_applicable","weight":1},{"leg_id":"MAP.VAT.SETTLE.DOM.REFUND.L02","view_id":"statement","report_row_id":"BS.TAX_ASSETS","weight":1},{"leg_id":"MAP.VAT.SETTLE.DOM.REFUND.L02","view_id":"nature","report_row_id":"tax_assets","weight":1},{"leg_id":"MAP.VAT.SETTLE.DOM.REFUND.L02","view_id":"function","report_row_id":"balance_sheet","weight":1},{"leg_id":"MAP.VAT.SETTLE.DOM.REFUND.L02","view_id":"cost_centre","report_row_id":"CORP","weight":1},{"leg_id":"MAP.VAT.SETTLE.DOM.REFUND.L02","view_id":"vendor","report_row_id":"TAX_AUTHORITY","weight":1},{"leg_id":"MAP.VAT.SETTLE.DOM.REFUND.L02","view_id":"recurrence","report_row_id":"not_applicable","weight":1},{"leg_id":"MAP.VAT.SETTLE.DOM.REFUND.L02","view_id":"commitment","report_row_id":"not_applicable","weight":1},{"leg_id":"MAP.VAT.SETTLE.DOM.REFUND.L02","view_id":"behaviour","report_row_id":"not_applicable","weight":1}]},{"mapping_id":"MAP.VAT.SETTLE.DOM.OFFSET","source_row_id":"VAT.DOM_PAID","posting_owner":"VAT","stream":"CORPORATE","cost_centre":"CORP","vendor_id":"TAX_AUTHORITY","tax_code":"NONE","cash_class":"noncash","classification":{"recurrence":"not_applicable","commitment":"not_applicable","behaviour":"not_applicable"},"legs":[{"leg_id":"MAP.VAT.SETTLE.DOM.OFFSET.L01","side":"debit","account_id":"GL.VAT.DOM_LIAB","amount_component":"offset"},{"leg_id":"MAP.VAT.SETTLE.DOM.OFFSET.L02","side":"credit","account_id":"GL.VAT.DOM_ASSET","amount_component":"offset"}],"report_allocations":[{"leg_id":"MAP.VAT.SETTLE.DOM.OFFSET.L01","view_id":"statement","report_row_id":"BS.TAX_LIABILITIES","weight":1},{"leg_id":"MAP.VAT.SETTLE.DOM.OFFSET.L01","view_id":"nature","report_row_id":"tax_liabilities","weight":1},{"leg_id":"MAP.VAT.SETTLE.DOM.OFFSET.L01","view_id":"function","report_row_id":"balance_sheet","weight":1},{"leg_id":"MAP.VAT.SETTLE.DOM.OFFSET.L01","view_id":"cost_centre","report_row_id":"CORP","weight":1},{"leg_id":"MAP.VAT.SETTLE.DOM.OFFSET.L01","view_id":"vendor","report_row_id":"TAX_AUTHORITY","weight":1},{"leg_id":"MAP.VAT.SETTLE.DOM.OFFSET.L01","view_id":"recurrence","report_row_id":"not_applicable","weight":1},{"leg_id":"MAP.VAT.SETTLE.DOM.OFFSET.L01","view_id":"commitment","report_row_id":"not_applicable","weight":1},{"leg_id":"MAP.VAT.SETTLE.DOM.OFFSET.L01","view_id":"behaviour","report_row_id":"not_applicable","weight":1},{"leg_id":"MAP.VAT.SETTLE.DOM.OFFSET.L02","view_id":"statement","report_row_id":"BS.TAX_ASSETS","weight":1},{"leg_id":"MAP.VAT.SETTLE.DOM.OFFSET.L02","view_id":"nature","report_row_id":"tax_assets","weight":1},{"leg_id":"MAP.VAT.SETTLE.DOM.OFFSET.L02","view_id":"function","report_row_id":"balance_sheet","weight":1},{"leg_id":"MAP.VAT.SETTLE.DOM.OFFSET.L02","view_id":"cost_centre","report_row_id":"CORP","weight":1},{"leg_id":"MAP.VAT.SETTLE.DOM.OFFSET.L02","view_id":"vendor","report_row_id":"TAX_AUTHORITY","weight":1},{"leg_id":"MAP.VAT.SETTLE.DOM.OFFSET.L02","view_id":"recurrence","report_row_id":"not_applicable","weight":1},{"leg_id":"MAP.VAT.SETTLE.DOM.OFFSET.L02","view_id":"commitment","report_row_id":"not_applicable","weight":1},{"leg_id":"MAP.VAT.SETTLE.DOM.OFFSET.L02","view_id":"behaviour","report_row_id":"not_applicable","weight":1}]},{"mapping_id":"MAP.EQUITY.SERIES_B","source_row_id":"FUND.SHARE_CAPITAL","posting_owner":"Funding","stream":"CORPORATE","cost_centre":"CORP","vendor_id":"B_INVESTOR","tax_code":"NONE","cash_class":"financing","classification":{"recurrence":"not_applicable","commitment":"not_applicable","behaviour":"not_applicable"},"legs":[{"leg_id":"MAP.EQUITY.SERIES_B.L01","side":"debit","account_id":"GL.CASH","amount_component":"cash_proceeds"},{"leg_id":"MAP.EQUITY.SERIES_B.L02","side":"credit","account_id":"GL.EQUITY.CAPITAL","amount_component":"nominal"},{"leg_id":"MAP.EQUITY.SERIES_B.L03","side":"credit","account_id":"GL.EQUITY.RESERVE","amount_component":"cash_proceeds_less_nominal"}],"report_allocations":[{"leg_id":"MAP.EQUITY.SERIES_B.L01","view_id":"statement","report_row_id":"BS.CASH","weight":1},{"leg_id":"MAP.EQUITY.SERIES_B.L01","view_id":"nature","report_row_id":"cash","weight":1},{"leg_id":"MAP.EQUITY.SERIES_B.L01","view_id":"function","report_row_id":"balance_sheet","weight":1},{"leg_id":"MAP.EQUITY.SERIES_B.L01","view_id":"cost_centre","report_row_id":"CORP","weight":1},{"leg_id":"MAP.EQUITY.SERIES_B.L01","view_id":"vendor","report_row_id":"B_INVESTOR","weight":1},{"leg_id":"MAP.EQUITY.SERIES_B.L01","view_id":"recurrence","report_row_id":"not_applicable","weight":1},{"leg_id":"MAP.EQUITY.SERIES_B.L01","view_id":"commitment","report_row_id":"not_applicable","weight":1},{"leg_id":"MAP.EQUITY.SERIES_B.L01","view_id":"behaviour","report_row_id":"not_applicable","weight":1},{"leg_id":"MAP.EQUITY.SERIES_B.L02","view_id":"statement","report_row_id":"BS.EQUITY","weight":1},{"leg_id":"MAP.EQUITY.SERIES_B.L02","view_id":"nature","report_row_id":"equity","weight":1},{"leg_id":"MAP.EQUITY.SERIES_B.L02","view_id":"function","report_row_id":"balance_sheet","weight":1},{"leg_id":"MAP.EQUITY.SERIES_B.L02","view_id":"cost_centre","report_row_id":"CORP","weight":1},{"leg_id":"MAP.EQUITY.SERIES_B.L02","view_id":"vendor","report_row_id":"B_INVESTOR","weight":1},{"leg_id":"MAP.EQUITY.SERIES_B.L02","view_id":"recurrence","report_row_id":"not_applicable","weight":1},{"leg_id":"MAP.EQUITY.SERIES_B.L02","view_id":"commitment","report_row_id":"not_applicable","weight":1},{"leg_id":"MAP.EQUITY.SERIES_B.L02","view_id":"behaviour","report_row_id":"not_applicable","weight":1},{"leg_id":"MAP.EQUITY.SERIES_B.L03","view_id":"statement","report_row_id":"BS.EQUITY","weight":1},{"leg_id":"MAP.EQUITY.SERIES_B.L03","view_id":"nature","report_row_id":"equity","weight":1},{"leg_id":"MAP.EQUITY.SERIES_B.L03","view_id":"function","report_row_id":"balance_sheet","weight":1},{"leg_id":"MAP.EQUITY.SERIES_B.L03","view_id":"cost_centre","report_row_id":"CORP","weight":1},{"leg_id":"MAP.EQUITY.SERIES_B.L03","view_id":"vendor","report_row_id":"B_INVESTOR","weight":1},{"leg_id":"MAP.EQUITY.SERIES_B.L03","view_id":"recurrence","report_row_id":"not_applicable","weight":1},{"leg_id":"MAP.EQUITY.SERIES_B.L03","view_id":"commitment","report_row_id":"not_applicable","weight":1},{"leg_id":"MAP.EQUITY.SERIES_B.L03","view_id":"behaviour","report_row_id":"not_applicable","weight":1}]},{"mapping_id":"MAP.COST.OPX.ROUND_COSTS.B.NOTARY","source_row_id":"OPX.ROUND_COSTS.B.NOTARY","posting_owner":"Opex","stream":"CORPORATE","cost_centre":"FIN","vendor_id":"UNKNOWN_FORECAST","tax_code":"DE_IN19","cash_class":"financing","classification":{"recurrence":"one_off","commitment":"committed","behaviour":"fixed"},"legs":[{"leg_id":"MAP.COST.OPX.ROUND_COSTS.B.NOTARY.L01","side":"debit","account_id":"GL.OPEX.OPX.ROUND_COSTS.B.NOTARY","amount_component":"net_plus_unrecoverable_vat"},{"leg_id":"MAP.COST.OPX.ROUND_COSTS.B.NOTARY.L02","side":"debit","account_id":"GL.VAT.DOM_ASSET","amount_component":"recoverable_vat"},{"leg_id":"MAP.COST.OPX.ROUND_COSTS.B.NOTARY.L03","side":"credit","account_id":"GL.CASH","amount_component":"gross"}],"report_allocations":[{"leg_id":"MAP.COST.OPX.ROUND_COSTS.B.NOTARY.L01","view_id":"statement","report_row_id":"PNL.OPEX","weight":1},{"leg_id":"MAP.COST.OPX.ROUND_COSTS.B.NOTARY.L01","view_id":"nature","report_row_id":"operating_expense","weight":1},{"leg_id":"MAP.COST.OPX.ROUND_COSTS.B.NOTARY.L01","view_id":"function","report_row_id":"general_admin","weight":1},{"leg_id":"MAP.COST.OPX.ROUND_COSTS.B.NOTARY.L01","view_id":"cost_centre","report_row_id":"FIN","weight":1},{"leg_id":"MAP.COST.OPX.ROUND_COSTS.B.NOTARY.L01","view_id":"vendor","report_row_id":"UNKNOWN_FORECAST","weight":1},{"leg_id":"MAP.COST.OPX.ROUND_COSTS.B.NOTARY.L01","view_id":"recurrence","report_row_id":"one_off","weight":1},{"leg_id":"MAP.COST.OPX.ROUND_COSTS.B.NOTARY.L01","view_id":"commitment","report_row_id":"committed","weight":1},{"leg_id":"MAP.COST.OPX.ROUND_COSTS.B.NOTARY.L01","view_id":"behaviour","report_row_id":"fixed","weight":1},{"leg_id":"MAP.COST.OPX.ROUND_COSTS.B.NOTARY.L02","view_id":"statement","report_row_id":"BS.TAX_ASSETS","weight":1},{"leg_id":"MAP.COST.OPX.ROUND_COSTS.B.NOTARY.L02","view_id":"nature","report_row_id":"tax_assets","weight":1},{"leg_id":"MAP.COST.OPX.ROUND_COSTS.B.NOTARY.L02","view_id":"function","report_row_id":"balance_sheet","weight":1},{"leg_id":"MAP.COST.OPX.ROUND_COSTS.B.NOTARY.L02","view_id":"cost_centre","report_row_id":"FIN","weight":1},{"leg_id":"MAP.COST.OPX.ROUND_COSTS.B.NOTARY.L02","view_id":"vendor","report_row_id":"UNKNOWN_FORECAST","weight":1},{"leg_id":"MAP.COST.OPX.ROUND_COSTS.B.NOTARY.L02","view_id":"recurrence","report_row_id":"not_applicable","weight":1},{"leg_id":"MAP.COST.OPX.ROUND_COSTS.B.NOTARY.L02","view_id":"commitment","report_row_id":"not_applicable","weight":1},{"leg_id":"MAP.COST.OPX.ROUND_COSTS.B.NOTARY.L02","view_id":"behaviour","report_row_id":"not_applicable","weight":1},{"leg_id":"MAP.COST.OPX.ROUND_COSTS.B.NOTARY.L03","view_id":"statement","report_row_id":"BS.CASH","weight":1},{"leg_id":"MAP.COST.OPX.ROUND_COSTS.B.NOTARY.L03","view_id":"nature","report_row_id":"cash","weight":1},{"leg_id":"MAP.COST.OPX.ROUND_COSTS.B.NOTARY.L03","view_id":"function","report_row_id":"balance_sheet","weight":1},{"leg_id":"MAP.COST.OPX.ROUND_COSTS.B.NOTARY.L03","view_id":"cost_centre","report_row_id":"FIN","weight":1},{"leg_id":"MAP.COST.OPX.ROUND_COSTS.B.NOTARY.L03","view_id":"vendor","report_row_id":"UNKNOWN_FORECAST","weight":1},{"leg_id":"MAP.COST.OPX.ROUND_COSTS.B.NOTARY.L03","view_id":"recurrence","report_row_id":"not_applicable","weight":1},{"leg_id":"MAP.COST.OPX.ROUND_COSTS.B.NOTARY.L03","view_id":"commitment","report_row_id":"not_applicable","weight":1},{"leg_id":"MAP.COST.OPX.ROUND_COSTS.B.NOTARY.L03","view_id":"behaviour","report_row_id":"not_applicable","weight":1}]},{"mapping_id":"MAP.COST.OPX.ROUND_COSTS.B.LEGAL","source_row_id":"OPX.ROUND_COSTS.B.LEGAL","posting_owner":"Opex","stream":"CORPORATE","cost_centre":"FIN","vendor_id":"UNKNOWN_FORECAST","tax_code":"DE_IN19","cash_class":"financing","classification":{"recurrence":"one_off","commitment":"committed","behaviour":"fixed"},"legs":[{"leg_id":"MAP.COST.OPX.ROUND_COSTS.B.LEGAL.L01","side":"debit","account_id":"GL.OPEX.OPX.ROUND_COSTS.B.LEGAL","amount_component":"net_plus_unrecoverable_vat"},{"leg_id":"MAP.COST.OPX.ROUND_COSTS.B.LEGAL.L02","side":"debit","account_id":"GL.VAT.DOM_ASSET","amount_component":"recoverable_vat"},{"leg_id":"MAP.COST.OPX.ROUND_COSTS.B.LEGAL.L03","side":"credit","account_id":"GL.CASH","amount_component":"gross"}],"report_allocations":[{"leg_id":"MAP.COST.OPX.ROUND_COSTS.B.LEGAL.L01","view_id":"statement","report_row_id":"PNL.OPEX","weight":1},{"leg_id":"MAP.COST.OPX.ROUND_COSTS.B.LEGAL.L01","view_id":"nature","report_row_id":"operating_expense","weight":1},{"leg_id":"MAP.COST.OPX.ROUND_COSTS.B.LEGAL.L01","view_id":"function","report_row_id":"general_admin","weight":1},{"leg_id":"MAP.COST.OPX.ROUND_COSTS.B.LEGAL.L01","view_id":"cost_centre","report_row_id":"FIN","weight":1},{"leg_id":"MAP.COST.OPX.ROUND_COSTS.B.LEGAL.L01","view_id":"vendor","report_row_id":"UNKNOWN_FORECAST","weight":1},{"leg_id":"MAP.COST.OPX.ROUND_COSTS.B.LEGAL.L01","view_id":"recurrence","report_row_id":"one_off","weight":1},{"leg_id":"MAP.COST.OPX.ROUND_COSTS.B.LEGAL.L01","view_id":"commitment","report_row_id":"committed","weight":1},{"leg_id":"MAP.COST.OPX.ROUND_COSTS.B.LEGAL.L01","view_id":"behaviour","report_row_id":"fixed","weight":1},{"leg_id":"MAP.COST.OPX.ROUND_COSTS.B.LEGAL.L02","view_id":"statement","report_row_id":"BS.TAX_ASSETS","weight":1},{"leg_id":"MAP.COST.OPX.ROUND_COSTS.B.LEGAL.L02","view_id":"nature","report_row_id":"tax_assets","weight":1},{"leg_id":"MAP.COST.OPX.ROUND_COSTS.B.LEGAL.L02","view_id":"function","report_row_id":"balance_sheet","weight":1},{"leg_id":"MAP.COST.OPX.ROUND_COSTS.B.LEGAL.L02","view_id":"cost_centre","report_row_id":"FIN","weight":1},{"leg_id":"MAP.COST.OPX.ROUND_COSTS.B.LEGAL.L02","view_id":"vendor","report_row_id":"UNKNOWN_FORECAST","weight":1},{"leg_id":"MAP.COST.OPX.ROUND_COSTS.B.LEGAL.L02","view_id":"recurrence","report_row_id":"not_applicable","weight":1},{"leg_id":"MAP.COST.OPX.ROUND_COSTS.B.LEGAL.L02","view_id":"commitment","report_row_id":"not_applicable","weight":1},{"leg_id":"MAP.COST.OPX.ROUND_COSTS.B.LEGAL.L02","view_id":"behaviour","report_row_id":"not_applicable","weight":1},{"leg_id":"MAP.COST.OPX.ROUND_COSTS.B.LEGAL.L03","view_id":"statement","report_row_id":"BS.CASH","weight":1},{"leg_id":"MAP.COST.OPX.ROUND_COSTS.B.LEGAL.L03","view_id":"nature","report_row_id":"cash","weight":1},{"leg_id":"MAP.COST.OPX.ROUND_COSTS.B.LEGAL.L03","view_id":"function","report_row_id":"balance_sheet","weight":1},{"leg_id":"MAP.COST.OPX.ROUND_COSTS.B.LEGAL.L03","view_id":"cost_centre","report_row_id":"FIN","weight":1},{"leg_id":"MAP.COST.OPX.ROUND_COSTS.B.LEGAL.L03","view_id":"vendor","report_row_id":"UNKNOWN_FORECAST","weight":1},{"leg_id":"MAP.COST.OPX.ROUND_COSTS.B.LEGAL.L03","view_id":"recurrence","report_row_id":"not_applicable","weight":1},{"leg_id":"MAP.COST.OPX.ROUND_COSTS.B.LEGAL.L03","view_id":"commitment","report_row_id":"not_applicable","weight":1},{"leg_id":"MAP.COST.OPX.ROUND_COSTS.B.LEGAL.L03","view_id":"behaviour","report_row_id":"not_applicable","weight":1}]}],"vendors":[{"vendor_id":"PAYROLL","name":"Fictional Payroll","category":"payroll","fictional":true},{"vendor_id":"TAX_AUTHORITY","name":"Fictional Tax Authority","category":"tax_authority","fictional":true},{"vendor_id":"FOUNDER","name":"Fictional Founder","category":"investor","fictional":true},{"vendor_id":"NOTEHOLDER","name":"Fictional Noteholder","category":"investor","fictional":true},{"vendor_id":"SEED_INVESTOR","name":"Fictional Seed Investor","category":"investor","fictional":true},{"vendor_id":"A_INVESTOR","name":"Fictional A Investor","category":"investor","fictional":true},{"vendor_id":"STORE_APPLE","name":"Fictional Store Apple","category":"store","fictional":true},{"vendor_id":"STORE_GOOGLE","name":"Fictional Store Google","category":"store","fictional":true},{"vendor_id":"CARD_PROCESSOR","name":"Fictional Card Processor","category":"payment_provider","fictional":true},{"vendor_id":"UNKNOWN_FORECAST","name":"Fictional Unknown Forecast","category":"unknown_forecast","fictional":true},{"vendor_id":"TRADER","name":"Fictional Trader","category":"fictional_supplier","fictional":true},{"vendor_id":"SIGNAL_SUPPLIER","name":"Fictional signal supplier","category":"fictional_supplier","fictional":true},{"vendor_id":"B_INVESTOR","name":"Fictional B Investor","category":"investor","fictional":true}],"holders":[{"holder_id":"FOUNDER_P01","label":"Fictional Founder P01","related_group_id":"GROUP.FOUNDER_P01","founder_person_id":"P01"},{"holder_id":"FOUNDER_P02","label":"Fictional Founder P02","related_group_id":"GROUP.FOUNDER_P02","founder_person_id":"P02"},{"holder_id":"NOTEHOLDER","label":"Fictional Noteholder","related_group_id":"GROUP.NOTEHOLDER","founder_person_id":null},{"holder_id":"SEED_INVESTOR","label":"Fictional Seed Investor","related_group_id":"GROUP.SEED_INVESTOR","founder_person_id":null},{"holder_id":"A_INVESTOR","label":"Fictional A Investor","related_group_id":"GROUP.A_INVESTOR","founder_person_id":null},{"holder_id":"B_INVESTOR","label":"Fictional B Investor","related_group_id":"GROUP.B_INVESTOR","founder_person_id":null}]},"kpis":{"meta":{"schema_version":"Kit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13.10.2026","data_version":"CR02-2026-10-13-v1","version":"budget","scenario":"all","currency":"EUR","model_start":"2027-01-01","horizon_months":60,"cutoff_date":null,"frozen_on":"2026-10-13","fictional":true},"kpis":[{"id":"KPI.MAU","name":"Monthly active connected users","numerator_row_ids":["COH.MAU"],"denominator_row_ids":[],"formula":"SUM active cohort/country/channel populations","eligible_population":"Identical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MAU"],"undefined_when":"never","numeric_fallback":0,"validity_row_id":"KPI.MAU.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contract"}},{"id":"KPI.SUBSCRIBERS","name":"Unique entitled service subscribers","numerator_row_ids":["SUB.M.SERVICE","SUB.Y.SERVICE"],"denominator_row_ids":[],"formula":"SUM disjoint monthly and annual service entitlements, including inactive entitled users","eligible_population":"Identical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SUBSCRIBERS"],"undefined_when":"never","numeric_fallback":0,"validity_row_id":"KPI.SUBSCRIB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contract"}},{"id":"KPI.ACTIVE_SUBSCRIBERS","name":"Active entitled subscribers","numerator_row_ids":["SUB.ACTIVE_ENTITLED"],"denominator_row_ids":[],"formula":"SUM active bins with a monthly or annual entitlement; each person once","eligible_population":"Identical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ACTIVE_SUBSCRIBERS"],"undefined_when":"never","numeric_fallback":0,"validity_row_id":"KPI.ACTIVE_SUBSCRIB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contract"}},{"id":"KPI.COPIERS","name":"Active service copiers","numerator_row_ids":["COPY.COPIERS"],"denominator_row_ids":[],"formula":"SUM active permission-eligible copying users","eligible_population":"Identical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COPIERS"],"undefined_when":"never","numeric_fallback":0,"validity_row_id":"KPI.COPI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contract"}},{"id":"KPI.RELATIONSHIPS","name":"Copy relationships","numerator_row_ids":["COPY.RELATIONSHIPS"],"denominator_row_ids":[],"formula":"COPY.COPIERS * R2.REL","eligible_population":"Identical selected month/version/scenario and explicit numerator/denominator populations; all three scenarios","timing":"Monthly; event checkpoints where specified","unit":"count","frequency":"monthly","reducer":"END","interpretation":"SUM flows; END closing stocks; RATIO recomputes annual/cohort numerator and denominator components, never averages monthly ratios. FIRST preserves the first event month with its validity flag.","implemented_row_ids":["KPI.RELATIONSHIPS"],"undefined_when":"never","numeric_fallback":0,"validity_row_id":"KPI.RELATIONSHIP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contract"}},{"id":"KPI.TRADERS","name":"Active external lead traders","numerator_row_ids":["TRADER.ACTIVE"],"denominator_row_ids":[],"formula":"TRADER.ACTIVE; separate supplier population, not retail MAU","eligible_population":"Identical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TRADERS"],"undefined_when":"never","numeric_fallback":0,"validity_row_id":"KPI.TRAD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contract"}},{"id":"KPI.ARPU_R1","name":"Subscriber ARPU","numerator_row_ids":["SUB.M.REVENUE","SUB.Y.REVENUE"],"denominator_row_ids":["SUB.M.SERVICE","SUB.Y.SERVICE"],"formula":"R1 recognised service revenue / total entitled service subscribers","eligible_population":"Identical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R1"],"undefined_when":"denominator_zero","numeric_fallback":0,"validity_row_id":"KPI.ARPU_R1.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contract"}},{"id":"KPI.ARPU_R2","name":"Copier ARPU","numerator_row_ids":["COPY.REVENUE"],"denominator_row_ids":["COPY.COPIERS"],"formula":"R2 recognised net revenue / service copiers","eligible_population":"Identical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R2"],"undefined_when":"denominator_zero","numeric_fallback":0,"validity_row_id":"KPI.ARPU_R2.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contract"}},{"id":"KPI.ARPU_B2C","name":"Blended B2C ARPU","numerator_row_ids":["SUB.M.REVENUE","SUB.Y.REVENUE","COPY.REVENUE"],"denominator_row_ids":["COH.MAU"],"formula":"(R1 + R2 recognised revenue) / MAU; exclude B2B and affiliate revenue","eligible_population":"Identical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B2C"],"undefined_when":"denominator_zero","numeric_fallback":0,"validity_row_id":"KPI.ARPU_B2C.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contract"}},{"id":"KPI.MRR","name":"Recurring monthly revenue","numerator_row_ids":["SUB.M.REVENUE","SUB.Y.MRR","B2B.SEAT_REV"],"denominator_row_ids":[],"formula":"Monthly R1 net service billing + SUM N(v)/12 over every annual billing vintage v still serving in t (v &lt;= t &lt;= v+11) + R7 seat revenue; N(v) is that vintage historical total net advance, including renewals and inactive entitled contracts. Exclude R2 and onboarding.","eligible_population":"Identical selected month/version/scenario and explicit numerator/denominator populations; all three scenarios","timing":"Monthly; event checkpoints where specified","unit":"EUR_per_month","frequency":"monthly","reducer":"END","interpretation":"SUM flows; END closing stocks; RATIO recomputes annual/cohort numerator and denominator components, never averages monthly ratios. FIRST preserves the first event month with its validity flag.","implemented_row_ids":["KPI.MRR"],"undefined_when":"never","numeric_fallback":0,"validity_row_id":"KPI.MRR.VALID","display_undefined":"n/m","classification":{"recurrence":"not_applicable","commitment":"not_applicable","behaviour":"not_applicable"},"evidence":{"provenance":"EC","source_ids":["SRC.S5.R-044","SRC.T04"],"rationale":"Model definition, common to all scenarios; the formula is explanatory text, not executable code.","policy_ids":[],"checked_on":"2026-10-12","verify":false,"owner":"Model author","refresh_trigger":"New model release or changed law/vendor contract"}},{"id":"KPI.ARR","name":"ARR (subscriptions and B2B)","numerator_row_ids":["KPI.MRR"],"denominator_row_ids":[],"formula":"12 * KPI.MRR","eligible_population":"Identical selected month/version/scenario and explicit numerator/denominator populations; all three scenarios","timing":"Monthly; event checkpoints where specified","unit":"EUR_per_year","frequency":"monthly","reducer":"END","interpretation":"SUM flows; END closing stocks; RATIO recomputes annual/cohort numerator and denominator components, never averages monthly ratios. FIRST preserves the first event month with its validity flag.","implemented_row_ids":["KPI.ARR"],"undefined_when":"never","numeric_fallback":0,"validity_row_id":"KPI.ARR.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contract"}},{"id":"KPI.RECURRING_RUN_RATE","name":"Recurring revenue run-rate (subscriptions, B2B and copy fees)","numerator_row_ids":["KPI.MRR","PNL.R2"],"denominator_row_ids":[],"formula":"12 * (KPI.MRR + PNL.R2)","eligible_population":"Identical selected month/version/scenario and explicit numerator/denominator populations; all three scenarios","timing":"Monthly; event checkpoints where specified","unit":"EUR_per_year","frequency":"monthly","reducer":"END","interpretation":"SUM flows; END closing stocks; RATIO recomputes annual/cohort numerator and denominator components, never averages monthly ratios. FIRST preserves the first event month with its validity flag.","implemented_row_ids":["KPI.RECURRING_RUN_RATE"],"undefined_when":"never","numeric_fallback":0,"validity_row_id":"KPI.RECURRING_RUN_RATE.VALID","display_undefined":"n/m","classification":{"recurrence":"not_applicable","commitment":"not_applicable","behaviour":"not_applicable"},"evidence":{"provenance":"EC","source_ids":["SRC.S5.R-044"],"rationale":"Run-rate including copy fees, which ARR excludes (owner decision of 13.10.2026).","policy_ids":[],"checked_on":"2026-10-13","verify":false,"owner":"Model author","refresh_trigger":"New model release or changed law/vendor contract"}},{"id":"KPI.B2B_NRR","name":"B2B net revenue retention","numerator_row_ids":["B2B.OPENING_CLIENT_MRR_CURRENT"],"denominator_row_ids":["B2B.OPENING_CLIENT_MRR_PRIOR"],"formula":"Current seat MRR from opening clients / prior-month seat MRR from the identical opening-client set; new clients excluded","eligible_population":"Identical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B2B_NRR"],"undefined_when":"denominator_zero","numeric_fallback":0,"validity_row_id":"KPI.B2B_NRR.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contract"}},{"id":"KPI.CAC_PAID","name":"Marginal paid CAC (period)","numerator_row_ids":["OPX.MARKETING"],"denominator_row_ids":["ACQ.NEW.PAID"],"formula":"Current-period performance marketing spend / current paid connected arrivals; cohort CAC separately carries prelaunch spend","eligible_population":"Identical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CAC_PAID"],"undefined_when":"denominator_zero","numeric_fallback":0,"validity_row_id":"KPI.CAC_PAID.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contract"}},{"id":"KPI.CAC_FULL","name":"Fully loaded CAC (period)","numerator_row_ids":["OPX.MARKETING","OPX.BRAND","OPX.CONTEST","OPX.REFERRAL"],"denominator_row_ids":["ACQ.NEW.TOTAL"],"formula":"(performance + brand + contests + referral bonuses) / all unique new connected arrivals","eligible_population":"Identical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CAC_FULL"],"undefined_when":"denominator_zero","numeric_fallback":0,"validity_row_id":"KPI.CAC_FULL.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contract"}},{"id":"UE.CAC_CHANNEL","name":"Channel CAC (cohort attributed)","numerator_row_ids":["UE.ACQ_COST_ALLOCATED"],"denominator_row_ids":["ACQ.NEW.TOTAL"],"formula":"Attributed acquisition spend / arrivals of the same cohort/channel/country; paid=performance, organic=brand, trader=contests, referral=bonuses. Carry zero-arrival spend until next arrivals; launch paid includes M8-M9 backlog","eligible_population":"Original connected acquisition cohort/channel/country","timing":"Cohort ages 0-35","unit":"EUR_per_user","frequency":"cohort","reducer":"RATIO","interpretation":"SUM flows; END closing stocks; RATIO recomputes annual/cohort numerator and denominator components, never averages monthly ratios. FIRST preserves the first event month with its validity flag.","implemented_row_ids":["UE.CAC_CHANNEL"],"undefined_when":"empty_population","numeric_fallback":0,"validity_row_id":"UE.CAC_CHANNEL.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contract"}},{"id":"KPI.CONTRIBUTION_MARGIN","name":"B2C contribution margin","numerator_row_ids":["UE.CONTRIBUTION"],"denominator_row_ids":["UE.REVENUE"],"formula":"(R1 + R2 + eligible affiliate revenue - variable B2C costs) / that same revenue","eligible_population":"Identical selected month/version/scenario and explicit numerator/denominator populations; all three scenarios","timing":"Recompute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only.","unit":"fraction","frequency":"monthly","reducer":"RATIO","interpretation":"SUM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KPI.CONTRIBUTION_MARGIN"],"undefined_when":"denominator_zero","numeric_fallback":0,"validity_row_id":"KPI.CONTRIBUTION_MARGIN.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contract"}},{"id":"KPI.GROSS_MARGIN","name":"Service gross margin","numerator_row_ids":["PNL.GROSS_PROFIT"],"denominator_row_ids":["PNL.REVENUE"],"formula":"(total service revenue - all COGS) / total service revenue; includes fixed COGS","eligible_population":"Identical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GROSS_MARGIN"],"undefined_when":"denominator_zero","numeric_fallback":0,"validity_row_id":"KPI.GROSS_MARGIN.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contract"}},{"id":"UE.LTV","name":"36-month discounted B2C contribution LTV","numerator_row_ids":["UE.CONTRIBUTION"],"denominator_row_ids":["ACQ.NEW.TOTAL"],"formula":"SUM for age a=0..35 of cohort contribution(a) / original connected arrivals / (1.12^(1/12))^a; age 0 undiscounted; no terminal value","eligible_population":"Original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only.","unit":"EUR_per_user","frequency":"cohort","reducer":"RATIO","interpretation":"SUM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LTV"],"undefined_when":"empty_population","numeric_fallback":0,"validity_row_id":"UE.LTV.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contract"}},{"id":"UE.LTV_CAC","name":"Cohort LTV to CAC","numerator_row_ids":["UE.LTV"],"denominator_row_ids":["UE.CAC_CHANNEL"],"formula":"UE.LTV / matched cohort-attributed channel CAC; same original acquired population","eligible_population":"Original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only.","unit":"multiplier","frequency":"cohort","reducer":"RATIO","interpretation":"SUM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LTV_CAC"],"undefined_when":"denominator_nonpositive","numeric_fallback":0,"validity_row_id":"UE.LTV_CAC.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contract"}},{"id":"UE.PAYBACK","name":"Discounted cohort payback","numerator_row_ids":["UE.CONTRIBUTION"],"denominator_row_ids":["UE.CAC_CHANNEL"],"formula":"First age+1 where cumulative discounted contribution per original arrival &gt;= matched cohort CAC; otherwise not reached in 36 months","eligible_population":"Original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only.","unit":"months","frequency":"cohort","reducer":"FIRST","interpretation":"SUM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company.","implemented_row_ids":["UE.PAYBACK"],"undefined_when":"not_reached","numeric_fallback":0,"validity_row_id":"UE.PAYBACK.VALID","display_undefined":"not reached","classification":{"recurrence":"not_applicable","commitment":"not_applicable","behaviour":"not_applicable"},"evidence":{"provenance":"EC","source_ids":["SRC.S5.R-046","SRC.T04"],"rationale":"Model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contract"}},{"id":"UE.B2B_LTV","name":"B2B client contribution LTV","numerator_row_ids":["UE.B2B_CONTRIBUTION"],"denominator_row_ids":["B2B.NEW"],"formula":"36-month discounted seat/onboarding contribution / original clients; only directly attributable variable costs, exclude shared fixed support","eligible_population":"Original B2B signing clients, separate from retail","timing":"Recompute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only.","unit":"EUR_per_client","frequency":"cohort","reducer":"RATIO","interpretation":"SUM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B2B_LTV"],"undefined_when":"empty_population","numeric_fallback":0,"validity_row_id":"UE.B2B_LTV.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contract"}},{"id":"LIQ.GROSS_BURN","name":"Gross operating burn","numerator_row_ids":["LIQ.OPERATING_PAYMENTS"],"denominator_row_ids":[],"formula":"Own operating cash payments including trader payments, ordinary VAT and income tax; exclude capex and financing/round-fee cash","eligible_population":"Identical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LIQ.GROSS_BURN"],"undefined_when":"never","numeric_fallback":0,"validity_row_id":"LIQ.GROSS_BURN.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contract"}},{"id":"LIQ.NET_BURN","name":"Net operating burn","numerator_row_ids":["LIQ.OPERATING_PAYMENTS","LIQ.OPERATING_RECEIPTS"],"denominator_row_ids":[],"formula":"Gross operating payments - own operating receipts including refunds and deposit interest; exclude financing and capex","eligible_population":"Identical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LIQ.NET_BURN"],"undefined_when":"never","numeric_fallback":0,"validity_row_id":"LIQ.NET_BURN.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contract"}},{"id":"KPI.TRAILING_BURN","name":"Trailing actual net burn","numerator_row_ids":["LIQ.NET_BURN"],"denominator_row_ids":[],"formula":"Average last MIN(3,available) actual months of net operating burn","eligible_population":"Identical selected month/version/scenario and explicit numerator/denominator populations; all three scenarios","timing":"Monthly; event checkpoints where specified","unit":"EUR_per_month","frequency":"monthly","reducer":"AVG","interpretation":"SUM flows; END closing stocks; RATIO recomputes annual/cohort numerator and denominator components, never averages monthly ratios. FIRST preserves the first event month with its validity flag.","implemented_row_ids":["KPI.TRAILING_BURN"],"undefined_when":"empty_population","numeric_fallback":0,"validity_row_id":"KPI.TRAILING_BURN.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contract"}},{"id":"KPI.RUNWAY","name":"First future cash breach month","numerator_row_ids":["LIQ.CASH_PLANNED"],"denominator_row_ids":[],"formula":"First future month index with negative closing cash on the selected planned/no_future_rounds path; show event breaches separately. No breach means none within horizon","eligible_population":"Identical selected month/version/scenario and explicit numerator/denominator populations; all three scenarios","timing":"Monthly; event checkpoints where specified","unit":"month_index","frequency":"monthly","reducer":"FIRST","interpretation":"SUM flows; END closing stocks; RATIO recomputes annual/cohort numerator and denominator components, never averages monthly ratios. FIRST preserves the first event month with its validity flag.","implemented_row_ids":["KPI.RUNWAY"],"undefined_when":"not_reached","numeric_fallback":0,"validity_row_id":"KPI.RUNWAY.VALID","display_undefined":"none within horizon","classification":{"recurrence":"not_applicable","commitment":"not_applicable","behaviour":"not_applicable"},"evidence":{"provenance":"EC","source_ids":["SRC.S5.R-047"],"rationale":"Model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contract"}},{"id":"KPI.BUFFER_GAP","name":"Cash buffer shortfall","numerator_row_ids":["LIQ.BUFFER","LIQ.CASH_PLANNED"],"denominator_row_ids":[],"formula":"MAX(0, six months of next-three-month average positive net burn - current cash); month 60 target zero with horizon-limit flag","eligible_population":"Identical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KPI.BUFFER_GAP"],"undefined_when":"never","numeric_fallback":0,"validity_row_id":"KPI.BUFFER_GAP.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contract"}},{"id":"REG.HEADROOM","name":"Statutory capital headroom","numerator_row_ids":["REG.ELIGIBLE_FUNDS","REG.REQUIRED"],"denominator_row_ids":[],"formula":"Eligible own funds - statutory requirement, at each financing checkpoint and month end","eligible_population":"Identical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REG.HEADROOM"],"undefined_when":"never","numeric_fallback":0,"validity_row_id":"REG.HEADROOM.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contract"}},{"id":"REG.MGMT_HEADROOM","name":"Management capital headroom","numerator_row_ids":["REG.ELIGIBLE_FUNDS","REG.MGMT_TARGET"],"denominator_row_ids":[],"formula":"Eligible own funds - 1.20 * statutory requirement; management warning separate from statutory breach","eligible_population":"Identical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REG.MGMT_HEADROOM"],"undefined_when":"never","numeric_fallback":0,"validity_row_id":"REG.MGMT_HEADROOM.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contract"}},{"id":"LIQ.NEED","name":"Instantaneous qualifying equity need","numerator_row_ids":["LIQ.BUFFER","LIQ.CASH_PLANNED","REG.REQUIRED","REG.ELIGIBLE_FUNDS"],"denominator_row_ids":[],"formula":"MAX(0,buffer-cash,statutory requirement-eligible funds); before hypothetical issue costs, never a financing plug","eligible_population":"Identical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LIQ.NEED"],"undefined_when":"never","numeric_fallback":0,"validity_row_id":"LIQ.NEED.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contract"}},{"id":"KPI.BURN_MULTIPLE","name":"Burn multiple","numerator_row_ids":["LIQ.NET_BURN"],"denominator_row_ids":["KPI.NET_NEW_ARR"],"formula":"Monthly net operating burn / (12 * (current R1+R7 recurring MRR - prior MRR)); denominator must be positive","eligible_population":"Identical selected month/version/scenario and explicit numerator/denominator populations; all three scenarios","timing":"Monthly; event checkpoints where specified","unit":"multiplier","frequency":"monthly","reducer":"RATIO","interpretation":"SUM flows; END closing stocks; RATIO recomputes annual/cohort numerator and denominator components, never averages monthly ratios. FIRST preserves the first event month with its validity flag.","implemented_row_ids":["KPI.BURN_MULTIPLE"],"undefined_when":"denominator_nonpositive","numeric_fallback":0,"validity_row_id":"KPI.BURN_MULTIPLE.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contract"}},{"id":"COST.VARIANCE","name":"Accrued cost variance","numerator_row_ids":["COST.ACTUAL","COST.BUDGET"],"denominator_row_ids":[],"formula":"Actual accrued cost - original budget accrued cost for identical period and population; positive is adverse","eligible_population":"Identical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COST.VARIANCE"],"undefined_when":"never","numeric_fallback":0,"validity_row_id":"COST.VARIANCE.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contract"}},{"id":"COST.VARIANCE_PCT","name":"Accrued cost variance percentage","numerator_row_ids":["COST.VARIANCE"],"denominator_row_ids":["COST.BUDGET"],"formula":"(actual accrued cost - original budget cost) / original budget cost","eligible_population":"Identical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COST.VARIANCE_PCT"],"undefined_when":"denominator_zero","numeric_fallback":0,"validity_row_id":"COST.VARIANCE_PCT.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contract"}},{"id":"KPI.REVENUE_GROWTH","name":"Revenue growth","numerator_row_ids":["PNL.REVENUE"],"denominator_row_ids":["PNL.REVENUE_PRIOR"],"formula":"Current period revenue / prior comparable period revenue - 1; prior revenue must be positive","eligible_population":"Identical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REVENUE_GROWTH"],"undefined_when":"denominator_nonpositive","numeric_fallback":0,"validity_row_id":"KPI.REVENUE_GROWTH.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contract"}},{"id":"KPI.ARPU_R7","name":"B2B revenue per service client","numerator_row_ids":["B2B.SEAT_REV","B2B.ONBOARD_REV"],"denominator_row_ids":["B2B.CLIENTS"],"formula":"(Recognised seat revenue + recognised onboarding revenue) / service clients","eligible_population":"B2B service clients in the same period; separate from retail MAU","timing":"Monthly; event checkpoints where specified","unit":"EUR","frequency":"monthly","reducer":"RATIO","interpretation":"Annual ARPU is sum recognised revenue divided by sum monthly service-client counts. Zero clients gives numeric 0, valid=0; prices are net EUR.","implemented_row_ids":["KPI.ARPU_R7"],"undefined_when":"denominator_zero","numeric_fallback":0,"validity_row_id":"KPI.ARPU_R7.VALID","display_undefined":"n/m","classification":{"recurrence":"not_applicable","commitment":"not_applicable","behaviour":"not_applicable"},"evidence":{"provenance":"EC","source_ids":["SRC.S5.R-044"],"rationale":"Stream ARPU definition: the matching-service denominator of calculation rule R-044, applied to the B2B outputs of calculation rule R-017 in each scenario.","policy_ids":[],"checked_on":"2026-10-12","verify":false,"owner":"Model author","refresh_trigger":"New model release or changed law/vendor contract"}},{"id":"COST.UNIT_FTE","name":"Cost per FTE-month","numerator_row_ids":["COST.ACTUAL"],"denominator_row_ids":["PPL.FTE"],"formula":"YTD accrued expense / SUM monthly FTE over the identical YTD period","eligible_population":"Same actual cost population and January-June FTE-month exposure","timing":"Monthly; event checkpoints where specified","unit":"EUR_per_person","frequency":"monthly","reducer":"RATIO","interpretation":"Calculation rule R-047: use FTE-month exposure, never ending headcount. Annual ratios recompute from aligned totals.","implemented_row_ids":["COST.UNIT_FTE"],"undefined_when":"denominator_zero","numeric_fallback":0,"validity_row_id":"COST.UNIT_FTE.VALID","display_undefined":"n/m","classification":{"recurrence":"not_applicable","commitment":"not_applicable","behaviour":"not_applicable"},"evidence":{"provenance":"EC","source_ids":["SRC.S5.R-047"],"rationale":"Calculation rule R-047 unit-cost convention applied to the fictional cost and FTE input dimensions; same definition across scenarios.","policy_ids":[],"checked_on":"2026-10-12","verify":false,"owner":"Model author","refresh_trigger":"New model release or changed law/vendor contract"}}]},"policies":{"meta":{"schema_version":"Kit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13.10.2026","data_version":"CR02-2026-10-13-v1","version":"budget","scenario":"all","currency":"EUR","model_start":"2027-01-01","horizon_months":60,"cutoff_date":null,"frozen_on":"2026-10-13","fictional":true},"policies":[{"id":"P01","title":"Service classification and passport","rule":"Non-custodial DE/AT software case: analytics, signals and Pro viewing from M10; regulated copying and routing from licence in DE and licence+1 in AT. Teams for own-account professional users from M25 in every scenario. Authorisation/passport timing and service classification remain [VERIFY].","affected_row_ids":["PERM.COPY.DE","PERM.COPY.AT","PERM.TEAMS.DE"],"status":"to_verify","verify":true,"owner":"Model author","acceptance_status":"pending","accepted_by":null,"accepted_on":null,"evidence":{"provenance":"IA","source_ids":["SRC.T03","SRC.S5.R-001","SRC.S5.R-002","SRC.S5.R-003","SRC.S5.R-012","SRC.S5.R-017","SRC.T04"],"rationale":"Calculation rules of the model. Individual external verification and policy acceptance remain pending.","policy_ids":["P01"],"checked_on":"2026-10-12","verify":true,"owner":"Model author","refresh_trigger":"New model release or changed law/vendor contract"}},{"id":"P02","title":"Prudential expense base and own funds","rule":"Reference base includes COGS, people, Opex, depreciation, note interest and signed income-tax expense; four Art. 67 deductions are zero. Freeze licence..licence+11 application expenses by owner and scenario; switch after twelve months to the prior calendar year. Statutory requirement is MAX(50000,25% of reference expenses), management target 120%. Eligible own funds exclude positive interim profit, intangibles and DTA. No funding plug; legal/accounting application [VERIFY]. The frozen, independently prepared expense projection covers every expense owner, including zero income-tax rows and zero Series B fee owners. The model reconciles its calculation rule R-039 expenses to these vectors as a cross-check.","affected_row_ids":["REG.TOTAL_EXPENSE","REG.REQUIRED","REG.ELIGIBLE_FUNDS"],"status":"to_verify","verify":true,"owner":"Model author","acceptance_status":"pending","accepted_by":null,"accepted_on":null,"evidence":{"provenance":"IA","source_ids":["SRC.T03","SRC.S5.R-039","SRC.S5.R-040","SRC.S5.R-041","SRC.T04","SRC.CR01"],"rationale":"Calculation rules of the model, with the owner decisions of 12.10.2026 and 13.10.2026. Individual external verification and policy acceptance remain pending. The prudential expense projections were prepared independently for the 13.10.2026 data release and frozen; every expense owner, including income tax and the Series B fee owners, has an explicit value in every window month. Snapshots and release metadata were re-frozen with them. The model reconciles its own expenses to these frozen vectors as a cross-check; this is not a feasibility claim.","policy_ids":["P02"],"checked_on":"2026-10-13","verify":true,"owner":"Model author","refresh_trigger":"New model release or changed law/vendor contract"}},{"id":"P03","title":"Principal copy fee and trader supply","rule":"Owner accepted R2 principal treatment and 50% net trader share on 2026-10-12. Full net copy fee is revenue; customer VAT remains on the full fee. Trader expense is paid next month; small supplier share 100%, optional reverse-charge remainder. Retail and external traders are disjoint; KYC is a unique union of first copy/routing eligibility. Connect is charged once per recipient payout. Contract, VAT and payment-services application remain [VERIFY]; no refund, VAT reversal or trader clawback on disputes.","affected_row_ids":["COPY.REVENUE","COPY.TRADER_EXPENSE","COPY.TRADER_AP","COPY.CONNECT_FEE"],"status":"to_verify","verify":true,"owner":"Model author","acceptance_status":"pending","accepted_by":null,"accepted_on":null,"evidence":{"provenance":"IA","source_ids":["SRC.T03","SRC.S5.R-012","SRC.S5.R-013","SRC.S5.R-014","SRC.S5.R-015","SRC.S5.R-020","SRC.S5.R-021","SRC.T04"],"rationale":"Calculation rules of the model. Individual external verification and policy acceptance remain pending.","policy_ids":["P03"],"checked_on":"2026-10-12","verify":true,"owner":"Model author","refresh_trigger":"New model release or changed law/vendor contract"}},{"id":"P04","title":"Store deemed-supplier and commission","rule":"Stores are deemed suppliers and remit destination consumer VAT. R1 recognises net-before-commission revenue; 15% blended commission is expense at billing, store AR settles next month. Apple/Google each 50% of store route. Web fees apply only to web billing. Annual net advances release over twelve service months. Flat commission blend and contractual accounting remain [VERIFY].","affected_row_ids":["SUB.NET_BILLING","SUB.STORE_FEE","SUB.STORE_AR","SUB.CL"],"status":"to_verify","verify":true,"owner":"Model author","acceptance_status":"pending","accepted_by":null,"accepted_on":null,"evidence":{"provenance":"IA","source_ids":["SRC.T03","SRC.S5.R-008","SRC.S5.R-009","SRC.S5.R-010","SRC.S5.R-011","SRC.T04"],"rationale":"Calculation rules of the model. Individual external verification and policy acceptance remain pending.","policy_ids":["P04"],"checked_on":"2026-10-12","verify":true,"owner":"Model author","refresh_trigger":"New model release or changed law/vendor contract"}},{"id":"P05","title":"Supplier VAT and input recovery","rule":"DE B2C VAT 19%, AT B2C 20% via OSS, validated AT B2B reverse charge. Monthly domestic return settles next month (negative refund); OSS settles the previous quarter in Jan/Apr/Jul/Oct. Input VAT is recognised at invoice, recovery 100%; reverse charge has matching output/input. Payroll, public fees, insurance and processor costs carry no input VAT. Founding splits 225 register and 975 VAT-inclusive notary. Supplier classification, recovery and filing/refund assumptions remain [VERIFY].","affected_row_ids":["VAT.OUT_DOM","VAT.OUT_OSS","VAT.INPUT","VAT.DOM_PAID","VAT.OSS_PAID"],"status":"to_verify","verify":true,"owner":"Model author","acceptance_status":"pending","accepted_by":null,"accepted_on":null,"evidence":{"provenance":"IA","source_ids":["SRC.T03","SRC.S5.R-018","SRC.S5.R-019","SRC.S5.R-025","SRC.S5.R-026","SRC.S5.R-030","SRC.T04"],"rationale":"Calculation rules of the model. Individual external verification and policy acceptance remain pending.","policy_ids":["P05"],"checked_on":"2026-10-12","verify":true,"owner":"Model author","refresh_trigger":"New model release or changed law/vendor contract"}},{"id":"P06","title":"Affiliate stream exclusion","rule":"Licensed copy/routed-order rebates are prohibited and zero. The optional self-directed affiliate module is off in every production scenario. Synthetic affiliate-on fixtures do not authorize production use; a new reviewed policy version is required. Potential eligible commission uses disjoint self-directed volume, market index, 10 bps and 20% share.","affected_row_ids":["AFF.REVENUE","AFF.LICENSED_REVENUE"],"status":"to_verify","verify":true,"owner":"Model author","acceptance_status":"pending","accepted_by":null,"accepted_on":null,"evidence":{"provenance":"IA","source_ids":["SRC.T03","SRC.S5.R-016","SRC.T04"],"rationale":"Calculation rules of the model. Individual external verification and policy acceptance remain pending.","policy_ids":["P06"],"checked_on":"2026-10-12","verify":true,"owner":"Model author","refresh_trigger":"New model release or changed law/vendor contract"}},{"id":"P07","title":"Founder payroll and status","rule":"P01/P02 start with 63000 EUR 2026 salary base; seed event replaces it with 85000 and Series A with 115000. Both are exempt managing shareholders until Series A then employees. Events never create hires/recruiting/equipment. Other hiring fixed across scenarios; January raises 3.5%. Contributions use capped per-person salary, employer halves and the current employee-person count &lt;=30 for U1. Future rates and simplified U1 test, founder status and branch treatment remain [VERIFY]; refresh late-2026 publications.","affected_row_ids":["PPL.HEADCOUNT","PPL.SALARY","PPL.TOTAL"],"status":"to_verify","verify":true,"owner":"Model author","acceptance_status":"pending","accepted_by":null,"accepted_on":null,"evidence":{"provenance":"IA","source_ids":["SRC.T03","SRC.S5.R-022","SRC.S5.R-023","SRC.S5.R-024","SRC.T04"],"rationale":"Calculation rules of the model. Individual external verification and policy acceptance remain pending.","policy_ids":["P07"],"checked_on":"2026-10-12","verify":true,"owner":"Model author","refresh_trigger":"New model release or changed law/vendor contract"}},{"id":"P08","title":"Tax and book treatments","rule":"Separate KSt/GewSt annual loss pools; Soli 5.5% of KSt, no third pool. KSt rates and loss quotas follow year tables; Berlin Hebesatz 410. Add back 25% above 200000 weighted financing/rent/licence base. Monthly tax expense is YTD annualised estimate with December true-up; July assessment and prospective quarterly advances keep credit years. Book and tax depreciation equal, bridges/DTA zero; &gt;50% rolling group acquisition is warning only. Accounting, tax and legal treatment [VERIFY].","affected_row_ids":["TAX.KST","TAX.SOLI","TAX.GEWST","TAX.OWNERSHIP_WARNING"],"status":"to_verify","verify":true,"owner":"Model author","acceptance_status":"pending","accepted_by":null,"accepted_on":null,"evidence":{"provenance":"IA","source_ids":["SRC.T03","SRC.S5.R-029","SRC.S5.R-031","SRC.S5.R-032","SRC.S5.R-033","SRC.S5.R-034","SRC.T04"],"rationale":"Calculation rules of the model. Individual external verification and policy acceptance remain pending.","policy_ids":["P08"],"checked_on":"2026-10-12","verify":true,"owner":"Model author","refresh_trigger":"New model release or changed law/vendor contract"}},{"id":"P09","title":"Funding and share terms","rule":"Fictional financing: 25000 initial capital and 1000000 note in M1, 4000000 seed at 8000000 pre-money M8, 12000000 Series A at 20000000 pre-money M19 with signing M15. Note 5% simple, 20% discount, 5000000 cap, qualified threshold 1000000; maturity at start M19. Closed-form pricing precedes whole-share floors; full liability converts, no conversion-month interest. VSOP is memo only. Alternate path removes all future rounds after June 2027 and dependent founder events. SKR04 edition/local-code mapping and legal/accounting terms [VERIFY]. Design rule: separate INITIAL.P01/P02 receipts of 12500 EUR and 12500 nominal shares each; when both rounds exist seed must be no later than A. At equal months process maturity, seed/conversion, seed pool, A, A pool; A prices from actual issued shares immediately before A, excluding VSOP. Indirect CFO uses change in domestic VAT liability minus asset, adding back capex/round recoverable VAT once at recognition whether it increases an asset or reduces a liability; gross payments remain CFI/CFF. Optional Series B (no event in the shipped plan since the owner decision of 13.10.2026): if a user adds a SERIES_B event, B prices on actual issued shares with the event's cash and signing months, for a separate unrelated B_INVESTOR group. A must be no later than B; same-month B follows A and its pool. Whole B shares receive EUR1 nominal each, residual proceeds go to reserve; after B top up the memo pool to ROUNDDOWN(.14/.86*issued_after_B,0), never shrink it. Notary EUR25000 and legal EUR120000 are net expenses under calculation rule R-026, paid with VAT at the round, and included in contingency. On the alternate path remove B, both fees and dependent effects; keep past events.","affected_row_ids":["FUND.ISSUED","FUND.SHARE_CAPITAL","FUND.RESERVE","LIQ.CASH_NO_FUTURE_ROUNDS","FUND.B_PRICE","FUND.B_SHARES","FUND.VSOP","FUND.OWNERSHIP","OPX.ROUND_COSTS.B.NOTARY","OPX.ROUND_COSTS.B.LEGAL"],"status":"to_verify","verify":true,"owner":"Model author","acceptance_status":"pending","accepted_by":null,"accepted_on":null,"evidence":{"provenance":"IA","source_ids":["SRC.T03","SRC.S5.R-026","SRC.S5.R-035","SRC.S5.R-036","SRC.S5.R-037","SRC.S5.R-038","SRC.S5.R-042","SRC.S5.R-043","SRC.T04","SRC.CR01"],"rationale":"Calculation rules of the model. Individual external verification and policy acceptance remain pending. The owner decisions of 12.10.2026 and 13.10.2026 amend the funding rules; external policy acceptance remains pending.","policy_ids":["P09"],"checked_on":"2026-10-13","verify":true,"owner":"Model author","refresh_trigger":"New model release or changed law/vendor contract"}},{"id":"P10","title":"Audit from licence year","rule":"CASP audit starts in licence calendar year, allocating the full annual scenario amount across licence..December, then annual/12. Running regulatory costs start at licence; pre-insurance ends immediately before it. LEGAL_APP M1-12 and DORA_SETUP M4-12 budgets do not extend on delay. BaFin fee paid at licence. Minimum levy carried through the horizon is IA; final audit/levy law and contract applicability [VERIFY].","affected_row_ids":["OPX.REG.AUDIT","OPX.REG.LEVY"],"status":"to_verify","verify":true,"owner":"Model author","acceptance_status":"pending","accepted_by":null,"accepted_on":null,"evidence":{"provenance":"IA","source_ids":["SRC.T03","SRC.S5.R-027","SRC.T04"],"rationale":"Calculation rules of the model. Individual external verification and policy acceptance remain pending.","policy_ids":["P10"],"checked_on":"2026-10-12","verify":true,"owner":"Model author","refresh_trigger":"New model release or changed law/vendor contract"}}],"prudential_projections":[{"scenario":"base","application_month":6,"licence_month":13,"start_month":13,"end_month":24,"basis":"frozen_application_plan","frozen_on":"2026-10-13","input_snapshot_id":"SNAP.PRE_PROJECTION","expenses":[{"month":13,"expense_row_id":"CAP.DEPRECIATION.FITOUT","expense_eur":0,"deduction_category":"none"},{"month":13,"expense_row_id":"CAP.DEPRECIATION.IT","expense_eur":972.2222222222222,"deduction_category":"none"},{"month":13,"expense_row_id":"COGS.BILLING","expense_eur":53.0222729545856,"deduction_category":"none"},{"month":13,"expense_row_id":"COGS.CLOUD_FIXED","expense_eur":1500,"deduction_category":"none"},{"month":13,"expense_row_id":"COGS.CLOUD_VARIABLE","expense_eur":342.91693108636366,"deduction_category":"none"},{"month":13,"expense_row_id":"COGS.DISPUTE","expense_eur":39.16369037246317,"deduction_category":"none"},{"month":13,"expense_row_id":"COGS.FRAUD","expense_eur":8.478318412642176,"deduction_category":"none"},{"month":13,"expense_row_id":"COGS.KYC_MINIMUM","expense_eur":0,"deduction_category":"none"},{"month":13,"expense_row_id":"COGS.KYC_VARIABLE","expense_eur":280.1734288172104,"deduction_category":"none"},{"month":13,"expense_row_id":"COGS.MDATA","expense_eur":868.695652173913,"deduction_category":"none"},{"month":13,"expense_row_id":"COGS.PROCESSOR","expense_eur":182.11856927380572,"deduction_category":"none"},{"month":13,"expense_row_id":"COGS.SUPPORT","expense_eur":342.91693108636366,"deduction_category":"none"},{"month":13,"expense_row_id":"COPY.CONNECT_FEE","expense_eur":0,"deduction_category":"none"},{"month":13,"expense_row_id":"COPY.TRADER_EXPENSE","expense_eur":842.4626112738654,"deduction_category":"none"},{"month":13,"expense_row_id":"FUND.NOTE_EXPENSE","expense_eur":0,"deduction_category":"none"},{"month":13,"expense_row_id":"OPX.ACCOUNTS","expense_eur":0,"deduction_category":"none"},{"month":13,"expense_row_id":"OPX.BOOKKEEP","expense_eur":4000,"deduction_category":"none"},{"month":13,"expense_row_id":"OPX.BRAND","expense_eur":10000,"deduction_category":"none"},{"month":13,"expense_row_id":"OPX.CONTEST","expense_eur":5000,"deduction_category":"none"},{"month":13,"expense_row_id":"OPX.CONTINGENCY","expense_eur":2609.2704166666667,"deduction_category":"none"},{"month":13,"expense_row_id":"OPX.DESK","expense_eur":4186,"deduction_category":"none"},{"month":13,"expense_row_id":"OPX.FOUNDING.NOTARY","expense_eur":0,"deduction_category":"none"},{"month":13,"expense_row_id":"OPX.FOUNDING.REGISTER","expense_eur":0,"deduction_category":"none"},{"month":13,"expense_row_id":"OPX.IHK","expense_eur":9.166666666666666,"deduction_category":"none"},{"month":13,"expense_row_id":"OPX.INS_PRE","expense_eur":0,"deduction_category":"none"},{"month":13,"expense_row_id":"OPX.MARKETING","expense_eur":80000,"deduction_category":"none"},{"month":13,"expense_row_id":"OPX.MISC","expense_eur":4000,"deduction_category":"none"},{"month":13,"expense_row_id":"OPX.OFFICE","expense_eur":0,"deduction_category":"none"},{"month":13,"expense_row_id":"OPX.PAYROLL","expense_eur":350,"deduction_category":"none"},{"month":13,"expense_row_id":"OPX.RECRUIT","expense_eur":7798.575,"deduction_category":"none"},{"month":13,"expense_row_id":"OPX.REFERRAL","expense_eur":232.94561727272728,"deduction_category":"none"},{"month":13,"expense_row_id":"OPX.REG.AUDIT","expense_eur":6666.666666666667,"deduction_category":"none"},{"month":13,"expense_row_id":"OPX.REG.BAFIN_FEE","expense_eur":25000,"deduction_category":"none"},{"month":13,"expense_row_id":"OPX.REG.DORA_SETUP","expense_eur":0,"deduction_category":"none"},{"month":13,"expense_row_id":"OPX.REG.DORA_TEST","expense_eur":2500,"deduction_category":"none"},{"month":13,"expense_row_id":"OPX.REG.INSURANCE","expense_eur":3333.3333333333335,"deduction_category":"none"},{"month":13,"expense_row_id":"OPX.REG.INT_AUDIT","expense_eur":2916.6666666666665,"deduction_category":"none"},{"month":13,"expense_row_id":"OPX.REG.LEGAL_APP","expense_eur":0,"deduction_category":"none"},{"month":13,"expense_row_id":"OPX.REG.LEGAL_RUN","expense_eur":6250,"deduction_category":"none"},{"month":13,"expense_row_id":"OPX.REG.LEVY","expense_eur":541.6666666666666,"deduction_category":"none"},{"month":13,"expense_row_id":"OPX.REG.SURVEIL","expense_eur":3333.3333333333335,"deduction_category":"none"},{"month":13,"expense_row_id":"OPX.ROUND_COSTS.A","expense_eur":0,"deduction_category":"none"},{"month":13,"expense_row_id":"OPX.ROUND_COSTS.B.LEGAL","expense_eur":0,"deduction_category":"none"},{"month":13,"expense_row_id":"OPX.ROUND_COSTS.B.NOTARY","expense_eur":0,"deduction_category":"none"},{"month":13,"expense_row_id":"OPX.ROUND_COSTS.SEED","expense_eur":0,"deduction_category":"none"},{"month":13,"expense_row_id":"OPX.SOFTWARE","expense_eur":6300,"deduction_category":"none"},{"month":13,"expense_row_id":"PPL.AV","expense_eur":1040.96289375,"deduction_category":"none"},{"month":13,"expense_row_id":"PPL.BG","expense_eur":240.22220625,"deduction_category":"none"},{"month":13,"expense_row_id":"PPL.INSOLV","expense_eur":120.111103125,"deduction_category":"none"},{"month":13,"expense_row_id":"PPL.KV","expense_eur":6437.868890625,"deduction_category":"none"},{"month":13,"expense_row_id":"PPL.PV","expense_eur":1309.3970625,"deduction_category":"none"},{"month":13,"expense_row_id":"PPL.RV","expense_eur":7967.369840625,"deduction_category":"none"},{"month":13,"expense_row_id":"PPL.SALARY","expense_eur":95249.75625,"deduction_category":"none"},{"month":13,"expense_row_id":"PPL.U1","expense_eur":1681.55544375,"deduction_category":"none"},{"month":13,"expense_row_id":"PPL.U2","expense_eur":352.3259025,"deduction_category":"none"},{"month":13,"expense_row_id":"SUB.STORE_FEE","expense_eur":467.63933748564267,"deduction_category":"none"},{"month":13,"expense_row_id":"TAX.GEWST","expense_eur":0,"deduction_category":"none"},{"month":13,"expense_row_id":"TAX.KST","expense_eur":0,"deduction_category":"none"},{"month":13,"expense_row_id":"TAX.SOLI","expense_eur":0,"deduction_category":"none"},{"month":14,"expense_row_id":"CAP.DEPRECIATION.FITOUT","expense_eur":0,"deduction_category":"none"},{"month":14,"expense_row_id":"CAP.DEPRECIATION.IT","expense_eur":972.2222222222222,"deduction_category":"none"},{"month":14,"expense_row_id":"COGS.BILLING","expense_eur":76.58317614671493,"deduction_category":"none"},{"month":14,"expense_row_id":"COGS.CLOUD_FIXED","expense_eur":1500,"deduction_category":"none"},{"month":14,"expense_row_id":"COGS.CLOUD_VARIABLE","expense_eur":438.2652095613409,"deduction_category":"none"},{"month":14,"expense_row_id":"COGS.DISPUTE","expense_eur":59.33213255721346,"deduction_category":"none"},{"month":14,"expense_row_id":"COGS.FRAUD","expense_eur":14.130385541647073,"deduction_category":"none"},{"month":14,"expense_row_id":"COGS.KYC_MINIMUM","expense_eur":0,"deduction_category":"none"},{"month":14,"expense_row_id":"COGS.KYC_VARIABLE","expense_eur":268.06269442392846,"deduction_category":"none"},{"month":14,"expense_row_id":"COGS.MDATA","expense_eur":868.695652173913,"deduction_category":"none"},{"month":14,"expense_row_id":"COGS.PROCESSOR","expense_eur":274.5683533265019,"deduction_category":"none"},{"month":14,"expense_row_id":"COGS.SUPPORT","expense_eur":438.2652095613409,"deduction_category":"none"},{"month":14,"expense_row_id":"COPY.CONNECT_FEE","expense_eur":77.59018249727842,"deduction_category":"none"},{"month":14,"expense_row_id":"COPY.TRADER_EXPENSE","expense_eur":1816.672150256896,"deduction_category":"none"},{"month":14,"expense_row_id":"FUND.NOTE_EXPENSE","expense_eur":0,"deduction_category":"none"},{"month":14,"expense_row_id":"OPX.ACCOUNTS","expense_eur":0,"deduction_category":"none"},{"month":14,"expense_row_id":"OPX.BOOKKEEP","expense_eur":4000,"deduction_category":"none"},{"month":14,"expense_row_id":"OPX.BRAND","expense_eur":10000,"deduction_category":"none"},{"month":14,"expense_row_id":"OPX.CONTEST","expense_eur":5000,"deduction_category":"none"},{"month":14,"expense_row_id":"OPX.CONTINGENCY","expense_eur":2219.3416666666667,"deduction_category":"none"},{"month":14,"expense_row_id":"OPX.DESK","expense_eur":4186,"deduction_category":"none"},{"month":14,"expense_row_id":"OPX.FOUNDING.NOTARY","expense_eur":0,"deduction_category":"none"},{"month":14,"expense_row_id":"OPX.FOUNDING.REGISTER","expense_eur":0,"deduction_category":"none"},{"month":14,"expense_row_id":"OPX.IHK","expense_eur":9.166666666666666,"deduction_category":"none"},{"month":14,"expense_row_id":"OPX.INS_PRE","expense_eur":0,"deduction_category":"none"},{"month":14,"expense_row_id":"OPX.MARKETING","expense_eur":80000,"deduction_category":"none"},{"month":14,"expense_row_id":"OPX.MISC","expense_eur":4000,"deduction_category":"none"},{"month":14,"expense_row_id":"OPX.OFFICE","expense_eur":0,"deduction_category":"none"},{"month":14,"expense_row_id":"OPX.PAYROLL","expense_eur":350,"deduction_category":"none"},{"month":14,"expense_row_id":"OPX.RECRUIT","expense_eur":0,"deduction_category":"none"},{"month":14,"expense_row_id":"OPX.REFERRAL","expense_eur":342.91693108636366,"deduction_category":"none"},{"month":14,"expense_row_id":"OPX.REG.AUDIT","expense_eur":6666.666666666667,"deduction_category":"none"},{"month":14,"expense_row_id":"OPX.REG.BAFIN_FEE","expense_eur":0,"deduction_category":"none"},{"month":14,"expense_row_id":"OPX.REG.DORA_SETUP","expense_eur":0,"deduction_category":"none"},{"month":14,"expense_row_id":"OPX.REG.DORA_TEST","expense_eur":2500,"deduction_category":"none"},{"month":14,"expense_row_id":"OPX.REG.INSURANCE","expense_eur":3333.3333333333335,"deduction_category":"none"},{"month":14,"expense_row_id":"OPX.REG.INT_AUDIT","expense_eur":2916.6666666666665,"deduction_category":"none"},{"month":14,"expense_row_id":"OPX.REG.LEGAL_APP","expense_eur":0,"deduction_category":"none"},{"month":14,"expense_row_id":"OPX.REG.LEGAL_RUN","expense_eur":6250,"deduction_category":"none"},{"month":14,"expense_row_id":"OPX.REG.LEVY","expense_eur":541.6666666666666,"deduction_category":"none"},{"month":14,"expense_row_id":"OPX.REG.SURVEIL","expense_eur":3333.3333333333335,"deduction_category":"none"},{"month":14,"expense_row_id":"OPX.ROUND_COSTS.A","expense_eur":0,"deduction_category":"none"},{"month":14,"expense_row_id":"OPX.ROUND_COSTS.B.LEGAL","expense_eur":0,"deduction_category":"none"},{"month":14,"expense_row_id":"OPX.ROUND_COSTS.B.NOTARY","expense_eur":0,"deduction_category":"none"},{"month":14,"expense_row_id":"OPX.ROUND_COSTS.SEED","expense_eur":0,"deduction_category":"none"},{"month":14,"expense_row_id":"OPX.SOFTWARE","expense_eur":6300,"deduction_category":"none"},{"month":14,"expense_row_id":"PPL.AV","expense_eur":1040.96289375,"deduction_category":"none"},{"month":14,"expense_row_id":"PPL.BG","expense_eur":240.22220625,"deduction_category":"none"},{"month":14,"expense_row_id":"PPL.INSOLV","expense_eur":120.111103125,"deduction_category":"none"},{"month":14,"expense_row_id":"PPL.KV","expense_eur":6437.868890625,"deduction_category":"none"},{"month":14,"expense_row_id":"PPL.PV","expense_eur":1309.3970625,"deduction_category":"none"},{"month":14,"expense_row_id":"PPL.RV","expense_eur":7967.369840625,"deduction_category":"none"},{"month":14,"expense_row_id":"PPL.SALARY","expense_eur":95249.75625,"deduction_category":"none"},{"month":14,"expense_row_id":"PPL.U1","expense_eur":1681.55544375,"deduction_category":"none"},{"month":14,"expense_row_id":"PPL.U2","expense_eur":352.3259025,"deduction_category":"none"},{"month":14,"expense_row_id":"SUB.STORE_FEE","expense_eur":555.3688459658281,"deduction_category":"none"},{"month":14,"expense_row_id":"TAX.GEWST","expense_eur":0,"deduction_category":"none"},{"month":14,"expense_row_id":"TAX.KST","expense_eur":0,"deduction_category":"none"},{"month":14,"expense_row_id":"TAX.SOLI","expense_eur":0,"deduction_category":"none"},{"month":15,"expense_row_id":"CAP.DEPRECIATION.FITOUT","expense_eur":0,"deduction_category":"none"},{"month":15,"expense_row_id":"CAP.DEPRECIATION.IT","expense_eur":972.2222222222222,"deduction_category":"none"},{"month":15,"expense_row_id":"COGS.BILLING","expense_eur":100.48336891667934,"deduction_category":"none"},{"month":15,"expense_row_id":"COGS.CLOUD_FIXED","expense_eur":1500,"deduction_category":"none"},{"month":15,"expense_row_id":"COGS.CLOUD_VARIABLE","expense_eur":526.823061190109,"deduction_category":"none"},{"month":15,"expense_row_id":"COGS.DISPUTE","expense_eur":79.98438210690806,"deduction_category":"none"},{"month":15,"expense_row_id":"COGS.FRAUD","expense_eur":20.02799533456714,"deduction_category":"none"},{"month":15,"expense_row_id":"COGS.KYC_MINIMUM","expense_eur":0,"deduction_category":"none"},{"month":15,"expense_row_id":"COGS.KYC_VARIABLE","expense_eur":292.10272746186615,"deduction_category":"none"},{"month":15,"expense_row_id":"COGS.MDATA","expense_eur":868.695652173913,"deduction_category":"none"},{"month":15,"expense_row_id":"COGS.PROCESSOR","expense_eur":369.1551762490262,"deduction_category":"none"},{"month":15,"expense_row_id":"COGS.SUPPORT","expense_eur":526.823061190109,"deduction_category":"none"},{"month":15,"expense_row_id":"COPY.CONNECT_FEE","expense_eur":117.10219404348902,"deduction_category":"none"},{"month":15,"expense_row_id":"COPY.TRADER_EXPENSE","expense_eur":2848.0947948902467,"deduction_category":"none"},{"month":15,"expense_row_id":"FUND.NOTE_EXPENSE","expense_eur":0,"deduction_category":"none"},{"month":15,"expense_row_id":"OPX.ACCOUNTS","expense_eur":0,"deduction_category":"none"},{"month":15,"expense_row_id":"OPX.BOOKKEEP","expense_eur":4000,"deduction_category":"none"},{"month":15,"expense_row_id":"OPX.BRAND","expense_eur":10000,"deduction_category":"none"},{"month":15,"expense_row_id":"OPX.CONTEST","expense_eur":5000,"deduction_category":"none"},{"month":15,"expense_row_id":"OPX.CONTINGENCY","expense_eur":2219.3416666666667,"deduction_category":"none"},{"month":15,"expense_row_id":"OPX.DESK","expense_eur":4186,"deduction_category":"none"},{"month":15,"expense_row_id":"OPX.FOUNDING.NOTARY","expense_eur":0,"deduction_category":"none"},{"month":15,"expense_row_id":"OPX.FOUNDING.REGISTER","expense_eur":0,"deduction_category":"none"},{"month":15,"expense_row_id":"OPX.IHK","expense_eur":9.166666666666666,"deduction_category":"none"},{"month":15,"expense_row_id":"OPX.INS_PRE","expense_eur":0,"deduction_category":"none"},{"month":15,"expense_row_id":"OPX.MARKETING","expense_eur":80000,"deduction_category":"none"},{"month":15,"expense_row_id":"OPX.MISC","expense_eur":4000,"deduction_category":"none"},{"month":15,"expense_row_id":"OPX.OFFICE","expense_eur":0,"deduction_category":"none"},{"month":15,"expense_row_id":"OPX.PAYROLL","expense_eur":350,"deduction_category":"none"},{"month":15,"expense_row_id":"OPX.RECRUIT","expense_eur":0,"deduction_category":"none"},{"month":15,"expense_row_id":"OPX.REFERRAL","expense_eur":438.2652095613409,"deduction_category":"none"},{"month":15,"expense_row_id":"OPX.REG.AUDIT","expense_eur":6666.666666666667,"deduction_category":"none"},{"month":15,"expense_row_id":"OPX.REG.BAFIN_FEE","expense_eur":0,"deduction_category":"none"},{"month":15,"expense_row_id":"OPX.REG.DORA_SETUP","expense_eur":0,"deduction_category":"none"},{"month":15,"expense_row_id":"OPX.REG.DORA_TEST","expense_eur":2500,"deduction_category":"none"},{"month":15,"expense_row_id":"OPX.REG.INSURANCE","expense_eur":3333.3333333333335,"deduction_category":"none"},{"month":15,"expense_row_id":"OPX.REG.INT_AUDIT","expense_eur":2916.6666666666665,"deduction_category":"none"},{"month":15,"expense_row_id":"OPX.REG.LEGAL_APP","expense_eur":0,"deduction_category":"none"},{"month":15,"expense_row_id":"OPX.REG.LEGAL_RUN","expense_eur":6250,"deduction_category":"none"},{"month":15,"expense_row_id":"OPX.REG.LEVY","expense_eur":541.6666666666666,"deduction_category":"none"},{"month":15,"expense_row_id":"OPX.REG.SURVEIL","expense_eur":3333.3333333333335,"deduction_category":"none"},{"month":15,"expense_row_id":"OPX.ROUND_COSTS.A","expense_eur":0,"deduction_category":"none"},{"month":15,"expense_row_id":"OPX.ROUND_COSTS.B.LEGAL","expense_eur":0,"deduction_category":"none"},{"month":15,"expense_row_id":"OPX.ROUND_COSTS.B.NOTARY","expense_eur":0,"deduction_category":"none"},{"month":15,"expense_row_id":"OPX.ROUND_COSTS.SEED","expense_eur":0,"deduction_category":"none"},{"month":15,"expense_row_id":"OPX.SOFTWARE","expense_eur":6300,"deduction_category":"none"},{"month":15,"expense_row_id":"PPL.AV","expense_eur":1040.96289375,"deduction_category":"none"},{"month":15,"expense_row_id":"PPL.BG","expense_eur":240.22220625,"deduction_category":"none"},{"month":15,"expense_row_id":"PPL.INSOLV","expense_eur":120.111103125,"deduction_category":"none"},{"month":15,"expense_row_id":"PPL.KV","expense_eur":6437.868890625,"deduction_category":"none"},{"month":15,"expense_row_id":"PPL.PV","expense_eur":1309.3970625,"deduction_category":"none"},{"month":15,"expense_row_id":"PPL.RV","expense_eur":7967.369840625,"deduction_category":"none"},{"month":15,"expense_row_id":"PPL.SALARY","expense_eur":95249.75625,"deduction_category":"none"},{"month":15,"expense_row_id":"PPL.U1","expense_eur":1681.55544375,"deduction_category":"none"},{"month":15,"expense_row_id":"PPL.U2","expense_eur":352.3259025,"deduction_category":"none"},{"month":15,"expense_row_id":"SUB.STORE_FEE","expense_eur":635.7437189294083,"deduction_category":"none"},{"month":15,"expense_row_id":"TAX.GEWST","expense_eur":0,"deduction_category":"none"},{"month":15,"expense_row_id":"TAX.KST","expense_eur":0,"deduction_category":"none"},{"month":15,"expense_row_id":"TAX.SOLI","expense_eur":0,"deduction_category":"none"},{"month":16,"expense_row_id":"CAP.DEPRECIATION.FITOUT","expense_eur":0,"deduction_category":"none"},{"month":16,"expense_row_id":"CAP.DEPRECIATION.IT","expense_eur":972.2222222222222,"deduction_category":"none"},{"month":16,"expense_row_id":"COGS.BILLING","expense_eur":125.4779828844929,"deduction_category":"none"},{"month":16,"expense_row_id":"COGS.CLOUD_FIXED","expense_eur":1500,"deduction_category":"none"},{"month":16,"expense_row_id":"COGS.CLOUD_VARIABLE","expense_eur":612.15590545801,"deduction_category":"none"},{"month":16,"expense_row_id":"COGS.DISPUTE","expense_eur":101.6000981731906,"deduction_category":"none"},{"month":16,"expense_row_id":"COGS.FRAUD","expense_eur":26.241801175513046,"deduction_category":"none"},{"month":16,"expense_row_id":"COGS.KYC_MINIMUM","expense_eur":0,"deduction_category":"none"},{"month":16,"expense_row_id":"COGS.KYC_VARIABLE","expense_eur":324.4188380165367,"deduction_category":"none"},{"month":16,"expense_row_id":"COGS.MDATA","expense_eur":868.695652173913,"deduction_category":"none"},{"month":16,"expense_row_id":"COGS.PROCESSOR","expense_eur":468.1473077041845,"deduction_category":"none"},{"month":16,"expense_row_id":"COGS.SUPPORT","expense_eur":612.15590545801,"deduction_category":"none"},{"month":16,"expense_row_id":"COPY.CONNECT_FEE","expense_eur":152.29401498627362,"deduction_category":"none"},{"month":16,"expense_row_id":"COPY.TRADER_EXPENSE","expense_eur":3956.135743922746,"deduction_category":"none"},{"month":16,"expense_row_id":"FUND.NOTE_EXPENSE","expense_eur":0,"deduction_category":"none"},{"month":16,"expense_row_id":"OPX.ACCOUNTS","expense_eur":0,"deduction_category":"none"},{"month":16,"expense_row_id":"OPX.BOOKKEEP","expense_eur":4000,"deduction_category":"none"},{"month":16,"expense_row_id":"OPX.BRAND","expense_eur":10000,"deduction_category":"none"},{"month":16,"expense_row_id":"OPX.CONTEST","expense_eur":5000,"deduction_category":"none"},{"month":16,"expense_row_id":"OPX.CONTINGENCY","expense_eur":2219.3416666666667,"deduction_category":"none"},{"month":16,"expense_row_id":"OPX.DESK","expense_eur":4186,"deduction_category":"none"},{"month":16,"expense_row_id":"OPX.FOUNDING.NOTARY","expense_eur":0,"deduction_category":"none"},{"month":16,"expense_row_id":"OPX.FOUNDING.REGISTER","expense_eur":0,"deduction_category":"none"},{"month":16,"expense_row_id":"OPX.IHK","expense_eur":9.166666666666666,"deduction_category":"none"},{"month":16,"expense_row_id":"OPX.INS_PRE","expense_eur":0,"deduction_category":"none"},{"month":16,"expense_row_id":"OPX.MARKETING","expense_eur":80000,"deduction_category":"none"},{"month":16,"expense_row_id":"OPX.MISC","expense_eur":4000,"deduction_category":"none"},{"month":16,"expense_row_id":"OPX.OFFICE","expense_eur":0,"deduction_category":"none"},{"month":16,"expense_row_id":"OPX.PAYROLL","expense_eur":350,"deduction_category":"none"},{"month":16,"expense_row_id":"OPX.RECRUIT","expense_eur":0,"deduction_category":"none"},{"month":16,"expense_row_id":"OPX.REFERRAL","expense_eur":526.823061190109,"deduction_category":"none"},{"month":16,"expense_row_id":"OPX.REG.AUDIT","expense_eur":6666.666666666667,"deduction_category":"none"},{"month":16,"expense_row_id":"OPX.REG.BAFIN_FEE","expense_eur":0,"deduction_category":"none"},{"month":16,"expense_row_id":"OPX.REG.DORA_SETUP","expense_eur":0,"deduction_category":"none"},{"month":16,"expense_row_id":"OPX.REG.DORA_TEST","expense_eur":2500,"deduction_category":"none"},{"month":16,"expense_row_id":"OPX.REG.INSURANCE","expense_eur":3333.3333333333335,"deduction_category":"none"},{"month":16,"expense_row_id":"OPX.REG.INT_AUDIT","expense_eur":2916.6666666666665,"deduction_category":"none"},{"month":16,"expense_row_id":"OPX.REG.LEGAL_APP","expense_eur":0,"deduction_category":"none"},{"month":16,"expense_row_id":"OPX.REG.LEGAL_RUN","expense_eur":6250,"deduction_category":"none"},{"month":16,"expense_row_id":"OPX.REG.LEVY","expense_eur":541.6666666666666,"deduction_category":"none"},{"month":16,"expense_row_id":"OPX.REG.SURVEIL","expense_eur":3333.3333333333335,"deduction_category":"none"},{"month":16,"expense_row_id":"OPX.ROUND_COSTS.A","expense_eur":0,"deduction_category":"none"},{"month":16,"expense_row_id":"OPX.ROUND_COSTS.B.LEGAL","expense_eur":0,"deduction_category":"none"},{"month":16,"expense_row_id":"OPX.ROUND_COSTS.B.NOTARY","expense_eur":0,"deduction_category":"none"},{"month":16,"expense_row_id":"OPX.ROUND_COSTS.SEED","expense_eur":0,"deduction_category":"none"},{"month":16,"expense_row_id":"OPX.SOFTWARE","expense_eur":6300,"deduction_category":"none"},{"month":16,"expense_row_id":"PPL.AV","expense_eur":1040.96289375,"deduction_category":"none"},{"month":16,"expense_row_id":"PPL.BG","expense_eur":240.22220625,"deduction_category":"none"},{"month":16,"expense_row_id":"PPL.INSOLV","expense_eur":120.111103125,"deduction_category":"none"},{"month":16,"expense_row_id":"PPL.KV","expense_eur":6437.868890625,"deduction_category":"none"},{"month":16,"expense_row_id":"PPL.PV","expense_eur":1309.3970625,"deduction_category":"none"},{"month":16,"expense_row_id":"PPL.RV","expense_eur":7967.369840625,"deduction_category":"none"},{"month":16,"expense_row_id":"PPL.SALARY","expense_eur":95249.75625,"deduction_category":"none"},{"month":16,"expense_row_id":"PPL.U1","expense_eur":1681.55544375,"deduction_category":"none"},{"month":16,"expense_row_id":"PPL.U2","expense_eur":352.3259025,"deduction_category":"none"},{"month":16,"expense_row_id":"SUB.STORE_FEE","expense_eur":713.9280875204748,"deduction_category":"none"},{"month":16,"expense_row_id":"TAX.GEWST","expense_eur":0,"deduction_category":"none"},{"month":16,"expense_row_id":"TAX.KST","expense_eur":0,"deduction_category":"none"},{"month":16,"expense_row_id":"TAX.SOLI","expense_eur":0,"deduction_category":"none"},{"month":17,"expense_row_id":"CAP.DEPRECIATION.FITOUT","expense_eur":0,"deduction_category":"none"},{"month":17,"expense_row_id":"CAP.DEPRECIATION.IT","expense_eur":972.2222222222222,"deduction_category":"none"},{"month":17,"expense_row_id":"COGS.BILLING","expense_eur":151.304499843689,"deduction_category":"none"},{"month":17,"expense_row_id":"COGS.CLOUD_FIXED","expense_eur":1500,"deduction_category":"none"},{"month":17,"expense_row_id":"COGS.CLOUD_VARIABLE","expense_eur":694.005493727582,"deduction_category":"none"},{"month":17,"expense_row_id":"COGS.DISPUTE","expense_eur":123.9422369810433,"deduction_category":"none"},{"month":17,"expense_row_id":"COGS.FRAUD","expense_eur":32.700520018866214,"deduction_category":"none"},{"month":17,"expense_row_id":"COGS.KYC_MINIMUM","expense_eur":0,"deduction_category":"none"},{"month":17,"expense_row_id":"COGS.KYC_VARIABLE","expense_eur":355.4665604422,"deduction_category":"none"},{"month":17,"expense_row_id":"COGS.MDATA","expense_eur":868.695652173913,"deduction_category":"none"},{"month":17,"expense_row_id":"COGS.PROCESSOR","expense_eur":570.4633087937598,"deduction_category":"none"},{"month":17,"expense_row_id":"COGS.SUPPORT","expense_eur":694.005493727582,"deduction_category":"none"},{"month":17,"expense_row_id":"COPY.CONNECT_FEE","expense_eur":185.72994299449806,"deduction_category":"none"},{"month":17,"expense_row_id":"COPY.TRADER_EXPENSE","expense_eur":5124.023675448426,"deduction_category":"none"},{"month":17,"expense_row_id":"FUND.NOTE_EXPENSE","expense_eur":0,"deduction_category":"none"},{"month":17,"expense_row_id":"OPX.ACCOUNTS","expense_eur":0,"deduction_category":"none"},{"month":17,"expense_row_id":"OPX.BOOKKEEP","expense_eur":4000,"deduction_category":"none"},{"month":17,"expense_row_id":"OPX.BRAND","expense_eur":10000,"deduction_category":"none"},{"month":17,"expense_row_id":"OPX.CONTEST","expense_eur":5000,"deduction_category":"none"},{"month":17,"expense_row_id":"OPX.CONTINGENCY","expense_eur":2219.3416666666667,"deduction_category":"none"},{"month":17,"expense_row_id":"OPX.DESK","expense_eur":4186,"deduction_category":"none"},{"month":17,"expense_row_id":"OPX.FOUNDING.NOTARY","expense_eur":0,"deduction_category":"none"},{"month":17,"expense_row_id":"OPX.FOUNDING.REGISTER","expense_eur":0,"deduction_category":"none"},{"month":17,"expense_row_id":"OPX.IHK","expense_eur":9.166666666666666,"deduction_category":"none"},{"month":17,"expense_row_id":"OPX.INS_PRE","expense_eur":0,"deduction_category":"none"},{"month":17,"expense_row_id":"OPX.MARKETING","expense_eur":80000,"deduction_category":"none"},{"month":17,"expense_row_id":"OPX.MISC","expense_eur":4000,"deduction_category":"none"},{"month":17,"expense_row_id":"OPX.OFFICE","expense_eur":0,"deduction_category":"none"},{"month":17,"expense_row_id":"OPX.PAYROLL","expense_eur":350,"deduction_category":"none"},{"month":17,"expense_row_id":"OPX.RECRUIT","expense_eur":0,"deduction_category":"none"},{"month":17,"expense_row_id":"OPX.REFERRAL","expense_eur":612.15590545801,"deduction_category":"none"},{"month":17,"expense_row_id":"OPX.REG.AUDIT","expense_eur":6666.666666666667,"deduction_category":"none"},{"month":17,"expense_row_id":"OPX.REG.BAFIN_FEE","expense_eur":0,"deduction_category":"none"},{"month":17,"expense_row_id":"OPX.REG.DORA_SETUP","expense_eur":0,"deduction_category":"none"},{"month":17,"expense_row_id":"OPX.REG.DORA_TEST","expense_eur":2500,"deduction_category":"none"},{"month":17,"expense_row_id":"OPX.REG.INSURANCE","expense_eur":3333.3333333333335,"deduction_category":"none"},{"month":17,"expense_row_id":"OPX.REG.INT_AUDIT","expense_eur":2916.6666666666665,"deduction_category":"none"},{"month":17,"expense_row_id":"OPX.REG.LEGAL_APP","expense_eur":0,"deduction_category":"none"},{"month":17,"expense_row_id":"OPX.REG.LEGAL_RUN","expense_eur":6250,"deduction_category":"none"},{"month":17,"expense_row_id":"OPX.REG.LEVY","expense_eur":541.6666666666666,"deduction_category":"none"},{"month":17,"expense_row_id":"OPX.REG.SURVEIL","expense_eur":3333.3333333333335,"deduction_category":"none"},{"month":17,"expense_row_id":"OPX.ROUND_COSTS.A","expense_eur":0,"deduction_category":"none"},{"month":17,"expense_row_id":"OPX.ROUND_COSTS.B.LEGAL","expense_eur":0,"deduction_category":"none"},{"month":17,"expense_row_id":"OPX.ROUND_COSTS.B.NOTARY","expense_eur":0,"deduction_category":"none"},{"month":17,"expense_row_id":"OPX.ROUND_COSTS.SEED","expense_eur":0,"deduction_category":"none"},{"month":17,"expense_row_id":"OPX.SOFTWARE","expense_eur":6300,"deduction_category":"none"},{"month":17,"expense_row_id":"PPL.AV","expense_eur":1040.96289375,"deduction_category":"none"},{"month":17,"expense_row_id":"PPL.BG","expense_eur":240.22220625,"deduction_category":"none"},{"month":17,"expense_row_id":"PPL.INSOLV","expense_eur":120.111103125,"deduction_category":"none"},{"month":17,"expense_row_id":"PPL.KV","expense_eur":6437.868890625,"deduction_category":"none"},{"month":17,"expense_row_id":"PPL.PV","expense_eur":1309.3970625,"deduction_category":"none"},{"month":17,"expense_row_id":"PPL.RV","expense_eur":7967.369840625,"deduction_category":"none"},{"month":17,"expense_row_id":"PPL.SALARY","expense_eur":95249.75625,"deduction_category":"none"},{"month":17,"expense_row_id":"PPL.U1","expense_eur":1681.55544375,"deduction_category":"none"},{"month":17,"expense_row_id":"PPL.U2","expense_eur":352.3259025,"deduction_category":"none"},{"month":17,"expense_row_id":"SUB.STORE_FEE","expense_eur":790.1239583922633,"deduction_category":"none"},{"month":17,"expense_row_id":"TAX.GEWST","expense_eur":0,"deduction_category":"none"},{"month":17,"expense_row_id":"TAX.KST","expense_eur":0,"deduction_category":"none"},{"month":17,"expense_row_id":"TAX.SOLI","expense_eur":0,"deduction_category":"none"},{"month":18,"expense_row_id":"CAP.DEPRECIATION.FITOUT","expense_eur":0,"deduction_category":"none"},{"month":18,"expense_row_id":"CAP.DEPRECIATION.IT","expense_eur":972.2222222222222,"deduction_category":"none"},{"month":18,"expense_row_id":"COGS.BILLING","expense_eur":177.93086049031533,"deduction_category":"none"},{"month":18,"expense_row_id":"COGS.CLOUD_FIXED","expense_eur":1500,"deduction_category":"none"},{"month":18,"expense_row_id":"COGS.CLOUD_VARIABLE","expense_eur":773.3395237005826,"deduction_category":"none"},{"month":18,"expense_row_id":"COGS.DISPUTE","expense_eur":146.97351346443224,"deduction_category":"none"},{"month":18,"expense_row_id":"COGS.FRAUD","expense_eur":39.3894417995912,"deduction_category":"none"},{"month":18,"expense_row_id":"COGS.KYC_MINIMUM","expense_eur":0,"deduction_category":"none"},{"month":18,"expense_row_id":"COGS.KYC_VARIABLE","expense_eur":384.8252594488337,"deduction_category":"none"},{"month":18,"expense_row_id":"COGS.MDATA","expense_eur":868.695652173913,"deduction_category":"none"},{"month":18,"expense_row_id":"COGS.PROCESSOR","expense_eur":675.9363753245327,"deduction_category":"none"},{"month":18,"expense_row_id":"COGS.SUPPORT","expense_eur":773.3395237005826,"deduction_category":"none"},{"month":18,"expense_row_id":"COPY.CONNECT_FEE","expense_eur":218.44922859651527,"deduction_category":"none"},{"month":18,"expense_row_id":"COPY.TRADER_EXPENSE","expense_eur":6348.548841575295,"deduction_category":"none"},{"month":18,"expense_row_id":"FUND.NOTE_EXPENSE","expense_eur":0,"deduction_category":"none"},{"month":18,"expense_row_id":"OPX.ACCOUNTS","expense_eur":0,"deduction_category":"none"},{"month":18,"expense_row_id":"OPX.BOOKKEEP","expense_eur":4000,"deduction_category":"none"},{"month":18,"expense_row_id":"OPX.BRAND","expense_eur":10000,"deduction_category":"none"},{"month":18,"expense_row_id":"OPX.CONTEST","expense_eur":5000,"deduction_category":"none"},{"month":18,"expense_row_id":"OPX.CONTINGENCY","expense_eur":2219.3416666666667,"deduction_category":"none"},{"month":18,"expense_row_id":"OPX.DESK","expense_eur":4186,"deduction_category":"none"},{"month":18,"expense_row_id":"OPX.FOUNDING.NOTARY","expense_eur":0,"deduction_category":"none"},{"month":18,"expense_row_id":"OPX.FOUNDING.REGISTER","expense_eur":0,"deduction_category":"none"},{"month":18,"expense_row_id":"OPX.IHK","expense_eur":9.166666666666666,"deduction_category":"none"},{"month":18,"expense_row_id":"OPX.INS_PRE","expense_eur":0,"deduction_category":"none"},{"month":18,"expense_row_id":"OPX.MARKETING","expense_eur":80000,"deduction_category":"none"},{"month":18,"expense_row_id":"OPX.MISC","expense_eur":4000,"deduction_category":"none"},{"month":18,"expense_row_id":"OPX.OFFICE","expense_eur":0,"deduction_category":"none"},{"month":18,"expense_row_id":"OPX.PAYROLL","expense_eur":350,"deduction_category":"none"},{"month":18,"expense_row_id":"OPX.RECRUIT","expense_eur":0,"deduction_category":"none"},{"month":18,"expense_row_id":"OPX.REFERRAL","expense_eur":694.005493727582,"deduction_category":"none"},{"month":18,"expense_row_id":"OPX.REG.AUDIT","expense_eur":6666.666666666667,"deduction_category":"none"},{"month":18,"expense_row_id":"OPX.REG.BAFIN_FEE","expense_eur":0,"deduction_category":"none"},{"month":18,"expense_row_id":"OPX.REG.DORA_SETUP","expense_eur":0,"deduction_category":"none"},{"month":18,"expense_row_id":"OPX.REG.DORA_TEST","expense_eur":2500,"deduction_category":"none"},{"month":18,"expense_row_id":"OPX.REG.INSURANCE","expense_eur":3333.3333333333335,"deduction_category":"none"},{"month":18,"expense_row_id":"OPX.REG.INT_AUDIT","expense_eur":2916.6666666666665,"deduction_category":"none"},{"month":18,"expense_row_id":"OPX.REG.LEGAL_APP","expense_eur":0,"deduction_category":"none"},{"month":18,"expense_row_id":"OPX.REG.LEGAL_RUN","expense_eur":6250,"deduction_category":"none"},{"month":18,"expense_row_id":"OPX.REG.LEVY","expense_eur":541.6666666666666,"deduction_category":"none"},{"month":18,"expense_row_id":"OPX.REG.SURVEIL","expense_eur":3333.3333333333335,"deduction_category":"none"},{"month":18,"expense_row_id":"OPX.ROUND_COSTS.A","expense_eur":0,"deduction_category":"none"},{"month":18,"expense_row_id":"OPX.ROUND_COSTS.B.LEGAL","expense_eur":0,"deduction_category":"none"},{"month":18,"expense_row_id":"OPX.ROUND_COSTS.B.NOTARY","expense_eur":0,"deduction_category":"none"},{"month":18,"expense_row_id":"OPX.ROUND_COSTS.SEED","expense_eur":0,"deduction_category":"none"},{"month":18,"expense_row_id":"OPX.SOFTWARE","expense_eur":6300,"deduction_category":"none"},{"month":18,"expense_row_id":"PPL.AV","expense_eur":1040.96289375,"deduction_category":"none"},{"month":18,"expense_row_id":"PPL.BG","expense_eur":240.22220625,"deduction_category":"none"},{"month":18,"expense_row_id":"PPL.INSOLV","expense_eur":120.111103125,"deduction_category":"none"},{"month":18,"expense_row_id":"PPL.KV","expense_eur":6437.868890625,"deduction_category":"none"},{"month":18,"expense_row_id":"PPL.PV","expense_eur":1309.3970625,"deduction_category":"none"},{"month":18,"expense_row_id":"PPL.RV","expense_eur":7967.369840625,"deduction_category":"none"},{"month":18,"expense_row_id":"PPL.SALARY","expense_eur":95249.75625,"deduction_category":"none"},{"month":18,"expense_row_id":"PPL.U1","expense_eur":1681.55544375,"deduction_category":"none"},{"month":18,"expense_row_id":"PPL.U2","expense_eur":352.3259025,"deduction_category":"none"},{"month":18,"expense_row_id":"SUB.STORE_FEE","expense_eur":864.5886555653582,"deduction_category":"none"},{"month":18,"expense_row_id":"TAX.GEWST","expense_eur":0,"deduction_category":"none"},{"month":18,"expense_row_id":"TAX.KST","expense_eur":0,"deduction_category":"none"},{"month":18,"expense_row_id":"TAX.SOLI","expense_eur":0,"deduction_category":"none"},{"month":19,"expense_row_id":"CAP.DEPRECIATION.FITOUT","expense_eur":0,"deduction_category":"none"},{"month":19,"expense_row_id":"CAP.DEPRECIATION.IT","expense_eur":1041.6666666666667,"deduction_category":"none"},{"month":19,"expense_row_id":"COGS.BILLING","expense_eur":205.25449910032782,"deduction_category":"none"},{"month":19,"expense_row_id":"COGS.CLOUD_FIXED","expense_eur":1500,"deduction_category":"none"},{"month":19,"expense_row_id":"COGS.CLOUD_VARIABLE","expense_eur":850.6599315511232,"deduction_category":"none"},{"month":19,"expense_row_id":"COGS.DISPUTE","expense_eur":170.60350642702562,"deduction_category":"none"},{"month":19,"expense_row_id":"COGS.FRAUD","expense_eur":46.28166744709124,"deduction_category":"none"},{"month":19,"expense_row_id":"COGS.KYC_MINIMUM","expense_eur":0,"deduction_category":"none"},{"month":19,"expense_row_id":"COGS.KYC_VARIABLE","expense_eur":413.0293361504398,"deduction_category":"none"},{"month":19,"expense_row_id":"COGS.MDATA","expense_eur":868.695652173913,"deduction_category":"none"},{"month":19,"expense_row_id":"COGS.PROCESSOR","expense_eur":784.1531216960572,"deduction_category":"none"},{"month":19,"expense_row_id":"COGS.SUPPORT","expense_eur":850.6599315511232,"deduction_category":"none"},{"month":19,"expense_row_id":"COPY.CONNECT_FEE","expense_eur":250.3544747320648,"deduction_category":"none"},{"month":19,"expense_row_id":"COPY.TRADER_EXPENSE","expense_eur":7623.309310974901,"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8255.092916666666,"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773.3395237005826,"deduction_category":"none"},{"month":19,"expense_row_id":"OPX.REG.AUDIT","expense_eur":6666.666666666667,"deduction_category":"none"},{"month":19,"expense_row_id":"OPX.REG.BAFIN_FEE","expense_eur":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937.3712991559547,"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233.38065123230717,"deduction_category":"none"},{"month":20,"expense_row_id":"COGS.CLOUD_FIXED","expense_eur":1500,"deduction_category":"none"},{"month":20,"expense_row_id":"COGS.CLOUD_VARIABLE","expense_eur":927.0731788624315,"deduction_category":"none"},{"month":20,"expense_row_id":"COGS.DISPUTE","expense_eur":194.9164086774765,"deduction_category":"none"},{"month":20,"expense_row_id":"COGS.FRAUD","expense_eur":53.397741501647985,"deduction_category":"none"},{"month":20,"expense_row_id":"COGS.KYC_MINIMUM","expense_eur":0,"deduction_category":"none"},{"month":20,"expense_row_id":"COGS.KYC_VARIABLE","expense_eur":440.4353804751381,"deduction_category":"none"},{"month":20,"expense_row_id":"COGS.MDATA","expense_eur":868.695652173913,"deduction_category":"none"},{"month":20,"expense_row_id":"COGS.PROCESSOR","expense_eur":895.5019354057857,"deduction_category":"none"},{"month":20,"expense_row_id":"COGS.SUPPORT","expense_eur":927.0731788624315,"deduction_category":"none"},{"month":20,"expense_row_id":"COPY.CONNECT_FEE","expense_eur":281.718496520558,"deduction_category":"none"},{"month":20,"expense_row_id":"COPY.TRADER_EXPENSE","expense_eur":8953.392000588343,"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2258.0416666666665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850.6599315511232,"deduction_category":"none"},{"month":20,"expense_row_id":"OPX.REG.AUDIT","expense_eur":6666.666666666667,"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1008.7165043802022,"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262.1175749007903,"deduction_category":"none"},{"month":21,"expense_row_id":"COGS.CLOUD_FIXED","expense_eur":1500,"deduction_category":"none"},{"month":21,"expense_row_id":"COGS.CLOUD_VARIABLE","expense_eur":1002.3213401608889,"deduction_category":"none"},{"month":21,"expense_row_id":"COGS.DISPUTE","expense_eur":219.74836449589398,"deduction_category":"none"},{"month":21,"expense_row_id":"COGS.FRAUD","expense_eur":60.69130556306504,"deduction_category":"none"},{"month":21,"expense_row_id":"COGS.KYC_MINIMUM","expense_eur":0,"deduction_category":"none"},{"month":21,"expense_row_id":"COGS.KYC_VARIABLE","expense_eur":467.1411266062435,"deduction_category":"none"},{"month":21,"expense_row_id":"COGS.MDATA","expense_eur":868.695652173913,"deduction_category":"none"},{"month":21,"expense_row_id":"COGS.PROCESSOR","expense_eur":1009.2316050069834,"deduction_category":"none"},{"month":21,"expense_row_id":"COGS.SUPPORT","expense_eur":1002.3213401608889,"deduction_category":"none"},{"month":21,"expense_row_id":"COPY.CONNECT_FEE","expense_eur":312.72483844154556,"deduction_category":"none"},{"month":21,"expense_row_id":"COPY.TRADER_EXPENSE","expense_eur":10327.183949327944,"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2258.0416666666665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927.0731788624315,"deduction_category":"none"},{"month":21,"expense_row_id":"OPX.REG.AUDIT","expense_eur":6666.666666666667,"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1078.646774201791,"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296.79804601107935,"deduction_category":"none"},{"month":22,"expense_row_id":"COGS.CLOUD_FIXED","expense_eur":1500,"deduction_category":"none"},{"month":22,"expense_row_id":"COGS.CLOUD_VARIABLE","expense_eur":1076.3545964986558,"deduction_category":"none"},{"month":22,"expense_row_id":"COGS.DISPUTE","expense_eur":247.67224547980786,"deduction_category":"none"},{"month":22,"expense_row_id":"COGS.FRAUD","expense_eur":67.92490672354783,"deduction_category":"none"},{"month":22,"expense_row_id":"COGS.KYC_MINIMUM","expense_eur":0,"deduction_category":"none"},{"month":22,"expense_row_id":"COGS.KYC_VARIABLE","expense_eur":492.85830792105304,"deduction_category":"none"},{"month":22,"expense_row_id":"COGS.MDATA","expense_eur":868.695652173913,"deduction_category":"none"},{"month":22,"expense_row_id":"COGS.PROCESSOR","expense_eur":1137.9669916460134,"deduction_category":"none"},{"month":22,"expense_row_id":"COGS.SUPPORT","expense_eur":1076.3545964986558,"deduction_category":"none"},{"month":22,"expense_row_id":"COPY.CONNECT_FEE","expense_eur":343.66397108830563,"deduction_category":"none"},{"month":22,"expense_row_id":"COPY.TRADER_EXPENSE","expense_eur":11736.018724346695,"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2258.0416666666665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1002.3213401608889,"deduction_category":"none"},{"month":22,"expense_row_id":"OPX.REG.AUDIT","expense_eur":6666.666666666667,"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1212.8608483016963,"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326.32109666877267,"deduction_category":"none"},{"month":23,"expense_row_id":"COGS.CLOUD_FIXED","expense_eur":1500,"deduction_category":"none"},{"month":23,"expense_row_id":"COGS.CLOUD_VARIABLE","expense_eur":1150.53893555172,"deduction_category":"none"},{"month":23,"expense_row_id":"COGS.DISPUTE","expense_eur":273.3541096058183,"deduction_category":"none"},{"month":23,"expense_row_id":"COGS.FRAUD","expense_eur":75.4050155310347,"deduction_category":"none"},{"month":23,"expense_row_id":"COGS.KYC_MINIMUM","expense_eur":0,"deduction_category":"none"},{"month":23,"expense_row_id":"COGS.KYC_VARIABLE","expense_eur":518.1171017829179,"deduction_category":"none"},{"month":23,"expense_row_id":"COGS.MDATA","expense_eur":868.695652173913,"deduction_category":"none"},{"month":23,"expense_row_id":"COGS.PROCESSOR","expense_eur":1255.5187055011854,"deduction_category":"none"},{"month":23,"expense_row_id":"COGS.SUPPORT","expense_eur":1150.53893555172,"deduction_category":"none"},{"month":23,"expense_row_id":"COPY.CONNECT_FEE","expense_eur":374.4113157724135,"deduction_category":"none"},{"month":23,"expense_row_id":"COPY.TRADER_EXPENSE","expense_eur":13200.229790841051,"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2258.0416666666665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1076.3545964986558,"deduction_category":"none"},{"month":23,"expense_row_id":"OPX.REG.AUDIT","expense_eur":6666.666666666667,"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1274.1383076491243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357.37227896793485,"deduction_category":"none"},{"month":24,"expense_row_id":"COGS.CLOUD_FIXED","expense_eur":1500,"deduction_category":"none"},{"month":24,"expense_row_id":"COGS.CLOUD_VARIABLE","expense_eur":1224.742028375122,"deduction_category":"none"},{"month":24,"expense_row_id":"COGS.DISPUTE","expense_eur":300.0486926538401,"deduction_category":"none"},{"month":24,"expense_row_id":"COGS.FRAUD","expense_eur":83.07859804941293,"deduction_category":"none"},{"month":24,"expense_row_id":"COGS.KYC_MINIMUM","expense_eur":0,"deduction_category":"none"},{"month":24,"expense_row_id":"COGS.KYC_VARIABLE","expense_eur":543.2126175282414,"deduction_category":"none"},{"month":24,"expense_row_id":"COGS.MDATA","expense_eur":868.695652173913,"deduction_category":"none"},{"month":24,"expense_row_id":"COGS.PROCESSOR","expense_eur":1377.8358428319293,"deduction_category":"none"},{"month":24,"expense_row_id":"COGS.SUPPORT","expense_eur":1224.742028375122,"deduction_category":"none"},{"month":24,"expense_row_id":"COPY.CONNECT_FEE","expense_eur":405.0528468512818,"deduction_category":"none"},{"month":24,"expense_row_id":"COPY.TRADER_EXPENSE","expense_eur":14713.596817359268,"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3109.8897916666665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1150.53893555172,"deduction_category":"none"},{"month":24,"expense_row_id":"OPX.REG.AUDIT","expense_eur":6666.666666666667,"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1343.914655446274,"deduction_category":"none"},{"month":24,"expense_row_id":"TAX.GEWST","expense_eur":0,"deduction_category":"none"},{"month":24,"expense_row_id":"TAX.KST","expense_eur":0,"deduction_category":"none"},{"month":24,"expense_row_id":"TAX.SOLI","expense_eur":0,"deduction_category":"none"}]},{"scenario":"upside","application_month":6,"licence_month":13,"start_month":13,"end_month":24,"basis":"frozen_application_plan","frozen_on":"2026-10-13","input_snapshot_id":"SNAP.PRE_PROJECTION","expenses":[{"month":13,"expense_row_id":"CAP.DEPRECIATION.FITOUT","expense_eur":0,"deduction_category":"none"},{"month":13,"expense_row_id":"CAP.DEPRECIATION.IT","expense_eur":972.2222222222222,"deduction_category":"none"},{"month":13,"expense_row_id":"COGS.BILLING","expense_eur":122.07820637416134,"deduction_category":"none"},{"month":13,"expense_row_id":"COGS.CLOUD_FIXED","expense_eur":1500,"deduction_category":"none"},{"month":13,"expense_row_id":"COGS.CLOUD_VARIABLE","expense_eur":587.8858935743182,"deduction_category":"none"},{"month":13,"expense_row_id":"COGS.DISPUTE","expense_eur":86.48200722509033,"deduction_category":"none"},{"month":13,"expense_row_id":"COGS.FRAUD","expense_eur":20.014051136327517,"deduction_category":"none"},{"month":13,"expense_row_id":"COGS.KYC_MINIMUM","expense_eur":0,"deduction_category":"none"},{"month":13,"expense_row_id":"COGS.KYC_VARIABLE","expense_eur":610.9165379729344,"deduction_category":"none"},{"month":13,"expense_row_id":"COGS.MDATA","expense_eur":868.695652173913,"deduction_category":"none"},{"month":13,"expense_row_id":"COGS.PROCESSOR","expense_eur":403.941056190553,"deduction_category":"none"},{"month":13,"expense_row_id":"COGS.SUPPORT","expense_eur":587.8858935743182,"deduction_category":"none"},{"month":13,"expense_row_id":"COPY.CONNECT_FEE","expense_eur":0,"deduction_category":"none"},{"month":13,"expense_row_id":"COPY.TRADER_EXPENSE","expense_eur":2166.6534607681497,"deduction_category":"none"},{"month":13,"expense_row_id":"FUND.NOTE_EXPENSE","expense_eur":0,"deduction_category":"none"},{"month":13,"expense_row_id":"OPX.ACCOUNTS","expense_eur":0,"deduction_category":"none"},{"month":13,"expense_row_id":"OPX.BOOKKEEP","expense_eur":4000,"deduction_category":"none"},{"month":13,"expense_row_id":"OPX.BRAND","expense_eur":10000,"deduction_category":"none"},{"month":13,"expense_row_id":"OPX.CONTEST","expense_eur":5000,"deduction_category":"none"},{"month":13,"expense_row_id":"OPX.CONTINGENCY","expense_eur":2442.60375,"deduction_category":"none"},{"month":13,"expense_row_id":"OPX.DESK","expense_eur":4186,"deduction_category":"none"},{"month":13,"expense_row_id":"OPX.FOUNDING.NOTARY","expense_eur":0,"deduction_category":"none"},{"month":13,"expense_row_id":"OPX.FOUNDING.REGISTER","expense_eur":0,"deduction_category":"none"},{"month":13,"expense_row_id":"OPX.IHK","expense_eur":9.166666666666666,"deduction_category":"none"},{"month":13,"expense_row_id":"OPX.INS_PRE","expense_eur":0,"deduction_category":"none"},{"month":13,"expense_row_id":"OPX.MARKETING","expense_eur":80000,"deduction_category":"none"},{"month":13,"expense_row_id":"OPX.MISC","expense_eur":4000,"deduction_category":"none"},{"month":13,"expense_row_id":"OPX.OFFICE","expense_eur":0,"deduction_category":"none"},{"month":13,"expense_row_id":"OPX.PAYROLL","expense_eur":350,"deduction_category":"none"},{"month":13,"expense_row_id":"OPX.RECRUIT","expense_eur":7798.575,"deduction_category":"none"},{"month":13,"expense_row_id":"OPX.REFERRAL","expense_eur":560.7036435,"deduction_category":"none"},{"month":13,"expense_row_id":"OPX.REG.AUDIT","expense_eur":3333.3333333333335,"deduction_category":"none"},{"month":13,"expense_row_id":"OPX.REG.BAFIN_FEE","expense_eur":10000,"deduction_category":"none"},{"month":13,"expense_row_id":"OPX.REG.DORA_SETUP","expense_eur":0,"deduction_category":"none"},{"month":13,"expense_row_id":"OPX.REG.DORA_TEST","expense_eur":2500,"deduction_category":"none"},{"month":13,"expense_row_id":"OPX.REG.INSURANCE","expense_eur":3333.3333333333335,"deduction_category":"none"},{"month":13,"expense_row_id":"OPX.REG.INT_AUDIT","expense_eur":2916.6666666666665,"deduction_category":"none"},{"month":13,"expense_row_id":"OPX.REG.LEGAL_APP","expense_eur":0,"deduction_category":"none"},{"month":13,"expense_row_id":"OPX.REG.LEGAL_RUN","expense_eur":6250,"deduction_category":"none"},{"month":13,"expense_row_id":"OPX.REG.LEVY","expense_eur":541.6666666666666,"deduction_category":"none"},{"month":13,"expense_row_id":"OPX.REG.SURVEIL","expense_eur":3333.3333333333335,"deduction_category":"none"},{"month":13,"expense_row_id":"OPX.ROUND_COSTS.A","expense_eur":0,"deduction_category":"none"},{"month":13,"expense_row_id":"OPX.ROUND_COSTS.B.LEGAL","expense_eur":0,"deduction_category":"none"},{"month":13,"expense_row_id":"OPX.ROUND_COSTS.B.NOTARY","expense_eur":0,"deduction_category":"none"},{"month":13,"expense_row_id":"OPX.ROUND_COSTS.SEED","expense_eur":0,"deduction_category":"none"},{"month":13,"expense_row_id":"OPX.SOFTWARE","expense_eur":6300,"deduction_category":"none"},{"month":13,"expense_row_id":"PPL.AV","expense_eur":1040.96289375,"deduction_category":"none"},{"month":13,"expense_row_id":"PPL.BG","expense_eur":240.22220625,"deduction_category":"none"},{"month":13,"expense_row_id":"PPL.INSOLV","expense_eur":120.111103125,"deduction_category":"none"},{"month":13,"expense_row_id":"PPL.KV","expense_eur":6437.868890625,"deduction_category":"none"},{"month":13,"expense_row_id":"PPL.PV","expense_eur":1309.3970625,"deduction_category":"none"},{"month":13,"expense_row_id":"PPL.RV","expense_eur":7967.369840625,"deduction_category":"none"},{"month":13,"expense_row_id":"PPL.SALARY","expense_eur":95249.75625,"deduction_category":"none"},{"month":13,"expense_row_id":"PPL.U1","expense_eur":1681.55544375,"deduction_category":"none"},{"month":13,"expense_row_id":"PPL.U2","expense_eur":352.3259025,"deduction_category":"none"},{"month":13,"expense_row_id":"SUB.STORE_FEE","expense_eur":1031.3338325490097,"deduction_category":"none"},{"month":13,"expense_row_id":"TAX.GEWST","expense_eur":0,"deduction_category":"none"},{"month":13,"expense_row_id":"TAX.KST","expense_eur":0,"deduction_category":"none"},{"month":13,"expense_row_id":"TAX.SOLI","expense_eur":0,"deduction_category":"none"},{"month":14,"expense_row_id":"CAP.DEPRECIATION.FITOUT","expense_eur":0,"deduction_category":"none"},{"month":14,"expense_row_id":"CAP.DEPRECIATION.IT","expense_eur":972.2222222222222,"deduction_category":"none"},{"month":14,"expense_row_id":"COGS.BILLING","expense_eur":183.53587744574946,"deduction_category":"none"},{"month":14,"expense_row_id":"COGS.CLOUD_FIXED","expense_eur":1500,"deduction_category":"none"},{"month":14,"expense_row_id":"COGS.CLOUD_VARIABLE","expense_eur":761.3414197080634,"deduction_category":"none"},{"month":14,"expense_row_id":"COGS.DISPUTE","expense_eur":134.69388098071983,"deduction_category":"none"},{"month":14,"expense_row_id":"COGS.FRAUD","expense_eur":34.56423170395802,"deduction_category":"none"},{"month":14,"expense_row_id":"COGS.KYC_MINIMUM","expense_eur":0,"deduction_category":"none"},{"month":14,"expense_row_id":"COGS.KYC_VARIABLE","expense_eur":572.868091531282,"deduction_category":"none"},{"month":14,"expense_row_id":"COGS.MDATA","expense_eur":868.695652173913,"deduction_category":"none"},{"month":14,"expense_row_id":"COGS.PROCESSOR","expense_eur":626.7730317455288,"deduction_category":"none"},{"month":14,"expense_row_id":"COGS.SUPPORT","expense_eur":761.3414197080634,"deduction_category":"none"},{"month":14,"expense_row_id":"COPY.CONNECT_FEE","expense_eur":136.99158709134076,"deduction_category":"none"},{"month":14,"expense_row_id":"COPY.TRADER_EXPENSE","expense_eur":4790.167716551174,"deduction_category":"none"},{"month":14,"expense_row_id":"FUND.NOTE_EXPENSE","expense_eur":0,"deduction_category":"none"},{"month":14,"expense_row_id":"OPX.ACCOUNTS","expense_eur":0,"deduction_category":"none"},{"month":14,"expense_row_id":"OPX.BOOKKEEP","expense_eur":4000,"deduction_category":"none"},{"month":14,"expense_row_id":"OPX.BRAND","expense_eur":10000,"deduction_category":"none"},{"month":14,"expense_row_id":"OPX.CONTEST","expense_eur":5000,"deduction_category":"none"},{"month":14,"expense_row_id":"OPX.CONTINGENCY","expense_eur":2052.675,"deduction_category":"none"},{"month":14,"expense_row_id":"OPX.DESK","expense_eur":4186,"deduction_category":"none"},{"month":14,"expense_row_id":"OPX.FOUNDING.NOTARY","expense_eur":0,"deduction_category":"none"},{"month":14,"expense_row_id":"OPX.FOUNDING.REGISTER","expense_eur":0,"deduction_category":"none"},{"month":14,"expense_row_id":"OPX.IHK","expense_eur":9.166666666666666,"deduction_category":"none"},{"month":14,"expense_row_id":"OPX.INS_PRE","expense_eur":0,"deduction_category":"none"},{"month":14,"expense_row_id":"OPX.MARKETING","expense_eur":80000,"deduction_category":"none"},{"month":14,"expense_row_id":"OPX.MISC","expense_eur":4000,"deduction_category":"none"},{"month":14,"expense_row_id":"OPX.OFFICE","expense_eur":0,"deduction_category":"none"},{"month":14,"expense_row_id":"OPX.PAYROLL","expense_eur":350,"deduction_category":"none"},{"month":14,"expense_row_id":"OPX.RECRUIT","expense_eur":0,"deduction_category":"none"},{"month":14,"expense_row_id":"OPX.REFERRAL","expense_eur":823.0402510040454,"deduction_category":"none"},{"month":14,"expense_row_id":"OPX.REG.AUDIT","expense_eur":3333.3333333333335,"deduction_category":"none"},{"month":14,"expense_row_id":"OPX.REG.BAFIN_FEE","expense_eur":0,"deduction_category":"none"},{"month":14,"expense_row_id":"OPX.REG.DORA_SETUP","expense_eur":0,"deduction_category":"none"},{"month":14,"expense_row_id":"OPX.REG.DORA_TEST","expense_eur":2500,"deduction_category":"none"},{"month":14,"expense_row_id":"OPX.REG.INSURANCE","expense_eur":3333.3333333333335,"deduction_category":"none"},{"month":14,"expense_row_id":"OPX.REG.INT_AUDIT","expense_eur":2916.6666666666665,"deduction_category":"none"},{"month":14,"expense_row_id":"OPX.REG.LEGAL_APP","expense_eur":0,"deduction_category":"none"},{"month":14,"expense_row_id":"OPX.REG.LEGAL_RUN","expense_eur":6250,"deduction_category":"none"},{"month":14,"expense_row_id":"OPX.REG.LEVY","expense_eur":541.6666666666666,"deduction_category":"none"},{"month":14,"expense_row_id":"OPX.REG.SURVEIL","expense_eur":3333.3333333333335,"deduction_category":"none"},{"month":14,"expense_row_id":"OPX.ROUND_COSTS.A","expense_eur":0,"deduction_category":"none"},{"month":14,"expense_row_id":"OPX.ROUND_COSTS.B.LEGAL","expense_eur":0,"deduction_category":"none"},{"month":14,"expense_row_id":"OPX.ROUND_COSTS.B.NOTARY","expense_eur":0,"deduction_category":"none"},{"month":14,"expense_row_id":"OPX.ROUND_COSTS.SEED","expense_eur":0,"deduction_category":"none"},{"month":14,"expense_row_id":"OPX.SOFTWARE","expense_eur":6300,"deduction_category":"none"},{"month":14,"expense_row_id":"PPL.AV","expense_eur":1040.96289375,"deduction_category":"none"},{"month":14,"expense_row_id":"PPL.BG","expense_eur":240.22220625,"deduction_category":"none"},{"month":14,"expense_row_id":"PPL.INSOLV","expense_eur":120.111103125,"deduction_category":"none"},{"month":14,"expense_row_id":"PPL.KV","expense_eur":6437.868890625,"deduction_category":"none"},{"month":14,"expense_row_id":"PPL.PV","expense_eur":1309.3970625,"deduction_category":"none"},{"month":14,"expense_row_id":"PPL.RV","expense_eur":7967.369840625,"deduction_category":"none"},{"month":14,"expense_row_id":"PPL.SALARY","expense_eur":95249.75625,"deduction_category":"none"},{"month":14,"expense_row_id":"PPL.U1","expense_eur":1681.55544375,"deduction_category":"none"},{"month":14,"expense_row_id":"PPL.U2","expense_eur":352.3259025,"deduction_category":"none"},{"month":14,"expense_row_id":"SUB.STORE_FEE","expense_eur":1243.7213963487266,"deduction_category":"none"},{"month":14,"expense_row_id":"TAX.GEWST","expense_eur":0,"deduction_category":"none"},{"month":14,"expense_row_id":"TAX.KST","expense_eur":0,"deduction_category":"none"},{"month":14,"expense_row_id":"TAX.SOLI","expense_eur":0,"deduction_category":"none"},{"month":15,"expense_row_id":"CAP.DEPRECIATION.FITOUT","expense_eur":0,"deduction_category":"none"},{"month":15,"expense_row_id":"CAP.DEPRECIATION.IT","expense_eur":972.2222222222222,"deduction_category":"none"},{"month":15,"expense_row_id":"COGS.BILLING","expense_eur":246.8777103831372,"deduction_category":"none"},{"month":15,"expense_row_id":"COGS.CLOUD_FIXED","expense_eur":1500,"deduction_category":"none"},{"month":15,"expense_row_id":"COGS.CLOUD_VARIABLE","expense_eur":924.4152494034146,"deduction_category":"none"},{"month":15,"expense_row_id":"COGS.DISPUTE","expense_eur":184.8236731767886,"deduction_category":"none"},{"month":15,"expense_row_id":"COGS.FRAUD","expense_eur":50.01013728871741,"deduction_category":"none"},{"month":15,"expense_row_id":"COGS.KYC_MINIMUM","expense_eur":0,"deduction_category":"none"},{"month":15,"expense_row_id":"COGS.KYC_VARIABLE","expense_eur":625.1491292848017,"deduction_category":"none"},{"month":15,"expense_row_id":"COGS.MDATA","expense_eur":868.695652173913,"deduction_category":"none"},{"month":15,"expense_row_id":"COGS.PROCESSOR","expense_eur":858.2692490877396,"deduction_category":"none"},{"month":15,"expense_row_id":"COGS.SUPPORT","expense_eur":924.4152494034146,"deduction_category":"none"},{"month":15,"expense_row_id":"COPY.CONNECT_FEE","expense_eur":209.1348950586661,"deduction_category":"none"},{"month":15,"expense_row_id":"COPY.TRADER_EXPENSE","expense_eur":7606.773319396049,"deduction_category":"none"},{"month":15,"expense_row_id":"FUND.NOTE_EXPENSE","expense_eur":0,"deduction_category":"none"},{"month":15,"expense_row_id":"OPX.ACCOUNTS","expense_eur":0,"deduction_category":"none"},{"month":15,"expense_row_id":"OPX.BOOKKEEP","expense_eur":4000,"deduction_category":"none"},{"month":15,"expense_row_id":"OPX.BRAND","expense_eur":10000,"deduction_category":"none"},{"month":15,"expense_row_id":"OPX.CONTEST","expense_eur":5000,"deduction_category":"none"},{"month":15,"expense_row_id":"OPX.CONTINGENCY","expense_eur":2052.675,"deduction_category":"none"},{"month":15,"expense_row_id":"OPX.DESK","expense_eur":4186,"deduction_category":"none"},{"month":15,"expense_row_id":"OPX.FOUNDING.NOTARY","expense_eur":0,"deduction_category":"none"},{"month":15,"expense_row_id":"OPX.FOUNDING.REGISTER","expense_eur":0,"deduction_category":"none"},{"month":15,"expense_row_id":"OPX.IHK","expense_eur":9.166666666666666,"deduction_category":"none"},{"month":15,"expense_row_id":"OPX.INS_PRE","expense_eur":0,"deduction_category":"none"},{"month":15,"expense_row_id":"OPX.MARKETING","expense_eur":80000,"deduction_category":"none"},{"month":15,"expense_row_id":"OPX.MISC","expense_eur":4000,"deduction_category":"none"},{"month":15,"expense_row_id":"OPX.OFFICE","expense_eur":0,"deduction_category":"none"},{"month":15,"expense_row_id":"OPX.PAYROLL","expense_eur":350,"deduction_category":"none"},{"month":15,"expense_row_id":"OPX.RECRUIT","expense_eur":0,"deduction_category":"none"},{"month":15,"expense_row_id":"OPX.REFERRAL","expense_eur":1065.8779875912887,"deduction_category":"none"},{"month":15,"expense_row_id":"OPX.REG.AUDIT","expense_eur":3333.3333333333335,"deduction_category":"none"},{"month":15,"expense_row_id":"OPX.REG.BAFIN_FEE","expense_eur":0,"deduction_category":"none"},{"month":15,"expense_row_id":"OPX.REG.DORA_SETUP","expense_eur":0,"deduction_category":"none"},{"month":15,"expense_row_id":"OPX.REG.DORA_TEST","expense_eur":2500,"deduction_category":"none"},{"month":15,"expense_row_id":"OPX.REG.INSURANCE","expense_eur":3333.3333333333335,"deduction_category":"none"},{"month":15,"expense_row_id":"OPX.REG.INT_AUDIT","expense_eur":2916.6666666666665,"deduction_category":"none"},{"month":15,"expense_row_id":"OPX.REG.LEGAL_APP","expense_eur":0,"deduction_category":"none"},{"month":15,"expense_row_id":"OPX.REG.LEGAL_RUN","expense_eur":6250,"deduction_category":"none"},{"month":15,"expense_row_id":"OPX.REG.LEVY","expense_eur":541.6666666666666,"deduction_category":"none"},{"month":15,"expense_row_id":"OPX.REG.SURVEIL","expense_eur":3333.3333333333335,"deduction_category":"none"},{"month":15,"expense_row_id":"OPX.ROUND_COSTS.A","expense_eur":0,"deduction_category":"none"},{"month":15,"expense_row_id":"OPX.ROUND_COSTS.B.LEGAL","expense_eur":0,"deduction_category":"none"},{"month":15,"expense_row_id":"OPX.ROUND_COSTS.B.NOTARY","expense_eur":0,"deduction_category":"none"},{"month":15,"expense_row_id":"OPX.ROUND_COSTS.SEED","expense_eur":0,"deduction_category":"none"},{"month":15,"expense_row_id":"OPX.SOFTWARE","expense_eur":6300,"deduction_category":"none"},{"month":15,"expense_row_id":"PPL.AV","expense_eur":1040.96289375,"deduction_category":"none"},{"month":15,"expense_row_id":"PPL.BG","expense_eur":240.22220625,"deduction_category":"none"},{"month":15,"expense_row_id":"PPL.INSOLV","expense_eur":120.111103125,"deduction_category":"none"},{"month":15,"expense_row_id":"PPL.KV","expense_eur":6437.868890625,"deduction_category":"none"},{"month":15,"expense_row_id":"PPL.PV","expense_eur":1309.3970625,"deduction_category":"none"},{"month":15,"expense_row_id":"PPL.RV","expense_eur":7967.369840625,"deduction_category":"none"},{"month":15,"expense_row_id":"PPL.SALARY","expense_eur":95249.75625,"deduction_category":"none"},{"month":15,"expense_row_id":"PPL.U1","expense_eur":1681.55544375,"deduction_category":"none"},{"month":15,"expense_row_id":"PPL.U2","expense_eur":352.3259025,"deduction_category":"none"},{"month":15,"expense_row_id":"SUB.STORE_FEE","expense_eur":1440.1239121958258,"deduction_category":"none"},{"month":15,"expense_row_id":"TAX.GEWST","expense_eur":0,"deduction_category":"none"},{"month":15,"expense_row_id":"TAX.KST","expense_eur":0,"deduction_category":"none"},{"month":15,"expense_row_id":"TAX.SOLI","expense_eur":0,"deduction_category":"none"},{"month":16,"expense_row_id":"CAP.DEPRECIATION.FITOUT","expense_eur":0,"deduction_category":"none"},{"month":16,"expense_row_id":"CAP.DEPRECIATION.IT","expense_eur":972.2222222222222,"deduction_category":"none"},{"month":16,"expense_row_id":"COGS.BILLING","expense_eur":314.0863860431399,"deduction_category":"none"},{"month":16,"expense_row_id":"COGS.CLOUD_FIXED","expense_eur":1500,"deduction_category":"none"},{"month":16,"expense_row_id":"COGS.CLOUD_VARIABLE","expense_eur":1083.1278469826552,"deduction_category":"none"},{"month":16,"expense_row_id":"COGS.DISPUTE","expense_eur":238.01109379134874,"deduction_category":"none"},{"month":16,"expense_row_id":"COGS.FRAUD","expense_eur":66.5029947800276,"deduction_category":"none"},{"month":16,"expense_row_id":"COGS.KYC_MINIMUM","expense_eur":0,"deduction_category":"none"},{"month":16,"expense_row_id":"COGS.KYC_VARIABLE","expense_eur":697.8954916807004,"deduction_category":"none"},{"month":16,"expense_row_id":"COGS.MDATA","expense_eur":868.695652173913,"deduction_category":"none"},{"month":16,"expense_row_id":"COGS.PROCESSOR","expense_eur":1103.8866000984078,"deduction_category":"none"},{"month":16,"expense_row_id":"COGS.SUPPORT","expense_eur":1083.1278469826552,"deduction_category":"none"},{"month":16,"expense_row_id":"COPY.CONNECT_FEE","expense_eur":277.8564138050202,"deduction_category":"none"},{"month":16,"expense_row_id":"COPY.TRADER_EXPENSE","expense_eur":10658.693889503706,"deduction_category":"none"},{"month":16,"expense_row_id":"FUND.NOTE_EXPENSE","expense_eur":0,"deduction_category":"none"},{"month":16,"expense_row_id":"OPX.ACCOUNTS","expense_eur":0,"deduction_category":"none"},{"month":16,"expense_row_id":"OPX.BOOKKEEP","expense_eur":4000,"deduction_category":"none"},{"month":16,"expense_row_id":"OPX.BRAND","expense_eur":10000,"deduction_category":"none"},{"month":16,"expense_row_id":"OPX.CONTEST","expense_eur":5000,"deduction_category":"none"},{"month":16,"expense_row_id":"OPX.CONTINGENCY","expense_eur":2052.675,"deduction_category":"none"},{"month":16,"expense_row_id":"OPX.DESK","expense_eur":4186,"deduction_category":"none"},{"month":16,"expense_row_id":"OPX.FOUNDING.NOTARY","expense_eur":0,"deduction_category":"none"},{"month":16,"expense_row_id":"OPX.FOUNDING.REGISTER","expense_eur":0,"deduction_category":"none"},{"month":16,"expense_row_id":"OPX.IHK","expense_eur":9.166666666666666,"deduction_category":"none"},{"month":16,"expense_row_id":"OPX.INS_PRE","expense_eur":0,"deduction_category":"none"},{"month":16,"expense_row_id":"OPX.MARKETING","expense_eur":80000,"deduction_category":"none"},{"month":16,"expense_row_id":"OPX.MISC","expense_eur":4000,"deduction_category":"none"},{"month":16,"expense_row_id":"OPX.OFFICE","expense_eur":0,"deduction_category":"none"},{"month":16,"expense_row_id":"OPX.PAYROLL","expense_eur":350,"deduction_category":"none"},{"month":16,"expense_row_id":"OPX.RECRUIT","expense_eur":0,"deduction_category":"none"},{"month":16,"expense_row_id":"OPX.REFERRAL","expense_eur":1294.1813491647804,"deduction_category":"none"},{"month":16,"expense_row_id":"OPX.REG.AUDIT","expense_eur":3333.3333333333335,"deduction_category":"none"},{"month":16,"expense_row_id":"OPX.REG.BAFIN_FEE","expense_eur":0,"deduction_category":"none"},{"month":16,"expense_row_id":"OPX.REG.DORA_SETUP","expense_eur":0,"deduction_category":"none"},{"month":16,"expense_row_id":"OPX.REG.DORA_TEST","expense_eur":2500,"deduction_category":"none"},{"month":16,"expense_row_id":"OPX.REG.INSURANCE","expense_eur":3333.3333333333335,"deduction_category":"none"},{"month":16,"expense_row_id":"OPX.REG.INT_AUDIT","expense_eur":2916.6666666666665,"deduction_category":"none"},{"month":16,"expense_row_id":"OPX.REG.LEGAL_APP","expense_eur":0,"deduction_category":"none"},{"month":16,"expense_row_id":"OPX.REG.LEGAL_RUN","expense_eur":6250,"deduction_category":"none"},{"month":16,"expense_row_id":"OPX.REG.LEVY","expense_eur":541.6666666666666,"deduction_category":"none"},{"month":16,"expense_row_id":"OPX.REG.SURVEIL","expense_eur":3333.3333333333335,"deduction_category":"none"},{"month":16,"expense_row_id":"OPX.ROUND_COSTS.A","expense_eur":0,"deduction_category":"none"},{"month":16,"expense_row_id":"OPX.ROUND_COSTS.B.LEGAL","expense_eur":0,"deduction_category":"none"},{"month":16,"expense_row_id":"OPX.ROUND_COSTS.B.NOTARY","expense_eur":0,"deduction_category":"none"},{"month":16,"expense_row_id":"OPX.ROUND_COSTS.SEED","expense_eur":0,"deduction_category":"none"},{"month":16,"expense_row_id":"OPX.SOFTWARE","expense_eur":6300,"deduction_category":"none"},{"month":16,"expense_row_id":"PPL.AV","expense_eur":1040.96289375,"deduction_category":"none"},{"month":16,"expense_row_id":"PPL.BG","expense_eur":240.22220625,"deduction_category":"none"},{"month":16,"expense_row_id":"PPL.INSOLV","expense_eur":120.111103125,"deduction_category":"none"},{"month":16,"expense_row_id":"PPL.KV","expense_eur":6437.868890625,"deduction_category":"none"},{"month":16,"expense_row_id":"PPL.PV","expense_eur":1309.3970625,"deduction_category":"none"},{"month":16,"expense_row_id":"PPL.RV","expense_eur":7967.369840625,"deduction_category":"none"},{"month":16,"expense_row_id":"PPL.SALARY","expense_eur":95249.75625,"deduction_category":"none"},{"month":16,"expense_row_id":"PPL.U1","expense_eur":1681.55544375,"deduction_category":"none"},{"month":16,"expense_row_id":"PPL.U2","expense_eur":352.3259025,"deduction_category":"none"},{"month":16,"expense_row_id":"SUB.STORE_FEE","expense_eur":1635.8606887586218,"deduction_category":"none"},{"month":16,"expense_row_id":"TAX.GEWST","expense_eur":0,"deduction_category":"none"},{"month":16,"expense_row_id":"TAX.KST","expense_eur":0,"deduction_category":"none"},{"month":16,"expense_row_id":"TAX.SOLI","expense_eur":0,"deduction_category":"none"},{"month":17,"expense_row_id":"CAP.DEPRECIATION.FITOUT","expense_eur":0,"deduction_category":"none"},{"month":17,"expense_row_id":"CAP.DEPRECIATION.IT","expense_eur":972.2222222222222,"deduction_category":"none"},{"month":17,"expense_row_id":"COGS.BILLING","expense_eur":384.4200876664993,"deduction_category":"none"},{"month":17,"expense_row_id":"COGS.CLOUD_FIXED","expense_eur":1500,"deduction_category":"none"},{"month":17,"expense_row_id":"COGS.CLOUD_VARIABLE","expense_eur":1236.8784517673262,"deduction_category":"none"},{"month":17,"expense_row_id":"COGS.DISPUTE","expense_eur":293.6684671457564,"deduction_category":"none"},{"month":17,"expense_row_id":"COGS.FRAUD","expense_eur":83.85662539386485,"deduction_category":"none"},{"month":17,"expense_row_id":"COGS.KYC_MINIMUM","expense_eur":0,"deduction_category":"none"},{"month":17,"expense_row_id":"COGS.KYC_VARIABLE","expense_eur":767.8816977573094,"deduction_category":"none"},{"month":17,"expense_row_id":"COGS.MDATA","expense_eur":868.695652173913,"deduction_category":"none"},{"month":17,"expense_row_id":"COGS.PROCESSOR","expense_eur":1360.9115015596396,"deduction_category":"none"},{"month":17,"expense_row_id":"COGS.SUPPORT","expense_eur":1236.8784517673262,"deduction_category":"none"},{"month":17,"expense_row_id":"COPY.CONNECT_FEE","expense_eur":344.4842730095941,"deduction_category":"none"},{"month":17,"expense_row_id":"COPY.TRADER_EXPENSE","expense_eur":13903.136310786727,"deduction_category":"none"},{"month":17,"expense_row_id":"FUND.NOTE_EXPENSE","expense_eur":0,"deduction_category":"none"},{"month":17,"expense_row_id":"OPX.ACCOUNTS","expense_eur":0,"deduction_category":"none"},{"month":17,"expense_row_id":"OPX.BOOKKEEP","expense_eur":4000,"deduction_category":"none"},{"month":17,"expense_row_id":"OPX.BRAND","expense_eur":10000,"deduction_category":"none"},{"month":17,"expense_row_id":"OPX.CONTEST","expense_eur":5000,"deduction_category":"none"},{"month":17,"expense_row_id":"OPX.CONTINGENCY","expense_eur":2052.675,"deduction_category":"none"},{"month":17,"expense_row_id":"OPX.DESK","expense_eur":4186,"deduction_category":"none"},{"month":17,"expense_row_id":"OPX.FOUNDING.NOTARY","expense_eur":0,"deduction_category":"none"},{"month":17,"expense_row_id":"OPX.FOUNDING.REGISTER","expense_eur":0,"deduction_category":"none"},{"month":17,"expense_row_id":"OPX.IHK","expense_eur":9.166666666666666,"deduction_category":"none"},{"month":17,"expense_row_id":"OPX.INS_PRE","expense_eur":0,"deduction_category":"none"},{"month":17,"expense_row_id":"OPX.MARKETING","expense_eur":80000,"deduction_category":"none"},{"month":17,"expense_row_id":"OPX.MISC","expense_eur":4000,"deduction_category":"none"},{"month":17,"expense_row_id":"OPX.OFFICE","expense_eur":0,"deduction_category":"none"},{"month":17,"expense_row_id":"OPX.PAYROLL","expense_eur":350,"deduction_category":"none"},{"month":17,"expense_row_id":"OPX.RECRUIT","expense_eur":0,"deduction_category":"none"},{"month":17,"expense_row_id":"OPX.REFERRAL","expense_eur":1516.3789857757172,"deduction_category":"none"},{"month":17,"expense_row_id":"OPX.REG.AUDIT","expense_eur":3333.3333333333335,"deduction_category":"none"},{"month":17,"expense_row_id":"OPX.REG.BAFIN_FEE","expense_eur":0,"deduction_category":"none"},{"month":17,"expense_row_id":"OPX.REG.DORA_SETUP","expense_eur":0,"deduction_category":"none"},{"month":17,"expense_row_id":"OPX.REG.DORA_TEST","expense_eur":2500,"deduction_category":"none"},{"month":17,"expense_row_id":"OPX.REG.INSURANCE","expense_eur":3333.3333333333335,"deduction_category":"none"},{"month":17,"expense_row_id":"OPX.REG.INT_AUDIT","expense_eur":2916.6666666666665,"deduction_category":"none"},{"month":17,"expense_row_id":"OPX.REG.LEGAL_APP","expense_eur":0,"deduction_category":"none"},{"month":17,"expense_row_id":"OPX.REG.LEGAL_RUN","expense_eur":6250,"deduction_category":"none"},{"month":17,"expense_row_id":"OPX.REG.LEVY","expense_eur":541.6666666666666,"deduction_category":"none"},{"month":17,"expense_row_id":"OPX.REG.SURVEIL","expense_eur":3333.3333333333335,"deduction_category":"none"},{"month":17,"expense_row_id":"OPX.ROUND_COSTS.A","expense_eur":0,"deduction_category":"none"},{"month":17,"expense_row_id":"OPX.ROUND_COSTS.B.LEGAL","expense_eur":0,"deduction_category":"none"},{"month":17,"expense_row_id":"OPX.ROUND_COSTS.B.NOTARY","expense_eur":0,"deduction_category":"none"},{"month":17,"expense_row_id":"OPX.ROUND_COSTS.SEED","expense_eur":0,"deduction_category":"none"},{"month":17,"expense_row_id":"OPX.SOFTWARE","expense_eur":6300,"deduction_category":"none"},{"month":17,"expense_row_id":"PPL.AV","expense_eur":1040.96289375,"deduction_category":"none"},{"month":17,"expense_row_id":"PPL.BG","expense_eur":240.22220625,"deduction_category":"none"},{"month":17,"expense_row_id":"PPL.INSOLV","expense_eur":120.111103125,"deduction_category":"none"},{"month":17,"expense_row_id":"PPL.KV","expense_eur":6437.868890625,"deduction_category":"none"},{"month":17,"expense_row_id":"PPL.PV","expense_eur":1309.3970625,"deduction_category":"none"},{"month":17,"expense_row_id":"PPL.RV","expense_eur":7967.369840625,"deduction_category":"none"},{"month":17,"expense_row_id":"PPL.SALARY","expense_eur":95249.75625,"deduction_category":"none"},{"month":17,"expense_row_id":"PPL.U1","expense_eur":1681.55544375,"deduction_category":"none"},{"month":17,"expense_row_id":"PPL.U2","expense_eur":352.3259025,"deduction_category":"none"},{"month":17,"expense_row_id":"SUB.STORE_FEE","expense_eur":1830.5833297777413,"deduction_category":"none"},{"month":17,"expense_row_id":"TAX.GEWST","expense_eur":0,"deduction_category":"none"},{"month":17,"expense_row_id":"TAX.KST","expense_eur":0,"deduction_category":"none"},{"month":17,"expense_row_id":"TAX.SOLI","expense_eur":0,"deduction_category":"none"},{"month":18,"expense_row_id":"CAP.DEPRECIATION.FITOUT","expense_eur":0,"deduction_category":"none"},{"month":18,"expense_row_id":"CAP.DEPRECIATION.IT","expense_eur":972.2222222222222,"deduction_category":"none"},{"month":18,"expense_row_id":"COGS.BILLING","expense_eur":457.78127842840564,"deduction_category":"none"},{"month":18,"expense_row_id":"COGS.CLOUD_FIXED","expense_eur":1500,"deduction_category":"none"},{"month":18,"expense_row_id":"COGS.CLOUD_VARIABLE","expense_eur":1387.2492996385197,"deduction_category":"none"},{"month":18,"expense_row_id":"COGS.DISPUTE","expense_eur":351.69694421006704,"deduction_category":"none"},{"month":18,"expense_row_id":"COGS.FRAUD","expense_eur":102.03061023948786,"deduction_category":"none"},{"month":18,"expense_row_id":"COGS.KYC_MINIMUM","expense_eur":0,"deduction_category":"none"},{"month":18,"expense_row_id":"COGS.KYC_VARIABLE","expense_eur":834.5352325325532,"deduction_category":"none"},{"month":18,"expense_row_id":"COGS.MDATA","expense_eur":868.695652173913,"deduction_category":"none"},{"month":18,"expense_row_id":"COGS.PROCESSOR","expense_eur":1628.8972479330432,"deduction_category":"none"},{"month":18,"expense_row_id":"COGS.SUPPORT","expense_eur":1387.2492996385197,"deduction_category":"none"},{"month":18,"expense_row_id":"COPY.CONNECT_FEE","expense_eur":410.70095335347,"deduction_category":"none"},{"month":18,"expense_row_id":"COPY.TRADER_EXPENSE","expense_eur":17332.24489344174,"deduction_category":"none"},{"month":18,"expense_row_id":"FUND.NOTE_EXPENSE","expense_eur":0,"deduction_category":"none"},{"month":18,"expense_row_id":"OPX.ACCOUNTS","expense_eur":0,"deduction_category":"none"},{"month":18,"expense_row_id":"OPX.BOOKKEEP","expense_eur":4000,"deduction_category":"none"},{"month":18,"expense_row_id":"OPX.BRAND","expense_eur":10000,"deduction_category":"none"},{"month":18,"expense_row_id":"OPX.CONTEST","expense_eur":5000,"deduction_category":"none"},{"month":18,"expense_row_id":"OPX.CONTINGENCY","expense_eur":2052.675,"deduction_category":"none"},{"month":18,"expense_row_id":"OPX.DESK","expense_eur":4186,"deduction_category":"none"},{"month":18,"expense_row_id":"OPX.FOUNDING.NOTARY","expense_eur":0,"deduction_category":"none"},{"month":18,"expense_row_id":"OPX.FOUNDING.REGISTER","expense_eur":0,"deduction_category":"none"},{"month":18,"expense_row_id":"OPX.IHK","expense_eur":9.166666666666666,"deduction_category":"none"},{"month":18,"expense_row_id":"OPX.INS_PRE","expense_eur":0,"deduction_category":"none"},{"month":18,"expense_row_id":"OPX.MARKETING","expense_eur":80000,"deduction_category":"none"},{"month":18,"expense_row_id":"OPX.MISC","expense_eur":4000,"deduction_category":"none"},{"month":18,"expense_row_id":"OPX.OFFICE","expense_eur":0,"deduction_category":"none"},{"month":18,"expense_row_id":"OPX.PAYROLL","expense_eur":350,"deduction_category":"none"},{"month":18,"expense_row_id":"OPX.RECRUIT","expense_eur":0,"deduction_category":"none"},{"month":18,"expense_row_id":"OPX.REFERRAL","expense_eur":1731.6298324742565,"deduction_category":"none"},{"month":18,"expense_row_id":"OPX.REG.AUDIT","expense_eur":3333.3333333333335,"deduction_category":"none"},{"month":18,"expense_row_id":"OPX.REG.BAFIN_FEE","expense_eur":0,"deduction_category":"none"},{"month":18,"expense_row_id":"OPX.REG.DORA_SETUP","expense_eur":0,"deduction_category":"none"},{"month":18,"expense_row_id":"OPX.REG.DORA_TEST","expense_eur":2500,"deduction_category":"none"},{"month":18,"expense_row_id":"OPX.REG.INSURANCE","expense_eur":3333.3333333333335,"deduction_category":"none"},{"month":18,"expense_row_id":"OPX.REG.INT_AUDIT","expense_eur":2916.6666666666665,"deduction_category":"none"},{"month":18,"expense_row_id":"OPX.REG.LEGAL_APP","expense_eur":0,"deduction_category":"none"},{"month":18,"expense_row_id":"OPX.REG.LEGAL_RUN","expense_eur":6250,"deduction_category":"none"},{"month":18,"expense_row_id":"OPX.REG.LEVY","expense_eur":541.6666666666666,"deduction_category":"none"},{"month":18,"expense_row_id":"OPX.REG.SURVEIL","expense_eur":3333.3333333333335,"deduction_category":"none"},{"month":18,"expense_row_id":"OPX.ROUND_COSTS.A","expense_eur":0,"deduction_category":"none"},{"month":18,"expense_row_id":"OPX.ROUND_COSTS.B.LEGAL","expense_eur":0,"deduction_category":"none"},{"month":18,"expense_row_id":"OPX.ROUND_COSTS.B.NOTARY","expense_eur":0,"deduction_category":"none"},{"month":18,"expense_row_id":"OPX.ROUND_COSTS.SEED","expense_eur":0,"deduction_category":"none"},{"month":18,"expense_row_id":"OPX.SOFTWARE","expense_eur":6300,"deduction_category":"none"},{"month":18,"expense_row_id":"PPL.AV","expense_eur":1040.96289375,"deduction_category":"none"},{"month":18,"expense_row_id":"PPL.BG","expense_eur":240.22220625,"deduction_category":"none"},{"month":18,"expense_row_id":"PPL.INSOLV","expense_eur":120.111103125,"deduction_category":"none"},{"month":18,"expense_row_id":"PPL.KV","expense_eur":6437.868890625,"deduction_category":"none"},{"month":18,"expense_row_id":"PPL.PV","expense_eur":1309.3970625,"deduction_category":"none"},{"month":18,"expense_row_id":"PPL.RV","expense_eur":7967.369840625,"deduction_category":"none"},{"month":18,"expense_row_id":"PPL.SALARY","expense_eur":95249.75625,"deduction_category":"none"},{"month":18,"expense_row_id":"PPL.U1","expense_eur":1681.55544375,"deduction_category":"none"},{"month":18,"expense_row_id":"PPL.U2","expense_eur":352.3259025,"deduction_category":"none"},{"month":18,"expense_row_id":"SUB.STORE_FEE","expense_eur":2024.6929213460085,"deduction_category":"none"},{"month":18,"expense_row_id":"TAX.GEWST","expense_eur":0,"deduction_category":"none"},{"month":18,"expense_row_id":"TAX.KST","expense_eur":0,"deduction_category":"none"},{"month":18,"expense_row_id":"TAX.SOLI","expense_eur":0,"deduction_category":"none"},{"month":19,"expense_row_id":"CAP.DEPRECIATION.FITOUT","expense_eur":0,"deduction_category":"none"},{"month":19,"expense_row_id":"CAP.DEPRECIATION.IT","expense_eur":1041.6666666666667,"deduction_category":"none"},{"month":19,"expense_row_id":"COGS.BILLING","expense_eur":533.897861606041,"deduction_category":"none"},{"month":19,"expense_row_id":"COGS.CLOUD_FIXED","expense_eur":1500,"deduction_category":"none"},{"month":19,"expense_row_id":"COGS.CLOUD_VARIABLE","expense_eur":1535.0926894746801,"deduction_category":"none"},{"month":19,"expense_row_id":"COGS.DISPUTE","expense_eur":411.878339017224,"deduction_category":"none"},{"month":19,"expense_row_id":"COGS.FRAUD","expense_eur":120.95497207931405,"deduction_category":"none"},{"month":19,"expense_row_id":"COGS.KYC_MINIMUM","expense_eur":0,"deduction_category":"none"},{"month":19,"expense_row_id":"COGS.KYC_VARIABLE","expense_eur":898.8785235792249,"deduction_category":"none"},{"month":19,"expense_row_id":"COGS.MDATA","expense_eur":868.695652173913,"deduction_category":"none"},{"month":19,"expense_row_id":"COGS.PROCESSOR","expense_eur":1906.8375536215433,"deduction_category":"none"},{"month":19,"expense_row_id":"COGS.SUPPORT","expense_eur":1535.0926894746801,"deduction_category":"none"},{"month":19,"expense_row_id":"COPY.CONNECT_FEE","expense_eur":476.27793677391645,"deduction_category":"none"},{"month":19,"expense_row_id":"COPY.TRADER_EXPENSE","expense_eur":20930.39245219337,"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8088.42625,"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1942.1490194939274,"deduction_category":"none"},{"month":19,"expense_row_id":"OPX.REG.AUDIT","expense_eur":3333.3333333333335,"deduction_category":"none"},{"month":19,"expense_row_id":"OPX.REG.BAFIN_FEE","expense_eur":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2218.0484535501564,"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613.053218240242,"deduction_category":"none"},{"month":20,"expense_row_id":"COGS.CLOUD_FIXED","expense_eur":1500,"deduction_category":"none"},{"month":20,"expense_row_id":"COGS.CLOUD_VARIABLE","expense_eur":1682.345232678012,"deduction_category":"none"},{"month":20,"expense_row_id":"COGS.DISPUTE","expense_eur":474.41715744727685,"deduction_category":"none"},{"month":20,"expense_row_id":"COGS.FRAUD","expense_eur":140.6868266235774,"deduction_category":"none"},{"month":20,"expense_row_id":"COGS.KYC_MINIMUM","expense_eur":0,"deduction_category":"none"},{"month":20,"expense_row_id":"COGS.KYC_VARIABLE","expense_eur":961.7132727579301,"deduction_category":"none"},{"month":20,"expense_row_id":"COGS.MDATA","expense_eur":868.695652173913,"deduction_category":"none"},{"month":20,"expense_row_id":"COGS.PROCESSOR","expense_eur":2195.6857339732637,"deduction_category":"none"},{"month":20,"expense_row_id":"COGS.SUPPORT","expense_eur":1682.345232678012,"deduction_category":"none"},{"month":20,"expense_row_id":"COPY.CONNECT_FEE","expense_eur":541.6354916471005,"deduction_category":"none"},{"month":20,"expense_row_id":"COPY.TRADER_EXPENSE","expense_eur":24712.762694427314,"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2091.375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2149.129765264552,"deduction_category":"none"},{"month":20,"expense_row_id":"OPX.REG.AUDIT","expense_eur":3333.3333333333335,"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2411.0115554773643,"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694.7255458487634,"deduction_category":"none"},{"month":21,"expense_row_id":"COGS.CLOUD_FIXED","expense_eur":1500,"deduction_category":"none"},{"month":21,"expense_row_id":"COGS.CLOUD_VARIABLE","expense_eur":1828.5097135362528,"deduction_category":"none"},{"month":21,"expense_row_id":"COGS.DISPUTE","expense_eur":538.9086704063078,"deduction_category":"none"},{"month":21,"expense_row_id":"COGS.FRAUD","expense_eur":161.1001687118155,"deduction_category":"none"},{"month":21,"expense_row_id":"COGS.KYC_MINIMUM","expense_eur":0,"deduction_category":"none"},{"month":21,"expense_row_id":"COGS.KYC_VARIABLE","expense_eur":1023.2017289216793,"deduction_category":"none"},{"month":21,"expense_row_id":"COGS.MDATA","expense_eur":868.695652173913,"deduction_category":"none"},{"month":21,"expense_row_id":"COGS.PROCESSOR","expense_eur":2493.5690597341745,"deduction_category":"none"},{"month":21,"expense_row_id":"COGS.SUPPORT","expense_eur":1828.5097135362528,"deduction_category":"none"},{"month":21,"expense_row_id":"COPY.CONNECT_FEE","expense_eur":607.1180106566609,"deduction_category":"none"},{"month":21,"expense_row_id":"COPY.TRADER_EXPENSE","expense_eur":28648.70840180055,"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2091.375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2355.283325749217,"deduction_category":"none"},{"month":21,"expense_row_id":"OPX.REG.AUDIT","expense_eur":3333.3333333333335,"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2603.4522901531514,"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792.0416016957876,"deduction_category":"none"},{"month":22,"expense_row_id":"COGS.CLOUD_FIXED","expense_eur":1500,"deduction_category":"none"},{"month":22,"expense_row_id":"COGS.CLOUD_VARIABLE","expense_eur":1973.4718260354848,"deduction_category":"none"},{"month":22,"expense_row_id":"COGS.DISPUTE","expense_eur":611.6476373305973,"deduction_category":"none"},{"month":22,"expense_row_id":"COGS.FRAUD","expense_eur":181.69543039788843,"deduction_category":"none"},{"month":22,"expense_row_id":"COGS.KYC_MINIMUM","expense_eur":0,"deduction_category":"none"},{"month":22,"expense_row_id":"COGS.KYC_VARIABLE","expense_eur":1082.8517072821305,"deduction_category":"none"},{"month":22,"expense_row_id":"COGS.MDATA","expense_eur":868.695652173913,"deduction_category":"none"},{"month":22,"expense_row_id":"COGS.PROCESSOR","expense_eur":2831.4038228164604,"deduction_category":"none"},{"month":22,"expense_row_id":"COGS.SUPPORT","expense_eur":1973.4718260354848,"deduction_category":"none"},{"month":22,"expense_row_id":"COPY.CONNECT_FEE","expense_eur":673.1822903025766,"deduction_category":"none"},{"month":22,"expense_row_id":"COPY.TRADER_EXPENSE","expense_eur":32715.206028161123,"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2091.375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2559.9135989507536,"deduction_category":"none"},{"month":22,"expense_row_id":"OPX.REG.AUDIT","expense_eur":3333.3333333333335,"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2957.427878141744,"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877.76338379558,"deduction_category":"none"},{"month":23,"expense_row_id":"COGS.CLOUD_FIXED","expense_eur":1500,"deduction_category":"none"},{"month":23,"expense_row_id":"COGS.CLOUD_VARIABLE","expense_eur":2119.634258138114,"deduction_category":"none"},{"month":23,"expense_row_id":"COGS.DISPUTE","expense_eur":679.6073057855236,"deduction_category":"none"},{"month":23,"expense_row_id":"COGS.FRAUD","expense_eur":203.1404165801759,"deduction_category":"none"},{"month":23,"expense_row_id":"COGS.KYC_MINIMUM","expense_eur":0,"deduction_category":"none"},{"month":23,"expense_row_id":"COGS.KYC_VARIABLE","expense_eur":1141.7314415907365,"deduction_category":"none"},{"month":23,"expense_row_id":"COGS.MDATA","expense_eur":868.695652173913,"deduction_category":"none"},{"month":23,"expense_row_id":"COGS.PROCESSOR","expense_eur":3145.1840302238174,"deduction_category":"none"},{"month":23,"expense_row_id":"COGS.SUPPORT","expense_eur":2119.634258138114,"deduction_category":"none"},{"month":23,"expense_row_id":"COPY.CONNECT_FEE","expense_eur":739.5565899047252,"deduction_category":"none"},{"month":23,"expense_row_id":"COPY.TRADER_EXPENSE","expense_eur":36968.1540904755,"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2091.375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2762.860556449679,"deduction_category":"none"},{"month":23,"expense_row_id":"OPX.REG.AUDIT","expense_eur":3333.3333333333335,"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3135.04471525603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968.2643770574958,"deduction_category":"none"},{"month":24,"expense_row_id":"COGS.CLOUD_FIXED","expense_eur":1500,"deduction_category":"none"},{"month":24,"expense_row_id":"COGS.CLOUD_VARIABLE","expense_eur":2266.7750562629153,"deduction_category":"none"},{"month":24,"expense_row_id":"COGS.DISPUTE","expense_eur":750.7071878950038,"deduction_category":"none"},{"month":24,"expense_row_id":"COGS.FRAUD","expense_eur":225.3159852392509,"deduction_category":"none"},{"month":24,"expense_row_id":"COGS.KYC_MINIMUM","expense_eur":0,"deduction_category":"none"},{"month":24,"expense_row_id":"COGS.KYC_VARIABLE","expense_eur":1200.3538511608758,"deduction_category":"none"},{"month":24,"expense_row_id":"COGS.MDATA","expense_eur":868.695652173913,"deduction_category":"none"},{"month":24,"expense_row_id":"COGS.PROCESSOR","expense_eur":3473.7553223211453,"deduction_category":"none"},{"month":24,"expense_row_id":"COGS.SUPPORT","expense_eur":2266.7750562629153,"deduction_category":"none"},{"month":24,"expense_row_id":"COPY.CONNECT_FEE","expense_eur":806.4843956535552,"deduction_category":"none"},{"month":24,"expense_row_id":"COPY.TRADER_EXPENSE","expense_eur":41392.177200346974,"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2943.223125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2967.48796139336,"deduction_category":"none"},{"month":24,"expense_row_id":"OPX.REG.AUDIT","expense_eur":3333.3333333333335,"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3335.7733955531307,"deduction_category":"none"},{"month":24,"expense_row_id":"TAX.GEWST","expense_eur":0,"deduction_category":"none"},{"month":24,"expense_row_id":"TAX.KST","expense_eur":0,"deduction_category":"none"},{"month":24,"expense_row_id":"TAX.SOLI","expense_eur":0,"deduction_category":"none"}]},{"scenario":"downside","application_month":6,"licence_month":19,"start_month":19,"end_month":30,"basis":"frozen_application_plan","frozen_on":"2026-10-13","input_snapshot_id":"SNAP.PRE_PROJECTION","expenses":[{"month":19,"expense_row_id":"CAP.DEPRECIATION.FITOUT","expense_eur":0,"deduction_category":"none"},{"month":19,"expense_row_id":"CAP.DEPRECIATION.IT","expense_eur":1041.6666666666667,"deduction_category":"none"},{"month":19,"expense_row_id":"COGS.BILLING","expense_eur":29.97743521197243,"deduction_category":"none"},{"month":19,"expense_row_id":"COGS.CLOUD_FIXED","expense_eur":1500,"deduction_category":"none"},{"month":19,"expense_row_id":"COGS.CLOUD_VARIABLE","expense_eur":348.6824397059653,"deduction_category":"none"},{"month":19,"expense_row_id":"COGS.DISPUTE","expense_eur":25.934705085898994,"deduction_category":"none"},{"month":19,"expense_row_id":"COGS.FRAUD","expense_eur":6.446049778307984,"deduction_category":"none"},{"month":19,"expense_row_id":"COGS.KYC_MINIMUM","expense_eur":18.531136331206696,"deduction_category":"none"},{"month":19,"expense_row_id":"COGS.KYC_VARIABLE","expense_eur":241.4688636687933,"deduction_category":"none"},{"month":19,"expense_row_id":"COGS.MDATA","expense_eur":868.695652173913,"deduction_category":"none"},{"month":19,"expense_row_id":"COGS.PROCESSOR","expense_eur":118.76749805266454,"deduction_category":"none"},{"month":19,"expense_row_id":"COGS.SUPPORT","expense_eur":348.6824397059653,"deduction_category":"none"},{"month":19,"expense_row_id":"COPY.CONNECT_FEE","expense_eur":0,"deduction_category":"none"},{"month":19,"expense_row_id":"COPY.TRADER_EXPENSE","expense_eur":513.8905237222799,"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9621.759583333333,"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192.2104111395543,"deduction_category":"none"},{"month":19,"expense_row_id":"OPX.REG.AUDIT","expense_eur":34000,"deduction_category":"none"},{"month":19,"expense_row_id":"OPX.REG.BAFIN_FEE","expense_eur":60000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256.8808211787149,"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40.67129558413052,"deduction_category":"none"},{"month":20,"expense_row_id":"COGS.CLOUD_FIXED","expense_eur":1500,"deduction_category":"none"},{"month":20,"expense_row_id":"COGS.CLOUD_VARIABLE","expense_eur":382.31300276068816,"deduction_category":"none"},{"month":20,"expense_row_id":"COGS.DISPUTE","expense_eur":36.261790713653184,"deduction_category":"none"},{"month":20,"expense_row_id":"COGS.FRAUD","expense_eur":9.00874107457712,"deduction_category":"none"},{"month":20,"expense_row_id":"COGS.KYC_MINIMUM","expense_eur":103.86828469186362,"deduction_category":"none"},{"month":20,"expense_row_id":"COGS.KYC_VARIABLE","expense_eur":156.1317153081364,"deduction_category":"none"},{"month":20,"expense_row_id":"COGS.MDATA","expense_eur":868.695652173913,"deduction_category":"none"},{"month":20,"expense_row_id":"COGS.PROCESSOR","expense_eur":165.61625734883964,"deduction_category":"none"},{"month":20,"expense_row_id":"COGS.SUPPORT","expense_eur":382.31300276068816,"deduction_category":"none"},{"month":20,"expense_row_id":"COPY.CONNECT_FEE","expense_eur":103.47991846687742,"deduction_category":"none"},{"month":20,"expense_row_id":"COPY.TRADER_EXPENSE","expense_eur":1033.1468718665587,"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3624.7083333333335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209.20946382357917,"deduction_category":"none"},{"month":20,"expense_row_id":"OPX.REG.AUDIT","expense_eur":34000,"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281.28253176115675,"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50.20780223585146,"deduction_category":"none"},{"month":21,"expense_row_id":"COGS.CLOUD_FIXED","expense_eur":1500,"deduction_category":"none"},{"month":21,"expense_row_id":"COGS.CLOUD_VARIABLE","expense_eur":413.74955009731656,"deduction_category":"none"},{"month":21,"expense_row_id":"COGS.DISPUTE","expense_eur":45.681443763464024,"deduction_category":"none"},{"month":21,"expense_row_id":"COGS.FRAUD","expense_eur":11.420687971237683,"deduction_category":"none"},{"month":21,"expense_row_id":"COGS.KYC_MINIMUM","expense_eur":99.70115054070946,"deduction_category":"none"},{"month":21,"expense_row_id":"COGS.KYC_VARIABLE","expense_eur":160.29884945929052,"deduction_category":"none"},{"month":21,"expense_row_id":"COGS.MDATA","expense_eur":868.695652173913,"deduction_category":"none"},{"month":21,"expense_row_id":"COGS.PROCESSOR","expense_eur":208.27070695580895,"deduction_category":"none"},{"month":21,"expense_row_id":"COGS.SUPPORT","expense_eur":413.74955009731656,"deduction_category":"none"},{"month":21,"expense_row_id":"COPY.CONNECT_FEE","expense_eur":115.00070286671186,"deduction_category":"none"},{"month":21,"expense_row_id":"COPY.TRADER_EXPENSE","expense_eur":1515.8027303359465,"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3624.7083333333335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229.3878016564129,"deduction_category":"none"},{"month":21,"expense_row_id":"OPX.REG.AUDIT","expense_eur":34000,"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299.1287188160219,"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60.532249960480065,"deduction_category":"none"},{"month":22,"expense_row_id":"COGS.CLOUD_FIXED","expense_eur":1500,"deduction_category":"none"},{"month":22,"expense_row_id":"COGS.CLOUD_VARIABLE","expense_eur":444.146417837217,"deduction_category":"none"},{"month":22,"expense_row_id":"COGS.DISPUTE","expense_eur":55.27653055376187,"deduction_category":"none"},{"month":22,"expense_row_id":"COGS.FRAUD","expense_eur":13.664490478738168,"deduction_category":"none"},{"month":22,"expense_row_id":"COGS.KYC_MINIMUM","expense_eur":91.74596794884738,"deduction_category":"none"},{"month":22,"expense_row_id":"COGS.KYC_VARIABLE","expense_eur":168.25403205115262,"deduction_category":"none"},{"month":22,"expense_row_id":"COGS.MDATA","expense_eur":868.695652173913,"deduction_category":"none"},{"month":22,"expense_row_id":"COGS.PROCESSOR","expense_eur":251.9375380075126,"deduction_category":"none"},{"month":22,"expense_row_id":"COGS.SUPPORT","expense_eur":444.146417837217,"deduction_category":"none"},{"month":22,"expense_row_id":"COPY.CONNECT_FEE","expense_eur":128.0076095212965,"deduction_category":"none"},{"month":22,"expense_row_id":"COPY.TRADER_EXPENSE","expense_eur":1975.4413540888265,"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3624.7083333333335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248.24973005838996,"deduction_category":"none"},{"month":22,"expense_row_id":"OPX.REG.AUDIT","expense_eur":34000,"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331.0321509938993,"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69.25313066515133,"deduction_category":"none"},{"month":23,"expense_row_id":"COGS.CLOUD_FIXED","expense_eur":1500,"deduction_category":"none"},{"month":23,"expense_row_id":"COGS.CLOUD_VARIABLE","expense_eur":474.31803503620284,"deduction_category":"none"},{"month":23,"expense_row_id":"COGS.DISPUTE","expense_eur":63.93979556478711,"deduction_category":"none"},{"month":23,"expense_row_id":"COGS.FRAUD","expense_eur":15.85825268205036,"deduction_category":"none"},{"month":23,"expense_row_id":"COGS.KYC_MINIMUM","expense_eur":83.68596331703274,"deduction_category":"none"},{"month":23,"expense_row_id":"COGS.KYC_VARIABLE","expense_eur":176.31403668296724,"deduction_category":"none"},{"month":23,"expense_row_id":"COGS.MDATA","expense_eur":868.695652173913,"deduction_category":"none"},{"month":23,"expense_row_id":"COGS.PROCESSOR","expense_eur":291.14907580511937,"deduction_category":"none"},{"month":23,"expense_row_id":"COGS.SUPPORT","expense_eur":474.31803503620284,"deduction_category":"none"},{"month":23,"expense_row_id":"COPY.CONNECT_FEE","expense_eur":140.20831505109885,"deduction_category":"none"},{"month":23,"expense_row_id":"COPY.TRADER_EXPENSE","expense_eur":2421.3982189651288,"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3624.7083333333335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266.4878507023302,"deduction_category":"none"},{"month":23,"expense_row_id":"OPX.REG.AUDIT","expense_eur":34000,"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346.4391096734523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77.95094814188388,"deduction_category":"none"},{"month":24,"expense_row_id":"COGS.CLOUD_FIXED","expense_eur":1500,"deduction_category":"none"},{"month":24,"expense_row_id":"COGS.CLOUD_VARIABLE","expense_eur":504.15714800472097,"deduction_category":"none"},{"month":24,"expense_row_id":"COGS.DISPUTE","expense_eur":72.4923727581536,"deduction_category":"none"},{"month":24,"expense_row_id":"COGS.FRAUD","expense_eur":18.008493884203563,"deduction_category":"none"},{"month":24,"expense_row_id":"COGS.KYC_MINIMUM","expense_eur":75.63705831811379,"deduction_category":"none"},{"month":24,"expense_row_id":"COGS.KYC_VARIABLE","expense_eur":184.3629416818862,"deduction_category":"none"},{"month":24,"expense_row_id":"COGS.MDATA","expense_eur":868.695652173913,"deduction_category":"none"},{"month":24,"expense_row_id":"COGS.PROCESSOR","expense_eur":329.89117749536047,"deduction_category":"none"},{"month":24,"expense_row_id":"COGS.SUPPORT","expense_eur":504.15714800472097,"deduction_category":"none"},{"month":24,"expense_row_id":"COPY.CONNECT_FEE","expense_eur":152.013112713549,"deduction_category":"none"},{"month":24,"expense_row_id":"COPY.TRADER_EXPENSE","expense_eur":2857.807494043459,"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4476.5564583333335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284.5908210217217,"deduction_category":"none"},{"month":24,"expense_row_id":"OPX.REG.AUDIT","expense_eur":34000,"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363.4802833119179,"deduction_category":"none"},{"month":24,"expense_row_id":"TAX.GEWST","expense_eur":0,"deduction_category":"none"},{"month":24,"expense_row_id":"TAX.KST","expense_eur":0,"deduction_category":"none"},{"month":24,"expense_row_id":"TAX.SOLI","expense_eur":0,"deduction_category":"none"},{"month":25,"expense_row_id":"CAP.DEPRECIATION.FITOUT","expense_eur":0,"deduction_category":"none"},{"month":25,"expense_row_id":"CAP.DEPRECIATION.IT","expense_eur":1111.111111111111,"deduction_category":"none"},{"month":25,"expense_row_id":"COGS.BILLING","expense_eur":95.86891852737067,"deduction_category":"none"},{"month":25,"expense_row_id":"COGS.CLOUD_FIXED","expense_eur":1500,"deduction_category":"none"},{"month":25,"expense_row_id":"COGS.CLOUD_VARIABLE","expense_eur":593.259283852807,"deduction_category":"none"},{"month":25,"expense_row_id":"COGS.DISPUTE","expense_eur":87.16975221197208,"deduction_category":"none"},{"month":25,"expense_row_id":"COGS.FRAUD","expense_eur":20.947095841697845,"deduction_category":"none"},{"month":25,"expense_row_id":"COGS.KYC_MINIMUM","expense_eur":37.384549526567596,"deduction_category":"none"},{"month":25,"expense_row_id":"COGS.KYC_VARIABLE","expense_eur":222.61545047343242,"deduction_category":"none"},{"month":25,"expense_row_id":"COGS.MDATA","expense_eur":868.695652173913,"deduction_category":"none"},{"month":25,"expense_row_id":"COGS.PROCESSOR","expense_eur":397.446200357278,"deduction_category":"none"},{"month":25,"expense_row_id":"COGS.SUPPORT","expense_eur":593.259283852807,"deduction_category":"none"},{"month":25,"expense_row_id":"COPY.CONNECT_FEE","expense_eur":163.6992185066212,"deduction_category":"none"},{"month":25,"expense_row_id":"COPY.TRADER_EXPENSE","expense_eur":3385.1235076092503,"deduction_category":"none"},{"month":25,"expense_row_id":"FUND.NOTE_EXPENSE","expense_eur":0,"deduction_category":"none"},{"month":25,"expense_row_id":"OPX.ACCOUNTS","expense_eur":0,"deduction_category":"none"},{"month":25,"expense_row_id":"OPX.BOOKKEEP","expense_eur":4500,"deduction_category":"none"},{"month":25,"expense_row_id":"OPX.BRAND","expense_eur":20000,"deduction_category":"none"},{"month":25,"expense_row_id":"OPX.CONTEST","expense_eur":5000,"deduction_category":"none"},{"month":25,"expense_row_id":"OPX.CONTINGENCY","expense_eur":2838.4083333333333,"deduction_category":"none"},{"month":25,"expense_row_id":"OPX.DESK","expense_eur":4784,"deduction_category":"none"},{"month":25,"expense_row_id":"OPX.FOUNDING.NOTARY","expense_eur":0,"deduction_category":"none"},{"month":25,"expense_row_id":"OPX.FOUNDING.REGISTER","expense_eur":0,"deduction_category":"none"},{"month":25,"expense_row_id":"OPX.IHK","expense_eur":9.166666666666666,"deduction_category":"none"},{"month":25,"expense_row_id":"OPX.INS_PRE","expense_eur":0,"deduction_category":"none"},{"month":25,"expense_row_id":"OPX.MARKETING","expense_eur":120000,"deduction_category":"none"},{"month":25,"expense_row_id":"OPX.MISC","expense_eur":4000,"deduction_category":"none"},{"month":25,"expense_row_id":"OPX.OFFICE","expense_eur":0,"deduction_category":"none"},{"month":25,"expense_row_id":"OPX.PAYROLL","expense_eur":400,"deduction_category":"none"},{"month":25,"expense_row_id":"OPX.RECRUIT","expense_eur":0,"deduction_category":"none"},{"month":25,"expense_row_id":"OPX.REFERRAL","expense_eur":302.49428880283256,"deduction_category":"none"},{"month":25,"expense_row_id":"OPX.REG.AUDIT","expense_eur":17000,"deduction_category":"none"},{"month":25,"expense_row_id":"OPX.REG.BAFIN_FEE","expense_eur":0,"deduction_category":"none"},{"month":25,"expense_row_id":"OPX.REG.DORA_SETUP","expense_eur":0,"deduction_category":"none"},{"month":25,"expense_row_id":"OPX.REG.DORA_TEST","expense_eur":2500,"deduction_category":"none"},{"month":25,"expense_row_id":"OPX.REG.INSURANCE","expense_eur":3333.3333333333335,"deduction_category":"none"},{"month":25,"expense_row_id":"OPX.REG.INT_AUDIT","expense_eur":2916.6666666666665,"deduction_category":"none"},{"month":25,"expense_row_id":"OPX.REG.LEGAL_APP","expense_eur":0,"deduction_category":"none"},{"month":25,"expense_row_id":"OPX.REG.LEGAL_RUN","expense_eur":6250,"deduction_category":"none"},{"month":25,"expense_row_id":"OPX.REG.LEVY","expense_eur":541.6666666666666,"deduction_category":"none"},{"month":25,"expense_row_id":"OPX.REG.SURVEIL","expense_eur":3333.3333333333335,"deduction_category":"none"},{"month":25,"expense_row_id":"OPX.ROUND_COSTS.A","expense_eur":0,"deduction_category":"none"},{"month":25,"expense_row_id":"OPX.ROUND_COSTS.B.LEGAL","expense_eur":0,"deduction_category":"none"},{"month":25,"expense_row_id":"OPX.ROUND_COSTS.B.NOTARY","expense_eur":0,"deduction_category":"none"},{"month":25,"expense_row_id":"OPX.ROUND_COSTS.SEED","expense_eur":0,"deduction_category":"none"},{"month":25,"expense_row_id":"OPX.SOFTWARE","expense_eur":7200,"deduction_category":"none"},{"month":25,"expense_row_id":"PPL.AV","expense_eur":1512.444964875,"deduction_category":"none"},{"month":25,"expense_row_id":"PPL.BG","expense_eur":355.3440789375,"deduction_category":"none"},{"month":25,"expense_row_id":"PPL.INSOLV","expense_eur":174.5128805625,"deduction_category":"none"},{"month":25,"expense_row_id":"PPL.KV","expense_eur":9045.897958125,"deduction_category":"none"},{"month":25,"expense_row_id":"PPL.PV","expense_eur":1839.8436525,"deduction_category":"none"},{"month":25,"expense_row_id":"PPL.RV","expense_eur":11576.0210773125,"deduction_category":"none"},{"month":25,"expense_row_id":"PPL.SALARY","expense_eur":118448.0263125,"deduction_category":"none"},{"month":25,"expense_row_id":"PPL.U1","expense_eur":2443.180327875,"deduction_category":"none"},{"month":25,"expense_row_id":"PPL.U2","expense_eur":511.90444965,"deduction_category":"none"},{"month":25,"expense_row_id":"SUB.STORE_FEE","expense_eur":472.93489362320673,"deduction_category":"none"},{"month":25,"expense_row_id":"TAX.GEWST","expense_eur":0,"deduction_category":"none"},{"month":25,"expense_row_id":"TAX.KST","expense_eur":0,"deduction_category":"none"},{"month":25,"expense_row_id":"TAX.SOLI","expense_eur":0,"deduction_category":"none"},{"month":26,"expense_row_id":"CAP.DEPRECIATION.FITOUT","expense_eur":0,"deduction_category":"none"},{"month":26,"expense_row_id":"CAP.DEPRECIATION.IT","expense_eur":1111.111111111111,"deduction_category":"none"},{"month":26,"expense_row_id":"COGS.BILLING","expense_eur":108.33778585675346,"deduction_category":"none"},{"month":26,"expense_row_id":"COGS.CLOUD_FIXED","expense_eur":1500,"deduction_category":"none"},{"month":26,"expense_row_id":"COGS.CLOUD_VARIABLE","expense_eur":664.6560273621237,"deduction_category":"none"},{"month":26,"expense_row_id":"COGS.DISPUTE","expense_eur":99.33947583098599,"deduction_category":"none"},{"month":26,"expense_row_id":"COGS.FRAUD","expense_eur":23.990683776404115,"deduction_category":"none"},{"month":26,"expense_row_id":"COGS.KYC_MINIMUM","expense_eur":1.477560077487228,"deduction_category":"none"},{"month":26,"expense_row_id":"COGS.KYC_VARIABLE","expense_eur":258.5224399225128,"deduction_category":"none"},{"month":26,"expense_row_id":"COGS.MDATA","expense_eur":868.695652173913,"deduction_category":"none"},{"month":26,"expense_row_id":"COGS.PROCESSOR","expense_eur":452.60654900652025,"deduction_category":"none"},{"month":26,"expense_row_id":"COGS.SUPPORT","expense_eur":664.6560273621237,"deduction_category":"none"},{"month":26,"expense_row_id":"COPY.CONNECT_FEE","expense_eur":175.73511915953335,"deduction_category":"none"},{"month":26,"expense_row_id":"COPY.TRADER_EXPENSE","expense_eur":3941.8521048409443,"deduction_category":"none"},{"month":26,"expense_row_id":"FUND.NOTE_EXPENSE","expense_eur":0,"deduction_category":"none"},{"month":26,"expense_row_id":"OPX.ACCOUNTS","expense_eur":0,"deduction_category":"none"},{"month":26,"expense_row_id":"OPX.BOOKKEEP","expense_eur":4500,"deduction_category":"none"},{"month":26,"expense_row_id":"OPX.BRAND","expense_eur":20000,"deduction_category":"none"},{"month":26,"expense_row_id":"OPX.CONTEST","expense_eur":5000,"deduction_category":"none"},{"month":26,"expense_row_id":"OPX.CONTINGENCY","expense_eur":2838.4083333333333,"deduction_category":"none"},{"month":26,"expense_row_id":"OPX.DESK","expense_eur":4784,"deduction_category":"none"},{"month":26,"expense_row_id":"OPX.FOUNDING.NOTARY","expense_eur":0,"deduction_category":"none"},{"month":26,"expense_row_id":"OPX.FOUNDING.REGISTER","expense_eur":0,"deduction_category":"none"},{"month":26,"expense_row_id":"OPX.IHK","expense_eur":9.166666666666666,"deduction_category":"none"},{"month":26,"expense_row_id":"OPX.INS_PRE","expense_eur":0,"deduction_category":"none"},{"month":26,"expense_row_id":"OPX.MARKETING","expense_eur":120000,"deduction_category":"none"},{"month":26,"expense_row_id":"OPX.MISC","expense_eur":4000,"deduction_category":"none"},{"month":26,"expense_row_id":"OPX.OFFICE","expense_eur":0,"deduction_category":"none"},{"month":26,"expense_row_id":"OPX.PAYROLL","expense_eur":400,"deduction_category":"none"},{"month":26,"expense_row_id":"OPX.RECRUIT","expense_eur":0,"deduction_category":"none"},{"month":26,"expense_row_id":"OPX.REFERRAL","expense_eur":355.95557031168426,"deduction_category":"none"},{"month":26,"expense_row_id":"OPX.REG.AUDIT","expense_eur":17000,"deduction_category":"none"},{"month":26,"expense_row_id":"OPX.REG.BAFIN_FEE","expense_eur":0,"deduction_category":"none"},{"month":26,"expense_row_id":"OPX.REG.DORA_SETUP","expense_eur":0,"deduction_category":"none"},{"month":26,"expense_row_id":"OPX.REG.DORA_TEST","expense_eur":2500,"deduction_category":"none"},{"month":26,"expense_row_id":"OPX.REG.INSURANCE","expense_eur":3333.3333333333335,"deduction_category":"none"},{"month":26,"expense_row_id":"OPX.REG.INT_AUDIT","expense_eur":2916.6666666666665,"deduction_category":"none"},{"month":26,"expense_row_id":"OPX.REG.LEGAL_APP","expense_eur":0,"deduction_category":"none"},{"month":26,"expense_row_id":"OPX.REG.LEGAL_RUN","expense_eur":6250,"deduction_category":"none"},{"month":26,"expense_row_id":"OPX.REG.LEVY","expense_eur":541.6666666666666,"deduction_category":"none"},{"month":26,"expense_row_id":"OPX.REG.SURVEIL","expense_eur":3333.3333333333335,"deduction_category":"none"},{"month":26,"expense_row_id":"OPX.ROUND_COSTS.A","expense_eur":0,"deduction_category":"none"},{"month":26,"expense_row_id":"OPX.ROUND_COSTS.B.LEGAL","expense_eur":0,"deduction_category":"none"},{"month":26,"expense_row_id":"OPX.ROUND_COSTS.B.NOTARY","expense_eur":0,"deduction_category":"none"},{"month":26,"expense_row_id":"OPX.ROUND_COSTS.SEED","expense_eur":0,"deduction_category":"none"},{"month":26,"expense_row_id":"OPX.SOFTWARE","expense_eur":7200,"deduction_category":"none"},{"month":26,"expense_row_id":"PPL.AV","expense_eur":1512.444964875,"deduction_category":"none"},{"month":26,"expense_row_id":"PPL.BG","expense_eur":355.3440789375,"deduction_category":"none"},{"month":26,"expense_row_id":"PPL.INSOLV","expense_eur":174.5128805625,"deduction_category":"none"},{"month":26,"expense_row_id":"PPL.KV","expense_eur":9045.897958125,"deduction_category":"none"},{"month":26,"expense_row_id":"PPL.PV","expense_eur":1839.8436525,"deduction_category":"none"},{"month":26,"expense_row_id":"PPL.RV","expense_eur":11576.0210773125,"deduction_category":"none"},{"month":26,"expense_row_id":"PPL.SALARY","expense_eur":118448.0263125,"deduction_category":"none"},{"month":26,"expense_row_id":"PPL.U1","expense_eur":2443.180327875,"deduction_category":"none"},{"month":26,"expense_row_id":"PPL.U2","expense_eur":511.90444965,"deduction_category":"none"},{"month":26,"expense_row_id":"SUB.STORE_FEE","expense_eur":511.1468029789885,"deduction_category":"none"},{"month":26,"expense_row_id":"TAX.GEWST","expense_eur":0,"deduction_category":"none"},{"month":26,"expense_row_id":"TAX.KST","expense_eur":0,"deduction_category":"none"},{"month":26,"expense_row_id":"TAX.SOLI","expense_eur":0,"deduction_category":"none"},{"month":27,"expense_row_id":"CAP.DEPRECIATION.FITOUT","expense_eur":0,"deduction_category":"none"},{"month":27,"expense_row_id":"CAP.DEPRECIATION.IT","expense_eur":1111.111111111111,"deduction_category":"none"},{"month":27,"expense_row_id":"COGS.BILLING","expense_eur":121.27125667962966,"deduction_category":"none"},{"month":27,"expense_row_id":"COGS.CLOUD_FIXED","expense_eur":1500,"deduction_category":"none"},{"month":27,"expense_row_id":"COGS.CLOUD_VARIABLE","expense_eur":731.282331836724,"deduction_category":"none"},{"month":27,"expense_row_id":"COGS.DISPUTE","expense_eur":111.95008293024523,"deduction_category":"none"},{"month":27,"expense_row_id":"COGS.FRAUD","expense_eur":27.145948678720917,"deduction_category":"none"},{"month":27,"expense_row_id":"COGS.KYC_MINIMUM","expense_eur":0,"deduction_category":"none"},{"month":27,"expense_row_id":"COGS.KYC_VARIABLE","expense_eur":274.84954666835955,"deduction_category":"none"},{"month":27,"expense_row_id":"COGS.MDATA","expense_eur":868.695652173913,"deduction_category":"none"},{"month":27,"expense_row_id":"COGS.PROCESSOR","expense_eur":509.7698419758895,"deduction_category":"none"},{"month":27,"expense_row_id":"COGS.SUPPORT","expense_eur":731.282331836724,"deduction_category":"none"},{"month":27,"expense_row_id":"COPY.CONNECT_FEE","expense_eur":206.58593493783894,"deduction_category":"none"},{"month":27,"expense_row_id":"COPY.TRADER_EXPENSE","expense_eur":4527.90421962974,"deduction_category":"none"},{"month":27,"expense_row_id":"FUND.NOTE_EXPENSE","expense_eur":0,"deduction_category":"none"},{"month":27,"expense_row_id":"OPX.ACCOUNTS","expense_eur":0,"deduction_category":"none"},{"month":27,"expense_row_id":"OPX.BOOKKEEP","expense_eur":4500,"deduction_category":"none"},{"month":27,"expense_row_id":"OPX.BRAND","expense_eur":20000,"deduction_category":"none"},{"month":27,"expense_row_id":"OPX.CONTEST","expense_eur":5000,"deduction_category":"none"},{"month":27,"expense_row_id":"OPX.CONTINGENCY","expense_eur":2838.4083333333333,"deduction_category":"none"},{"month":27,"expense_row_id":"OPX.DESK","expense_eur":4784,"deduction_category":"none"},{"month":27,"expense_row_id":"OPX.FOUNDING.NOTARY","expense_eur":0,"deduction_category":"none"},{"month":27,"expense_row_id":"OPX.FOUNDING.REGISTER","expense_eur":0,"deduction_category":"none"},{"month":27,"expense_row_id":"OPX.IHK","expense_eur":9.166666666666666,"deduction_category":"none"},{"month":27,"expense_row_id":"OPX.INS_PRE","expense_eur":0,"deduction_category":"none"},{"month":27,"expense_row_id":"OPX.MARKETING","expense_eur":120000,"deduction_category":"none"},{"month":27,"expense_row_id":"OPX.MISC","expense_eur":4000,"deduction_category":"none"},{"month":27,"expense_row_id":"OPX.OFFICE","expense_eur":0,"deduction_category":"none"},{"month":27,"expense_row_id":"OPX.PAYROLL","expense_eur":400,"deduction_category":"none"},{"month":27,"expense_row_id":"OPX.RECRUIT","expense_eur":0,"deduction_category":"none"},{"month":27,"expense_row_id":"OPX.REFERRAL","expense_eur":398.7936164172742,"deduction_category":"none"},{"month":27,"expense_row_id":"OPX.REG.AUDIT","expense_eur":17000,"deduction_category":"none"},{"month":27,"expense_row_id":"OPX.REG.BAFIN_FEE","expense_eur":0,"deduction_category":"none"},{"month":27,"expense_row_id":"OPX.REG.DORA_SETUP","expense_eur":0,"deduction_category":"none"},{"month":27,"expense_row_id":"OPX.REG.DORA_TEST","expense_eur":2500,"deduction_category":"none"},{"month":27,"expense_row_id":"OPX.REG.INSURANCE","expense_eur":3333.3333333333335,"deduction_category":"none"},{"month":27,"expense_row_id":"OPX.REG.INT_AUDIT","expense_eur":2916.6666666666665,"deduction_category":"none"},{"month":27,"expense_row_id":"OPX.REG.LEGAL_APP","expense_eur":0,"deduction_category":"none"},{"month":27,"expense_row_id":"OPX.REG.LEGAL_RUN","expense_eur":6250,"deduction_category":"none"},{"month":27,"expense_row_id":"OPX.REG.LEVY","expense_eur":541.6666666666666,"deduction_category":"none"},{"month":27,"expense_row_id":"OPX.REG.SURVEIL","expense_eur":3333.3333333333335,"deduction_category":"none"},{"month":27,"expense_row_id":"OPX.ROUND_COSTS.A","expense_eur":0,"deduction_category":"none"},{"month":27,"expense_row_id":"OPX.ROUND_COSTS.B.LEGAL","expense_eur":0,"deduction_category":"none"},{"month":27,"expense_row_id":"OPX.ROUND_COSTS.B.NOTARY","expense_eur":0,"deduction_category":"none"},{"month":27,"expense_row_id":"OPX.ROUND_COSTS.SEED","expense_eur":0,"deduction_category":"none"},{"month":27,"expense_row_id":"OPX.SOFTWARE","expense_eur":7200,"deduction_category":"none"},{"month":27,"expense_row_id":"PPL.AV","expense_eur":1512.444964875,"deduction_category":"none"},{"month":27,"expense_row_id":"PPL.BG","expense_eur":355.3440789375,"deduction_category":"none"},{"month":27,"expense_row_id":"PPL.INSOLV","expense_eur":174.5128805625,"deduction_category":"none"},{"month":27,"expense_row_id":"PPL.KV","expense_eur":9045.897958125,"deduction_category":"none"},{"month":27,"expense_row_id":"PPL.PV","expense_eur":1839.8436525,"deduction_category":"none"},{"month":27,"expense_row_id":"PPL.RV","expense_eur":11576.0210773125,"deduction_category":"none"},{"month":27,"expense_row_id":"PPL.SALARY","expense_eur":118448.0263125,"deduction_category":"none"},{"month":27,"expense_row_id":"PPL.U1","expense_eur":2443.180327875,"deduction_category":"none"},{"month":27,"expense_row_id":"PPL.U2","expense_eur":511.90444965,"deduction_category":"none"},{"month":27,"expense_row_id":"SUB.STORE_FEE","expense_eur":549.0674307866462,"deduction_category":"none"},{"month":27,"expense_row_id":"TAX.GEWST","expense_eur":0,"deduction_category":"none"},{"month":27,"expense_row_id":"TAX.KST","expense_eur":0,"deduction_category":"none"},{"month":27,"expense_row_id":"TAX.SOLI","expense_eur":0,"deduction_category":"none"},{"month":28,"expense_row_id":"CAP.DEPRECIATION.FITOUT","expense_eur":0,"deduction_category":"none"},{"month":28,"expense_row_id":"CAP.DEPRECIATION.IT","expense_eur":1111.111111111111,"deduction_category":"none"},{"month":28,"expense_row_id":"COGS.BILLING","expense_eur":134.53152681974186,"deduction_category":"none"},{"month":28,"expense_row_id":"COGS.CLOUD_FIXED","expense_eur":1500,"deduction_category":"none"},{"month":28,"expense_row_id":"COGS.CLOUD_VARIABLE","expense_eur":795.411158023885,"deduction_category":"none"},{"month":28,"expense_row_id":"COGS.DISPUTE","expense_eur":124.9137631616628,"deduction_category":"none"},{"month":28,"expense_row_id":"COGS.FRAUD","expense_eur":30.403012441373814,"deduction_category":"none"},{"month":28,"expense_row_id":"COGS.KYC_MINIMUM","expense_eur":0,"deduction_category":"none"},{"month":28,"expense_row_id":"COGS.KYC_VARIABLE","expense_eur":292.8903091973732,"deduction_category":"none"},{"month":28,"expense_row_id":"COGS.MDATA","expense_eur":868.695652173913,"deduction_category":"none"},{"month":28,"expense_row_id":"COGS.PROCESSOR","expense_eur":568.5209870377886,"deduction_category":"none"},{"month":28,"expense_row_id":"COGS.SUPPORT","expense_eur":795.411158023885,"deduction_category":"none"},{"month":28,"expense_row_id":"COPY.CONNECT_FEE","expense_eur":232.00616971721766,"deduction_category":"none"},{"month":28,"expense_row_id":"COPY.TRADER_EXPENSE","expense_eur":5141.390731268934,"deduction_category":"none"},{"month":28,"expense_row_id":"FUND.NOTE_EXPENSE","expense_eur":0,"deduction_category":"none"},{"month":28,"expense_row_id":"OPX.ACCOUNTS","expense_eur":0,"deduction_category":"none"},{"month":28,"expense_row_id":"OPX.BOOKKEEP","expense_eur":4500,"deduction_category":"none"},{"month":28,"expense_row_id":"OPX.BRAND","expense_eur":20000,"deduction_category":"none"},{"month":28,"expense_row_id":"OPX.CONTEST","expense_eur":5000,"deduction_category":"none"},{"month":28,"expense_row_id":"OPX.CONTINGENCY","expense_eur":2838.4083333333333,"deduction_category":"none"},{"month":28,"expense_row_id":"OPX.DESK","expense_eur":4784,"deduction_category":"none"},{"month":28,"expense_row_id":"OPX.FOUNDING.NOTARY","expense_eur":0,"deduction_category":"none"},{"month":28,"expense_row_id":"OPX.FOUNDING.REGISTER","expense_eur":0,"deduction_category":"none"},{"month":28,"expense_row_id":"OPX.IHK","expense_eur":9.166666666666666,"deduction_category":"none"},{"month":28,"expense_row_id":"OPX.INS_PRE","expense_eur":0,"deduction_category":"none"},{"month":28,"expense_row_id":"OPX.MARKETING","expense_eur":120000,"deduction_category":"none"},{"month":28,"expense_row_id":"OPX.MISC","expense_eur":4000,"deduction_category":"none"},{"month":28,"expense_row_id":"OPX.OFFICE","expense_eur":0,"deduction_category":"none"},{"month":28,"expense_row_id":"OPX.PAYROLL","expense_eur":400,"deduction_category":"none"},{"month":28,"expense_row_id":"OPX.RECRUIT","expense_eur":0,"deduction_category":"none"},{"month":28,"expense_row_id":"OPX.REFERRAL","expense_eur":438.76939910203436,"deduction_category":"none"},{"month":28,"expense_row_id":"OPX.REG.AUDIT","expense_eur":17000,"deduction_category":"none"},{"month":28,"expense_row_id":"OPX.REG.BAFIN_FEE","expense_eur":0,"deduction_category":"none"},{"month":28,"expense_row_id":"OPX.REG.DORA_SETUP","expense_eur":0,"deduction_category":"none"},{"month":28,"expense_row_id":"OPX.REG.DORA_TEST","expense_eur":2500,"deduction_category":"none"},{"month":28,"expense_row_id":"OPX.REG.INSURANCE","expense_eur":3333.3333333333335,"deduction_category":"none"},{"month":28,"expense_row_id":"OPX.REG.INT_AUDIT","expense_eur":2916.6666666666665,"deduction_category":"none"},{"month":28,"expense_row_id":"OPX.REG.LEGAL_APP","expense_eur":0,"deduction_category":"none"},{"month":28,"expense_row_id":"OPX.REG.LEGAL_RUN","expense_eur":6250,"deduction_category":"none"},{"month":28,"expense_row_id":"OPX.REG.LEVY","expense_eur":541.6666666666666,"deduction_category":"none"},{"month":28,"expense_row_id":"OPX.REG.SURVEIL","expense_eur":3333.3333333333335,"deduction_category":"none"},{"month":28,"expense_row_id":"OPX.ROUND_COSTS.A","expense_eur":0,"deduction_category":"none"},{"month":28,"expense_row_id":"OPX.ROUND_COSTS.B.LEGAL","expense_eur":0,"deduction_category":"none"},{"month":28,"expense_row_id":"OPX.ROUND_COSTS.B.NOTARY","expense_eur":0,"deduction_category":"none"},{"month":28,"expense_row_id":"OPX.ROUND_COSTS.SEED","expense_eur":0,"deduction_category":"none"},{"month":28,"expense_row_id":"OPX.SOFTWARE","expense_eur":7200,"deduction_category":"none"},{"month":28,"expense_row_id":"PPL.AV","expense_eur":1512.444964875,"deduction_category":"none"},{"month":28,"expense_row_id":"PPL.BG","expense_eur":355.3440789375,"deduction_category":"none"},{"month":28,"expense_row_id":"PPL.INSOLV","expense_eur":174.5128805625,"deduction_category":"none"},{"month":28,"expense_row_id":"PPL.KV","expense_eur":9045.897958125,"deduction_category":"none"},{"month":28,"expense_row_id":"PPL.PV","expense_eur":1839.8436525,"deduction_category":"none"},{"month":28,"expense_row_id":"PPL.RV","expense_eur":11576.0210773125,"deduction_category":"none"},{"month":28,"expense_row_id":"PPL.SALARY","expense_eur":118448.0263125,"deduction_category":"none"},{"month":28,"expense_row_id":"PPL.U1","expense_eur":2443.180327875,"deduction_category":"none"},{"month":28,"expense_row_id":"PPL.U2","expense_eur":511.90444965,"deduction_category":"none"},{"month":28,"expense_row_id":"SUB.STORE_FEE","expense_eur":585.4215751659104,"deduction_category":"none"},{"month":28,"expense_row_id":"TAX.GEWST","expense_eur":0,"deduction_category":"none"},{"month":28,"expense_row_id":"TAX.KST","expense_eur":0,"deduction_category":"none"},{"month":28,"expense_row_id":"TAX.SOLI","expense_eur":0,"deduction_category":"none"},{"month":29,"expense_row_id":"CAP.DEPRECIATION.FITOUT","expense_eur":0,"deduction_category":"none"},{"month":29,"expense_row_id":"CAP.DEPRECIATION.IT","expense_eur":1111.111111111111,"deduction_category":"none"},{"month":29,"expense_row_id":"COGS.BILLING","expense_eur":147.97712239266681,"deduction_category":"none"},{"month":29,"expense_row_id":"COGS.CLOUD_FIXED","expense_eur":1500,"deduction_category":"none"},{"month":29,"expense_row_id":"COGS.CLOUD_VARIABLE","expense_eur":856.922802393994,"deduction_category":"none"},{"month":29,"expense_row_id":"COGS.DISPUTE","expense_eur":138.078540724601,"deduction_category":"none"},{"month":29,"expense_row_id":"COGS.FRAUD","expense_eur":33.722613149942426,"deduction_category":"none"},{"month":29,"expense_row_id":"COGS.KYC_MINIMUM","expense_eur":0,"deduction_category":"none"},{"month":29,"expense_row_id":"COGS.KYC_VARIABLE","expense_eur":310.2716471703848,"deduction_category":"none"},{"month":29,"expense_row_id":"COGS.MDATA","expense_eur":868.695652173913,"deduction_category":"none"},{"month":29,"expense_row_id":"COGS.PROCESSOR","expense_eur":628.1762253022662,"deduction_category":"none"},{"month":29,"expense_row_id":"COGS.SUPPORT","expense_eur":856.922802393994,"deduction_category":"none"},{"month":29,"expense_row_id":"COPY.CONNECT_FEE","expense_eur":256.0608881849127,"deduction_category":"none"},{"month":29,"expense_row_id":"COPY.TRADER_EXPENSE","expense_eur":5772.605111133613,"deduction_category":"none"},{"month":29,"expense_row_id":"FUND.NOTE_EXPENSE","expense_eur":0,"deduction_category":"none"},{"month":29,"expense_row_id":"OPX.ACCOUNTS","expense_eur":0,"deduction_category":"none"},{"month":29,"expense_row_id":"OPX.BOOKKEEP","expense_eur":4500,"deduction_category":"none"},{"month":29,"expense_row_id":"OPX.BRAND","expense_eur":20000,"deduction_category":"none"},{"month":29,"expense_row_id":"OPX.CONTEST","expense_eur":5000,"deduction_category":"none"},{"month":29,"expense_row_id":"OPX.CONTINGENCY","expense_eur":2838.4083333333333,"deduction_category":"none"},{"month":29,"expense_row_id":"OPX.DESK","expense_eur":4784,"deduction_category":"none"},{"month":29,"expense_row_id":"OPX.FOUNDING.NOTARY","expense_eur":0,"deduction_category":"none"},{"month":29,"expense_row_id":"OPX.FOUNDING.REGISTER","expense_eur":0,"deduction_category":"none"},{"month":29,"expense_row_id":"OPX.IHK","expense_eur":9.166666666666666,"deduction_category":"none"},{"month":29,"expense_row_id":"OPX.INS_PRE","expense_eur":0,"deduction_category":"none"},{"month":29,"expense_row_id":"OPX.MARKETING","expense_eur":120000,"deduction_category":"none"},{"month":29,"expense_row_id":"OPX.MISC","expense_eur":4000,"deduction_category":"none"},{"month":29,"expense_row_id":"OPX.OFFICE","expense_eur":0,"deduction_category":"none"},{"month":29,"expense_row_id":"OPX.PAYROLL","expense_eur":400,"deduction_category":"none"},{"month":29,"expense_row_id":"OPX.RECRUIT","expense_eur":0,"deduction_category":"none"},{"month":29,"expense_row_id":"OPX.REFERRAL","expense_eur":477.246694814331,"deduction_category":"none"},{"month":29,"expense_row_id":"OPX.REG.AUDIT","expense_eur":17000,"deduction_category":"none"},{"month":29,"expense_row_id":"OPX.REG.BAFIN_FEE","expense_eur":0,"deduction_category":"none"},{"month":29,"expense_row_id":"OPX.REG.DORA_SETUP","expense_eur":0,"deduction_category":"none"},{"month":29,"expense_row_id":"OPX.REG.DORA_TEST","expense_eur":2500,"deduction_category":"none"},{"month":29,"expense_row_id":"OPX.REG.INSURANCE","expense_eur":3333.3333333333335,"deduction_category":"none"},{"month":29,"expense_row_id":"OPX.REG.INT_AUDIT","expense_eur":2916.6666666666665,"deduction_category":"none"},{"month":29,"expense_row_id":"OPX.REG.LEGAL_APP","expense_eur":0,"deduction_category":"none"},{"month":29,"expense_row_id":"OPX.REG.LEGAL_RUN","expense_eur":6250,"deduction_category":"none"},{"month":29,"expense_row_id":"OPX.REG.LEVY","expense_eur":541.6666666666666,"deduction_category":"none"},{"month":29,"expense_row_id":"OPX.REG.SURVEIL","expense_eur":3333.3333333333335,"deduction_category":"none"},{"month":29,"expense_row_id":"OPX.ROUND_COSTS.A","expense_eur":0,"deduction_category":"none"},{"month":29,"expense_row_id":"OPX.ROUND_COSTS.B.LEGAL","expense_eur":0,"deduction_category":"none"},{"month":29,"expense_row_id":"OPX.ROUND_COSTS.B.NOTARY","expense_eur":0,"deduction_category":"none"},{"month":29,"expense_row_id":"OPX.ROUND_COSTS.SEED","expense_eur":0,"deduction_category":"none"},{"month":29,"expense_row_id":"OPX.SOFTWARE","expense_eur":7200,"deduction_category":"none"},{"month":29,"expense_row_id":"PPL.AV","expense_eur":1512.444964875,"deduction_category":"none"},{"month":29,"expense_row_id":"PPL.BG","expense_eur":355.3440789375,"deduction_category":"none"},{"month":29,"expense_row_id":"PPL.INSOLV","expense_eur":174.5128805625,"deduction_category":"none"},{"month":29,"expense_row_id":"PPL.KV","expense_eur":9045.897958125,"deduction_category":"none"},{"month":29,"expense_row_id":"PPL.PV","expense_eur":1839.8436525,"deduction_category":"none"},{"month":29,"expense_row_id":"PPL.RV","expense_eur":11576.0210773125,"deduction_category":"none"},{"month":29,"expense_row_id":"PPL.SALARY","expense_eur":118448.0263125,"deduction_category":"none"},{"month":29,"expense_row_id":"PPL.U1","expense_eur":2443.180327875,"deduction_category":"none"},{"month":29,"expense_row_id":"PPL.U2","expense_eur":511.90444965,"deduction_category":"none"},{"month":29,"expense_row_id":"SUB.STORE_FEE","expense_eur":620.4535122274325,"deduction_category":"none"},{"month":29,"expense_row_id":"TAX.GEWST","expense_eur":0,"deduction_category":"none"},{"month":29,"expense_row_id":"TAX.KST","expense_eur":0,"deduction_category":"none"},{"month":29,"expense_row_id":"TAX.SOLI","expense_eur":0,"deduction_category":"none"},{"month":30,"expense_row_id":"CAP.DEPRECIATION.FITOUT","expense_eur":0,"deduction_category":"none"},{"month":30,"expense_row_id":"CAP.DEPRECIATION.IT","expense_eur":1111.111111111111,"deduction_category":"none"},{"month":30,"expense_row_id":"COGS.BILLING","expense_eur":161.64164459196297,"deduction_category":"none"},{"month":30,"expense_row_id":"COGS.CLOUD_FIXED","expense_eur":1500,"deduction_category":"none"},{"month":30,"expense_row_id":"COGS.CLOUD_VARIABLE","expense_eur":917.0051513128807,"deduction_category":"none"},{"month":30,"expense_row_id":"COGS.DISPUTE","expense_eur":151.47037187072127,"deduction_category":"none"},{"month":30,"expense_row_id":"COGS.FRAUD","expense_eur":37.108962719304074,"deduction_category":"none"},{"month":30,"expense_row_id":"COGS.KYC_MINIMUM","expense_eur":0,"deduction_category":"none"},{"month":30,"expense_row_id":"COGS.KYC_VARIABLE","expense_eur":326.84858703784374,"deduction_category":"none"},{"month":30,"expense_row_id":"COGS.MDATA","expense_eur":868.695652173913,"deduction_category":"none"},{"month":30,"expense_row_id":"COGS.PROCESSOR","expense_eur":688.8557082441826,"deduction_category":"none"},{"month":30,"expense_row_id":"COGS.SUPPORT","expense_eur":917.0051513128807,"deduction_category":"none"},{"month":30,"expense_row_id":"COPY.CONNECT_FEE","expense_eur":279.4175403331918,"deduction_category":"none"},{"month":30,"expense_row_id":"COPY.TRADER_EXPENSE","expense_eur":6422.429206449609,"deduction_category":"none"},{"month":30,"expense_row_id":"FUND.NOTE_EXPENSE","expense_eur":0,"deduction_category":"none"},{"month":30,"expense_row_id":"OPX.ACCOUNTS","expense_eur":0,"deduction_category":"none"},{"month":30,"expense_row_id":"OPX.BOOKKEEP","expense_eur":4500,"deduction_category":"none"},{"month":30,"expense_row_id":"OPX.BRAND","expense_eur":20000,"deduction_category":"none"},{"month":30,"expense_row_id":"OPX.CONTEST","expense_eur":5000,"deduction_category":"none"},{"month":30,"expense_row_id":"OPX.CONTINGENCY","expense_eur":2838.4083333333333,"deduction_category":"none"},{"month":30,"expense_row_id":"OPX.DESK","expense_eur":4784,"deduction_category":"none"},{"month":30,"expense_row_id":"OPX.FOUNDING.NOTARY","expense_eur":0,"deduction_category":"none"},{"month":30,"expense_row_id":"OPX.FOUNDING.REGISTER","expense_eur":0,"deduction_category":"none"},{"month":30,"expense_row_id":"OPX.IHK","expense_eur":9.166666666666666,"deduction_category":"none"},{"month":30,"expense_row_id":"OPX.INS_PRE","expense_eur":0,"deduction_category":"none"},{"month":30,"expense_row_id":"OPX.MARKETING","expense_eur":120000,"deduction_category":"none"},{"month":30,"expense_row_id":"OPX.MISC","expense_eur":4000,"deduction_category":"none"},{"month":30,"expense_row_id":"OPX.OFFICE","expense_eur":0,"deduction_category":"none"},{"month":30,"expense_row_id":"OPX.PAYROLL","expense_eur":400,"deduction_category":"none"},{"month":30,"expense_row_id":"OPX.RECRUIT","expense_eur":0,"deduction_category":"none"},{"month":30,"expense_row_id":"OPX.REFERRAL","expense_eur":514.1536814363964,"deduction_category":"none"},{"month":30,"expense_row_id":"OPX.REG.AUDIT","expense_eur":17000,"deduction_category":"none"},{"month":30,"expense_row_id":"OPX.REG.BAFIN_FEE","expense_eur":0,"deduction_category":"none"},{"month":30,"expense_row_id":"OPX.REG.DORA_SETUP","expense_eur":0,"deduction_category":"none"},{"month":30,"expense_row_id":"OPX.REG.DORA_TEST","expense_eur":2500,"deduction_category":"none"},{"month":30,"expense_row_id":"OPX.REG.INSURANCE","expense_eur":3333.3333333333335,"deduction_category":"none"},{"month":30,"expense_row_id":"OPX.REG.INT_AUDIT","expense_eur":2916.6666666666665,"deduction_category":"none"},{"month":30,"expense_row_id":"OPX.REG.LEGAL_APP","expense_eur":0,"deduction_category":"none"},{"month":30,"expense_row_id":"OPX.REG.LEGAL_RUN","expense_eur":6250,"deduction_category":"none"},{"month":30,"expense_row_id":"OPX.REG.LEVY","expense_eur":541.6666666666666,"deduction_category":"none"},{"month":30,"expense_row_id":"OPX.REG.SURVEIL","expense_eur":3333.3333333333335,"deduction_category":"none"},{"month":30,"expense_row_id":"OPX.ROUND_COSTS.A","expense_eur":0,"deduction_category":"none"},{"month":30,"expense_row_id":"OPX.ROUND_COSTS.B.LEGAL","expense_eur":0,"deduction_category":"none"},{"month":30,"expense_row_id":"OPX.ROUND_COSTS.B.NOTARY","expense_eur":0,"deduction_category":"none"},{"month":30,"expense_row_id":"OPX.ROUND_COSTS.SEED","expense_eur":0,"deduction_category":"none"},{"month":30,"expense_row_id":"OPX.SOFTWARE","expense_eur":7200,"deduction_category":"none"},{"month":30,"expense_row_id":"PPL.AV","expense_eur":1512.444964875,"deduction_category":"none"},{"month":30,"expense_row_id":"PPL.BG","expense_eur":355.3440789375,"deduction_category":"none"},{"month":30,"expense_row_id":"PPL.INSOLV","expense_eur":174.5128805625,"deduction_category":"none"},{"month":30,"expense_row_id":"PPL.KV","expense_eur":9045.897958125,"deduction_category":"none"},{"month":30,"expense_row_id":"PPL.PV","expense_eur":1839.8436525,"deduction_category":"none"},{"month":30,"expense_row_id":"PPL.RV","expense_eur":11576.0210773125,"deduction_category":"none"},{"month":30,"expense_row_id":"PPL.SALARY","expense_eur":118448.0263125,"deduction_category":"none"},{"month":30,"expense_row_id":"PPL.U1","expense_eur":2443.180327875,"deduction_category":"none"},{"month":30,"expense_row_id":"PPL.U2","expense_eur":511.90444965,"deduction_category":"none"},{"month":30,"expense_row_id":"SUB.STORE_FEE","expense_eur":654.3897918542947,"deduction_category":"none"},{"month":30,"expense_row_id":"TAX.GEWST","expense_eur":0,"deduction_category":"none"},{"month":30,"expense_row_id":"TAX.KST","expense_eur":0,"deduction_category":"none"},{"month":30,"expense_row_id":"TAX.SOLI","expense_eur":0,"deduction_category":"none"}]}]},"sourc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13.10.2026","data_version":"CR02-2026-10-13-v1","version":"budget","scenario":"all","currency":"EUR","model_start":"2027-01-01","horizon_months":60,"cutoff_date":null,"frozen_on":"2026-10-13","fictional":true},"sources":[{"id":"SRC.S2","title":"Assumptions register","publisher":"Mirovest fictional planning team","url":null,"publication_date":null,"access_date":"2026-10-12","locator":"Assumptions register; individual records use SRC.S2.&lt;ID&gt; locators","quote":null,"evidence_type":"owner_decision","verification_status":"engineering_choice","refresh_trigger":"Source update or new model release"},{"id":"SRC.T03","title":"Model design decisions and numbered defaults","publisher":"Mirovest fictional planning team","url":null,"publication_date":"2026-10-12","access_date":"2026-10-12","locator":"Owner decisions and numbered defaults","quote":null,"evidence_type":"owner_decision","verification_status":"owner_accepted","refresh_trigger":"Source update or new model release"},{"id":"SRC.T02","title":"Independent model review, phase 1","publisher":"Mirovest fictional planning team","url":null,"publication_date":null,"access_date":"2026-10-12","locator":"Findings","quote":null,"evidence_type":"research_note","verification_status":"reported_in_research","refresh_trigger":"Source update or new model release"},{"id":"SRC.S5.R-001","title":"Calculation rule R-001: Calendar and scenario resolution","publisher":"Mirovest fictional planning team","url":null,"publication_date":"2026-10-12","access_date":"2026-10-12","locator":"Model calculation rules, R-001","quote":null,"evidence_type":"engineering","verification_status":"engineering_choice","refresh_trigger":"Source update or new model release"},{"id":"SRC.S5.R-002","title":"Calculation rule R-002: Complete service/country matrix","publisher":"Mirovest fictional planning team","url":null,"publication_date":"2026-10-12","access_date":"2026-10-12","locator":"Model calculation rules, R-002","quote":null,"evidence_type":"engineering","verification_status":"engineering_choice","refresh_trigger":"Source update or new model release"},{"id":"SRC.S5.R-003","title":"Calculation rule R-003: Initial conditions and switches","publisher":"Mirovest fictional planning team","url":null,"publication_date":"2026-10-12","access_date":"2026-10-12","locator":"Model calculation rules, R-003","quote":null,"evidence_type":"engineering","verification_status":"engineering_choice","refresh_trigger":"Source update or new model release"},{"id":"SRC.S5.R-004","title":"Calculation rule R-004: One acquisition waterfall and waitlist","publisher":"Mirovest fictional planning team","url":null,"publication_date":"2026-10-12","access_date":"2026-10-12","locator":"Model calculation rules, R-004","quote":null,"evidence_type":"engineering","verification_status":"engineering_choice","refresh_trigger":"Source update or new model release"},{"id":"SRC.S5.R-005","title":"Calculation rule R-005: Other channels, attribution and geography","publisher":"Mirovest fictional planning team","url":null,"publication_date":"2026-10-12","access_date":"2026-10-12","locator":"Model calculation rules, R-005","quote":null,"evidence_type":"engineering","verification_status":"engineering_choice","refresh_trigger":"Source update or new model release"},{"id":"SRC.S5.R-006","title":"Calculation rule R-006: Activity survival","publisher":"Mirovest fictional planning team","url":null,"publication_date":"2026-10-12","access_date":"2026-10-12","locator":"Model calculation rules, R-006","quote":null,"evidence_type":"engineering","verification_status":"engineering_choice","refresh_trigger":"Source update or new model release"},{"id":"SRC.S5.R-007","title":"Calculation rule R-007: Exact intersections and state transition order","publisher":"Mirovest fictional planning team","url":null,"publication_date":"2026-10-12","access_date":"2026-10-12","locator":"Model calculation rules, R-007","quote":null,"evidence_type":"engineering","verification_status":"engineering_choice","refresh_trigger":"Source update or new model release"},{"id":"SRC.S5.R-008","title":"Calculation rule R-008: Disjoint conversions and immutable purchase dimensions","publisher":"Mirovest fictional planning team","url":null,"publication_date":"2026-10-12","access_date":"2026-10-12","locator":"Model calculation rules, R-008","quote":null,"evidence_type":"engineering","verification_status":"engineering_choice","refresh_trigger":"Source update or new model release"},{"id":"SRC.S5.R-009","title":"Calculation rule R-009: Monthly billing and churn at next billing date","publisher":"Mirovest fictional planning team","url":null,"publication_date":"2026-10-12","access_date":"2026-10-12","locator":"Model calculation rules, R-009","quote":null,"evidence_type":"engineering","verification_status":"engineering_choice","refresh_trigger":"Source update or new model release"},{"id":"SRC.S5.R-010","title":"Calculation rule R-010: Annual renewals and contract liability","publisher":"Mirovest fictional planning team","url":null,"publication_date":"2026-10-12","access_date":"2026-10-12","locator":"Model calculation rules, R-010","quote":null,"evidence_type":"engineering","verification_status":"engineering_choice","refresh_trigger":"Source update or new model release"},{"id":"SRC.S5.R-011","title":"Calculation rule R-011: Web/store bridge","publisher":"Mirovest fictional planning team","url":null,"publication_date":"2026-10-12","access_date":"2026-10-12","locator":"Model calculation rules, R-011","quote":null,"evidence_type":"engineering","verification_status":"engineering_choice","refresh_trigger":"Source update or new model release"},{"id":"SRC.S5.R-012","title":"Calculation rule R-012: Contract and copier state","publisher":"Mirovest fictional planning team","url":null,"publication_date":"2026-10-12","access_date":"2026-10-12","locator":"Model calculation rules, R-012","quote":null,"evidence_type":"engineering","verification_status":"engineering_choice","refresh_trigger":"Source update or new model release"},{"id":"SRC.S5.R-013","title":"Calculation rule R-013: Principal revenue and trader payable","publisher":"Mirovest fictional planning team","url":null,"publication_date":"2026-10-12","access_date":"2026-10-12","locator":"Model calculation rules, R-013","quote":null,"evidence_type":"engineering","verification_status":"engineering_choice","refresh_trigger":"Source update or new model release"},{"id":"SRC.S5.R-014","title":"Calculation rule R-014: Trader supply, entries and recipient counts","publisher":"Mirovest fictional planning team","url":null,"publication_date":"2026-10-12","access_date":"2026-10-12","locator":"Model calculation rules, R-014","quote":null,"evidence_type":"engineering","verification_status":"engineering_choice","refresh_trigger":"Source update or new model release"},{"id":"SRC.S5.R-015","title":"Calculation rule R-015: Connect and copied-capital memo","publisher":"Mirovest fictional planning team","url":null,"publication_date":"2026-10-12","access_date":"2026-10-12","locator":"Model calculation rules, R-015","quote":null,"evidence_type":"engineering","verification_status":"engineering_choice","refresh_trigger":"Source update or new model release"},{"id":"SRC.S5.R-016","title":"Calculation rule R-016: Licensed notional exclusion","publisher":"Mirovest fictional planning team","url":null,"publication_date":"2026-10-12","access_date":"2026-10-12","locator":"Model calculation rules, R-016","quote":null,"evidence_type":"engineering","verification_status":"engineering_choice","refresh_trigger":"Source update or new model release"},{"id":"SRC.S5.R-017","title":"Calculation rule R-017: Clients, seats and onboarding","publisher":"Mirovest fictional planning team","url":null,"publication_date":"2026-10-12","access_date":"2026-10-12","locator":"Model calculation rules, R-017","quote":null,"evidence_type":"engineering","verification_status":"engineering_choice","refresh_trigger":"Source update or new model release"},{"id":"SRC.S5.R-018","title":"Calculation rule R-018: Tax-code matrix and input recognition","publisher":"Mirovest fictional planning team","url":null,"publication_date":"2026-10-12","access_date":"2026-10-12","locator":"Model calculation rules, R-018","quote":null,"evidence_type":"engineering","verification_status":"engineering_choice","refresh_trigger":"Source update or new model release"},{"id":"SRC.S5.R-019","title":"Calculation rule R-019: Separate domestic and OSS calendars","publisher":"Mirovest fictional planning team","url":null,"publication_date":"2026-10-12","access_date":"2026-10-12","locator":"Model calculation rules, R-019","quote":null,"evidence_type":"engineering","verification_status":"engineering_choice","refresh_trigger":"Source update or new model release"},{"id":"SRC.S5.R-020","title":"Calculation rule R-020: KYC union and variable/fixed cost owners","publisher":"Mirovest fictional planning team","url":null,"publication_date":"2026-10-12","access_date":"2026-10-12","locator":"Model calculation rules, R-020","quote":null,"evidence_type":"engineering","verification_status":"engineering_choice","refresh_trigger":"Source update or new model release"},{"id":"SRC.S5.R-021","title":"Calculation rule R-021: Disputes, fraud and fee timing","publisher":"Mirovest fictional planning team","url":null,"publication_date":"2026-10-12","access_date":"2026-10-12","locator":"Model calculation rules, R-021","quote":null,"evidence_type":"engineering","verification_status":"engineering_choice","refresh_trigger":"Source update or new model release"},{"id":"SRC.S5.R-022","title":"Calculation rule R-022: Unique people, salaries and events","publisher":"Mirovest fictional planning team","url":null,"publication_date":"2026-10-12","access_date":"2026-10-12","locator":"Model calculation rules, R-022","quote":null,"evidence_type":"engineering","verification_status":"engineering_choice","refresh_trigger":"Source update or new model release"},{"id":"SRC.S5.R-023","title":"Calculation rule R-023: Contributions and levies","publisher":"Mirovest fictional planning team","url":null,"publication_date":"2026-10-12","access_date":"2026-10-12","locator":"Model calculation rules, R-023","quote":null,"evidence_type":"engineering","verification_status":"engineering_choice","refresh_trigger":"Source update or new model release"},{"id":"SRC.S5.R-024","title":"Calculation rule R-024: Hiring costs and employee software","publisher":"Mirovest fictional planning team","url":null,"publication_date":"2026-10-12","access_date":"2026-10-12","locator":"Model calculation rules, R-024","quote":null,"evidence_type":"engineering","verification_status":"engineering_choice","refresh_trigger":"Source update or new model release"},{"id":"SRC.S5.R-025","title":"Calculation rule R-025: Complete recurring operating-cost map","publisher":"Mirovest fictional planning team","url":null,"publication_date":"2026-10-12","access_date":"2026-10-12","locator":"Model calculation rules, R-025","quote":null,"evidence_type":"engineering","verification_status":"engineering_choice","refresh_trigger":"Source update or new model release"},{"id":"SRC.S5.R-026","title":"Calculation rule R-026: Special accruals, incorporation and fundraising","publisher":"Mirovest fictional planning team","url":null,"publication_date":"2026-10-12","access_date":"2026-10-12","locator":"Model calculation rules, R-026","quote":null,"evidence_type":"engineering","verification_status":"engineering_choice","refresh_trigger":"Source update or new model release"},{"id":"SRC.S5.R-027","title":"Calculation rule R-027: Regulatory cost map and delay dependencies","publisher":"Mirovest fictional planning team","url":null,"publication_date":"2026-10-12","access_date":"2026-10-12","locator":"Model calculation rules, R-027","quote":null,"evidence_type":"engineering","verification_status":"engineering_choice","refresh_trigger":"Source update or new model release"},{"id":"SRC.S5.R-028","title":"Calculation rule R-028: Contingency","publisher":"Mirovest fictional planning team","url":null,"publication_date":"2026-10-12","access_date":"2026-10-12","locator":"Model calculation rules, R-028","quote":null,"evidence_type":"engineering","verification_status":"engineering_choice","refresh_trigger":"Source update or new model release"},{"id":"SRC.S5.R-029","title":"Calculation rule R-029: Assets, replacement and depreciation","publisher":"Mirovest fictional planning team","url":null,"publication_date":"2026-10-12","access_date":"2026-10-12","locator":"Model calculation rules, R-029","quote":null,"evidence_type":"engineering","verification_status":"engineering_choice","refresh_trigger":"Source update or new model release"},{"id":"SRC.S5.R-030","title":"Calculation rule R-030: Invoice, liability and settlement ownership","publisher":"Mirovest fictional planning team","url":null,"publication_date":"2026-10-12","access_date":"2026-10-12","locator":"Model calculation rules, R-030","quote":null,"evidence_type":"engineering","verification_status":"engineering_choice","refresh_trigger":"Source update or new model release"},{"id":"SRC.S5.R-031","title":"Calculation rule R-031: Annual bases, losses and rates","publisher":"Mirovest fictional planning team","url":null,"publication_date":"2026-10-12","access_date":"2026-10-12","locator":"Model calculation rules, R-031","quote":null,"evidence_type":"engineering","verification_status":"engineering_choice","refresh_trigger":"Source update or new model release"},{"id":"SRC.S5.R-032","title":"Calculation rule R-032: Monthly YTD estimator and true-up","publisher":"Mirovest fictional planning team","url":null,"publication_date":"2026-10-12","access_date":"2026-10-12","locator":"Model calculation rules, R-032","quote":null,"evidence_type":"engineering","verification_status":"engineering_choice","refresh_trigger":"Source update or new model release"},{"id":"SRC.S5.R-033","title":"Calculation rule R-033: Assessment, advances and tax balance","publisher":"Mirovest fictional planning team","url":null,"publication_date":"2026-10-12","access_date":"2026-10-12","locator":"Model calculation rules, R-033","quote":null,"evidence_type":"engineering","verification_status":"engineering_choice","refresh_trigger":"Source update or new model release"},{"id":"SRC.S5.R-034","title":"Calculation rule R-034: Ownership/loss warning","publisher":"Mirovest fictional planning team","url":null,"publication_date":"2026-10-12","access_date":"2026-10-12","locator":"Model calculation rules, R-034","quote":null,"evidence_type":"engineering","verification_status":"engineering_choice","refresh_trigger":"Source update or new model release"},{"id":"SRC.S5.R-035","title":"Calculation rule R-035: Note funding, accrual and event precedence","publisher":"Mirovest fictional planning team","url":null,"publication_date":"2026-10-12","access_date":"2026-10-12","locator":"Model calculation rules, R-035","quote":null,"evidence_type":"engineering","verification_status":"engineering_choice","refresh_trigger":"Source update or new model release"},{"id":"SRC.S5.R-036","title":"Calculation rule R-036: Qualified-seed closed form and share rounding","publisher":"Mirovest fictional planning team","url":null,"publication_date":"2026-10-12","access_date":"2026-10-12","locator":"Model calculation rules, R-036","quote":null,"evidence_type":"engineering","verification_status":"engineering_choice","refresh_trigger":"Source update or new model release"},{"id":"SRC.S5.R-037","title":"Calculation rule R-037: Maturity, late seed, Series A and B, and VSOP","publisher":"Mirovest fictional planning team","url":null,"publication_date":"2026-10-12","access_date":"2026-10-12","locator":"Model calculation rules, R-037","quote":null,"evidence_type":"engineering","verification_status":"engineering_choice","refresh_trigger":"Source update or new model release"},{"id":"SRC.S5.R-038","title":"Calculation rule R-038: Interest, burn, buffers and funding paths","publisher":"Mirovest fictional planning team","url":null,"publication_date":"2026-10-12","access_date":"2026-10-12","locator":"Model calculation rules, R-038","quote":null,"evidence_type":"engineering","verification_status":"engineering_choice","refresh_trigger":"Source update or new model release"},{"id":"SRC.S5.R-039","title":"Calculation rule R-039: Total accounting expense base and frozen projection","publisher":"Mirovest fictional planning team","url":null,"publication_date":"2026-10-12","access_date":"2026-10-12","locator":"Model calculation rules, R-039","quote":null,"evidence_type":"engineering","verification_status":"engineering_choice","refresh_trigger":"Source update or new model release"},{"id":"SRC.S5.R-040","title":"Calculation rule R-040: Dated prudential reference calendar","publisher":"Mirovest fictional planning team","url":null,"publication_date":"2026-10-12","access_date":"2026-10-12","locator":"Model calculation rules, R-040","quote":null,"evidence_type":"engineering","verification_status":"engineering_choice","refresh_trigger":"Source update or new model release"},{"id":"SRC.S5.R-041","title":"Calculation rule R-041: Eligible funds and event tests","publisher":"Mirovest fictional planning team","url":null,"publication_date":"2026-10-12","access_date":"2026-10-12","locator":"Model calculation rules, R-041","quote":null,"evidence_type":"engineering","verification_status":"engineering_choice","refresh_trigger":"Source update or new model release"},{"id":"SRC.S5.R-042","title":"Calculation rule R-042: Statements and exclusive postings","publisher":"Mirovest fictional planning team","url":null,"publication_date":"2026-10-12","access_date":"2026-10-12","locator":"Model calculation rules, R-042","quote":null,"evidence_type":"engineering","verification_status":"engineering_choice","refresh_trigger":"Source update or new model release"},{"id":"SRC.S5.R-043","title":"Calculation rule R-043: Indirect cash flow and reducers","publisher":"Mirovest fictional planning team","url":null,"publication_date":"2026-10-12","access_date":"2026-10-12","locator":"Model calculation rules, R-043","quote":null,"evidence_type":"engineering","verification_status":"engineering_choice","refresh_trigger":"Source update or new model release"},{"id":"SRC.S5.R-044","title":"Calculation rule R-044: Core denominators, MRR and B2B NRR","publisher":"Mirovest fictional planning team","url":null,"publication_date":"2026-10-12","access_date":"2026-10-12","locator":"Model calculation rules, R-044","quote":null,"evidence_type":"engineering","verification_status":"engineering_choice","refresh_trigger":"Source update or new model release"},{"id":"SRC.S5.R-045","title":"Calculation rule R-045: CAC and channel attribution","publisher":"Mirovest fictional planning team","url":null,"publication_date":"2026-10-12","access_date":"2026-10-12","locator":"Model calculation rules, R-045","quote":null,"evidence_type":"engineering","verification_status":"engineering_choice","refresh_trigger":"Source update or new model release"},{"id":"SRC.S5.R-046","title":"Calculation rule R-046: 36-month discounted contribution and payback","publisher":"Mirovest fictional planning team","url":null,"publication_date":"2026-10-12","access_date":"2026-10-12","locator":"Model calculation rules, R-046","quote":null,"evidence_type":"engineering","verification_status":"engineering_choice","refresh_trigger":"Source update or new model release"},{"id":"SRC.S5.R-047","title":"Calculation rule R-047: D18/D19 definitions","publisher":"Mirovest fictional planning team","url":null,"publication_date":"2026-10-12","access_date":"2026-10-12","locator":"Model calculation rules, R-047","quote":null,"evidence_type":"engineering","verification_status":"engineering_choice","refresh_trigger":"Source update or new model release"},{"id":"SRC.S5.R-048","title":"Calculation rule R-048: Fictional journal and budget isolation","publisher":"Mirovest fictional planning team","url":null,"publication_date":"2026-10-12","access_date":"2026-10-12","locator":"Model calculation rules, R-048","quote":null,"evidence_type":"engineering","verification_status":"engineering_choice","refresh_trigger":"Source update or new model release"},{"id":"SRC.S5.R-049","title":"Calculation rule R-049: June closing to July opening","publisher":"Mirovest fictional planning team","url":null,"publication_date":"2026-10-12","access_date":"2026-10-12","locator":"Model calculation rules, R-049","quote":null,"evidence_type":"engineering","verification_status":"engineering_choice","refresh_trigger":"Source update or new model release"},{"id":"SRC.S5.R-050","title":"Calculation rule R-050: Scenario resolution, freeze comparison and release checks","publisher":"Mirovest fictional planning team","url":null,"publication_date":"2026-10-12","access_date":"2026-10-12","locator":"Model calculation rules, R-050","quote":null,"evidence_type":"engineering","verification_status":"engineering_choice","refresh_trigger":"Source update or new model release"},{"id":"SRC.S5.R-051","title":"Calculation rule R-051: Precision and error handling","publisher":"Mirovest fictional planning team","url":null,"publication_date":"2026-10-12","access_date":"2026-10-12","locator":"Model calculation rules, R-051","quote":null,"evidence_type":"engineering","verification_status":"engineering_choice","refresh_trigger":"Source update or new model release"},{"id":"SRC.RU.A1.1.1","title":"List of crypto-asset services","publisher":"Research compilation","url":"https://www.esma.europa.eu/publications-and-data/interactive-single-rulebook/mica/article-3-definitions","publication_date":null,"access_date":"2026-10-12","locator":"A1.1.1","quote":null,"evidence_type":"research_note","verification_status":"reported_in_research","refresh_trigger":"Source update or new model release"},{"id":"SRC.RU.A1.1.2","title":"Execution of orders on behalf of clients (e)","publisher":"Research compilation","url":null,"publication_date":null,"access_date":"2026-10-12","locator":"A1.1.2","quote":null,"evidence_type":"research_note","verification_status":"reported_in_research","refresh_trigger":"Source update or new model release"},{"id":"SRC.RU.A1.1.3","title":"Reception and transmission of orders (g)","publisher":"Research compilation","url":null,"publication_date":null,"access_date":"2026-10-12","locator":"A1.1.3","quote":null,"evidence_type":"research_note","verification_status":"reported_in_research","refresh_trigger":"Source update or new model release"},{"id":"SRC.RU.A1.1.4","title":"Advice on crypto-assets (h)","publisher":"Research compilation","url":null,"publication_date":null,"access_date":"2026-10-12","locator":"A1.1.4","quote":null,"evidence_type":"research_note","verification_status":"reported_in_research","refresh_trigger":"Source update or new model release"},{"id":"SRC.RU.A1.1.5","title":"Portfolio management of crypto-assets (i)","publisher":"Research compilation","url":null,"publication_date":null,"access_date":"2026-10-12","locator":"A1.1.5","quote":null,"evidence_type":"research_note","verification_status":"reported_in_research","refresh_trigger":"Source update or new model release"},{"id":"SRC.RU.A1.1.6","title":"Custody and administration (a)","publisher":"Research compilation","url":null,"publication_date":null,"access_date":"2026-10-12","locator":"A1.1.6","quote":null,"evidence_type":"research_note","verification_status":"reported_in_research","refresh_trigger":"Source update or new model release"},{"id":"SRC.RU.A1.1.7","title":"Who may be a CASP","publisher":"Research compilation","url":"https://www.esma.europa.eu/publications-and-data/interactive-single-rulebook/mica/article-59-authorisation","publication_date":null,"access_date":"2026-10-12","locator":"A1.1.7","quote":null,"evidence_type":"research_note","verification_status":"reported_in_research","refresh_trigger":"Source update or new model release"},{"id":"SRC.RU.A1.1.8","title":"Licence trigger in Germany","publisher":"Research compilation","url":"https://www.bafin.de/SharedDocs/Veroeffentlichungen/DE/Merkblatt/mb_250103_Kryptowerte_Dienstl.html","publication_date":null,"access_date":"2026-10-12","locator":"A1.1.8","quote":null,"evidence_type":"research_note","verification_status":"reported_in_research","refresh_trigger":"Source update or new model release"},{"id":"SRC.RU.A1.1.9","title":"BaFin reads MiCA services through its KWG guidance","publisher":"Research compilation","url":null,"publication_date":null,"access_date":"2026-10-12","locator":"A1.1.9","quote":null,"evidence_type":"research_note","verification_status":"reported_in_research","refresh_trigger":"Source update or new model release"},{"id":"SRC.RU.A1.2.1","title":"ESMA MiCA Q&amp;A on copy trading (\"Autotrading\")","publisher":"Research compilation","url":"https://www.esma.europa.eu/publications-data/questions-answers/2463","publication_date":null,"access_date":"2026-10-12","locator":"A1.2.1","quote":null,"evidence_type":"research_note","verification_status":"reported_in_research","refresh_trigger":"Source update or new model release"},{"id":"SRC.RU.A1.2.2","title":"Automatic copying = portfolio management","publisher":"Research compilation","url":"https://www.esma.europa.eu/sites/default/files/2023-03/ESMA35-42-1428_Supervisory_Briefing_on_Copy_Trading.pdf","publication_date":null,"access_date":"2026-10-12","locator":"A1.2.2","quote":null,"evidence_type":"research_note","verification_status":"reported_in_research","refresh_trigger":"Source update or new model release"},{"id":"SRC.RU.A1.2.3","title":"\"Auto-copy\" button is the mandate","publisher":"Research compilation","url":null,"publication_date":null,"access_date":"2026-10-12","locator":"A1.2.3","quote":null,"evidence_type":"research_note","verification_status":"reported_in_research","refresh_trigger":"Source update or new model release"},{"id":"SRC.RU.A1.2.4","title":"Veto window or client limits do not change the result","publisher":"Research compilation","url":null,"publication_date":null,"access_date":"2026-10-12","locator":"A1.2.4","quote":null,"evidence_type":"research_note","verification_status":"reported_in_research","refresh_trigger":"Source update or new model release"},{"id":"SRC.RU.A1.2.5","title":"Single platform linked to copied traders","publisher":"Research compilation","url":null,"publication_date":null,"access_date":"2026-10-12","locator":"A1.2.5","quote":null,"evidence_type":"research_note","verification_status":"reported_in_research","refresh_trigger":"Source update or new model release"},{"id":"SRC.RU.A1.2.6","title":"Two-firm set-up (signal pooler + executing firm)","publisher":"Research compilation","url":null,"publication_date":null,"access_date":"2026-10-12","locator":"A1.2.6","quote":null,"evidence_type":"research_note","verification_status":"reported_in_research","refresh_trigger":"Source update or new model release"},{"id":"SRC.RU.A1.2.7","title":"General conclusion of the briefing","publisher":"Research compilation","url":null,"publication_date":null,"access_date":"2026-10-12","locator":"A1.2.7","quote":null,"evidence_type":"research_note","verification_status":"reported_in_research","refresh_trigger":"Source update or new model release"},{"id":"SRC.RU.A1.2.8","title":"RTO vs execution vs exchange","publisher":"Research compilation","url":"https://www.esma.europa.eu/publications-data/questions-answers/2653","publication_date":null,"access_date":"2026-10-12","locator":"A1.2.8","quote":null,"evidence_type":"research_note","verification_status":"reported_in_research","refresh_trigger":"Source update or new model release"},{"id":"SRC.RU.A1.2.9","title":"German test for discretion","publisher":"Research compilation","url":"https://www.bafin.de/SharedDocs/Veroeffentlichungen/DE/Merkblatt/mb_091208_tatbestand_finanzportfolioverwaltung.html","publication_date":null,"access_date":"2026-10-12","locator":"A1.2.9","quote":null,"evidence_type":"research_note","verification_status":"reported_in_research","refresh_trigger":"Source update or new model release"},{"id":"SRC.RU.A1.2.10","title":"German test for advice","publisher":"Research compilation","url":"https://www.bafin.de/SharedDocs/Veroeffentlichungen/DE/Merkblatt/mb_250210_anlageberatung.html","publication_date":null,"access_date":"2026-10-12","locator":"A1.2.10","quote":null,"evidence_type":"research_note","verification_status":"reported_in_research","refresh_trigger":"Source update or new model release"},{"id":"SRC.RU.A1.2.11","title":"Market evidence: social/copy-trading groups hold portfolio-management licences","publisher":"Research compilation","url":"https://www.esma.europa.eu/sites/default/files/2024-12/CASPS.csv","publication_date":null,"access_date":"2026-10-12","locator":"A1.2.11","quote":null,"evidence_type":"research_note","verification_status":"reported_in_research","refresh_trigger":"Source update or new model release"},{"id":"SRC.RU.A1.2.12","title":"Germany in the ESMA register","publisher":"Research compilation","url":null,"publication_date":null,"access_date":"2026-10-12","locator":"A1.2.12","quote":null,"evidence_type":"research_note","verification_status":"reported_in_research","refresh_trigger":"Source update or new model release"},{"id":"SRC.RU.A1.3.1","title":"(a) Automatic copy trading: the platform places orders on the follower's own exchange account via API","publisher":"Research compilation","url":null,"publication_date":null,"access_date":"2026-10-12","locator":"A1.3.1","quote":null,"evidence_type":"research_note","verification_status":"reported_in_research","refresh_trigger":"Source update or new model release"},{"id":"SRC.RU.A1.3.2","title":"(b) Selling signals or strategy subscriptions from third-party lead traders; follower trades himself","publisher":"Research compilation","url":null,"publication_date":null,"access_date":"2026-10-12","locator":"A1.3.2","quote":null,"evidence_type":"research_note","verification_status":"reported_in_research","refresh_trigger":"Source update or new model release"},{"id":"SRC.RU.A1.3.3","title":"(c) Portfolio analytics and social features only","publisher":"Research compilation","url":null,"publication_date":null,"access_date":"2026-10-12","locator":"A1.3.3","quote":null,"evidence_type":"research_note","verification_status":"reported_in_research","refresh_trigger":"Source update or new model release"},{"id":"SRC.RU.A1.4.1","title":"Relationship types","publisher":"Research compilation","url":null,"publication_date":null,"access_date":"2026-10-12","locator":"A1.4.1","quote":null,"evidence_type":"research_note","verification_status":"reported_in_research","refresh_trigger":"Source update or new model release"},{"id":"SRC.RU.A1.4.2","title":"Copied traders' own activity","publisher":"Research compilation","url":null,"publication_date":null,"access_date":"2026-10-12","locator":"A1.4.2","quote":null,"evidence_type":"research_note","verification_status":"reported_in_research","refresh_trigger":"Source update or new model release"},{"id":"SRC.RU.A1.4.3","title":"Firm duties for copied traders","publisher":"Research compilation","url":null,"publication_date":null,"access_date":"2026-10-12","locator":"A1.4.3","quote":null,"evidence_type":"research_note","verification_status":"reported_in_research","refresh_trigger":"Source update or new model release"},{"id":"SRC.RU.A1.4.4","title":"Market abuse by lead traders","publisher":"Research compilation","url":"https://www.esma.europa.eu/publications-and-data/interactive-single-rulebook/mica/article-91-prohibition-market-manipulation","publication_date":null,"access_date":"2026-10-12","locator":"A1.4.4","quote":null,"evidence_type":"research_note","verification_status":"reported_in_research","refresh_trigger":"Source update or new model release"},{"id":"SRC.RU.A1.4.5","title":"Conclusion for the base design","publisher":"Research compilation","url":null,"publication_date":null,"access_date":"2026-10-12","locator":"A1.4.5","quote":null,"evidence_type":"research_note","verification_status":"reported_in_research","refresh_trigger":"Source update or new model release"},{"id":"SRC.RU.A1.5.1","title":"Ban on payments for order routing (RTO)","publisher":"Research compilation","url":"https://www.esma.europa.eu/publications-and-data/interactive-single-rulebook/mica/article-80-reception-and-transmission-orders","publication_date":null,"access_date":"2026-10-12","locator":"A1.5.1","quote":null,"evidence_type":"research_note","verification_status":"reported_in_research","refresh_trigger":"Source update or new model release"},{"id":"SRC.RU.A1.5.2","title":"Same ban for execution of orders","publisher":"Research compilation","url":"https://www.esma.europa.eu/publications-data/questions-answers/2087","publication_date":null,"access_date":"2026-10-12","locator":"A1.5.2","quote":null,"evidence_type":"research_note","verification_status":"reported_in_research","refresh_trigger":"Source update or new model release"},{"id":"SRC.RU.A1.5.3","title":"Portfolio managers: no third-party benefits","publisher":"Research compilation","url":"https://www.esma.europa.eu/publications-and-data/interactive-single-rulebook/mica/article-81-providing-advice-crypto-assets","publication_date":null,"access_date":"2026-10-12","locator":"A1.5.3","quote":null,"evidence_type":"research_note","verification_status":"reported_in_research","refresh_trigger":"Source update or new model release"},{"id":"SRC.RU.A1.5.4","title":"Advice: independent vs non-independent","publisher":"Research compilation","url":null,"publication_date":null,"access_date":"2026-10-12","locator":"A1.5.4","quote":null,"evidence_type":"research_note","verification_status":"reported_in_research","refresh_trigger":"Source update or new model release"},{"id":"SRC.RU.A1.5.5","title":"Consequence for R3 \"exchange rebates\"","publisher":"Research compilation","url":null,"publication_date":null,"access_date":"2026-10-12","locator":"A1.5.5","quote":null,"evidence_type":"research_note","verification_status":"reported_in_research","refresh_trigger":"Source update or new model release"},{"id":"SRC.RU.A1.5.6","title":"Consequence for R2 (follower-to-trader payments)","publisher":"Research compilation","url":"https://www.bafin.de/SharedDocs/Veroeffentlichungen/DE/Merkblatt/mb_111222_zag.html","publication_date":null,"access_date":"2026-10-12","locator":"A1.5.6","quote":null,"evidence_type":"research_note","verification_status":"reported_in_research","refresh_trigger":"Source update or new model release"},{"id":"SRC.RU.A1.5.7","title":"Fee transparency","publisher":"Research compilation","url":null,"publication_date":null,"access_date":"2026-10-12","locator":"A1.5.7","quote":null,"evidence_type":"research_note","verification_status":"reported_in_research","refresh_trigger":"Source update or new model release"},{"id":"SRC.RU.A2.1","title":"Class 1 minimum capital (execution, placing, transfer, RTO, advice, portfolio management)","publisher":"Research compilation","url":"https://www.esma.europa.eu/publications-and-data/interactive-single-rulebook/mica/minimum-capital-requirements-crypto-asset","publication_date":null,"access_date":"2026-10-12","locator":"A2.1","quote":null,"evidence_type":"research_note","verification_status":"reported_in_research","refresh_trigger":"Source update or new model release"},{"id":"SRC.RU.A2.2","title":"Class 2 (Class 1 + custody, exchange for funds / crypto)","publisher":"Research compilation","url":null,"publication_date":null,"access_date":"2026-10-12","locator":"A2.2","quote":null,"evidence_type":"research_note","verification_status":"reported_in_research","refresh_trigger":"Source update or new model release"},{"id":"SRC.RU.A2.3","title":"Class 3 (Class 2 + operating a trading platform)","publisher":"Research compilation","url":null,"publication_date":null,"access_date":"2026-10-12","locator":"A2.3","quote":null,"evidence_type":"research_note","verification_status":"reported_in_research","refresh_trigger":"Source update or new model release"},{"id":"SRC.RU.A2.4","title":"Mixed classes","publisher":"Research compilation","url":"https://www.esma.europa.eu/publications-data/questions-answers/2343","publication_date":null,"access_date":"2026-10-12","locator":"A2.4","quote":null,"evidence_type":"research_note","verification_status":"reported_in_research","refresh_trigger":"Source update or new model release"},{"id":"SRC.RU.A2.5","title":"Size of the requirement","publisher":"Research compilation","url":"https://www.esma.europa.eu/publications-and-data/interactive-single-rulebook/mica/article-67-prudential-requirements","publication_date":null,"access_date":"2026-10-12","locator":"A2.5","quote":null,"evidence_type":"research_note","verification_status":"reported_in_research","refresh_trigger":"Source update or new model release"},{"id":"SRC.RU.A2.6","title":"First year of business","publisher":"Research compilation","url":null,"publication_date":null,"access_date":"2026-10-12","locator":"A2.6","quote":null,"evidence_type":"research_note","verification_status":"reported_in_research","refresh_trigger":"Source update or new model release"},{"id":"SRC.RU.A2.7","title":"Fixed-overheads base","publisher":"Research compilation","url":null,"publication_date":null,"access_date":"2026-10-12","locator":"A2.7","quote":null,"evidence_type":"research_note","verification_status":"reported_in_research","refresh_trigger":"Source update or new model release"},{"id":"SRC.RU.A2.8","title":"Variable costs count too","publisher":"Research compilation","url":"https://www.esma.europa.eu/publications-data/questions-answers/2349","publication_date":null,"access_date":"2026-10-12","locator":"A2.8","quote":null,"evidence_type":"research_note","verification_status":"reported_in_research","refresh_trigger":"Source update or new model release"},{"id":"SRC.RU.A2.9","title":"Worked example","publisher":"Research compilation","url":null,"publication_date":null,"access_date":"2026-10-12","locator":"A2.9","quote":null,"evidence_type":"research_note","verification_status":"reported_in_research","refresh_trigger":"Source update or new model release"},{"id":"SRC.RU.A2.10","title":"What counts as own funds","publisher":"Research compilation","url":null,"publication_date":null,"access_date":"2026-10-12","locator":"A2.10","quote":null,"evidence_type":"research_note","verification_status":"reported_in_research","refresh_trigger":"Source update or new model release"},{"id":"SRC.RU.A2.11","title":"Deductions that matter for a loss-making start-up","publisher":"Research compilation","url":"https://eur-lex.europa.eu/eli/reg/2013/575/oj","publication_date":null,"access_date":"2026-10-12","locator":"A2.11","quote":null,"evidence_type":"research_note","verification_status":"reported_in_research","refresh_trigger":"Source update or new model release"},{"id":"SRC.RU.A2.12","title":"Insurance alternative","publisher":"Research compilation","url":null,"publication_date":null,"access_date":"2026-10-12","locator":"A2.12","quote":null,"evidence_type":"research_note","verification_status":"reported_in_research","refresh_trigger":"Source update or new model release"},{"id":"SRC.RU.A2.13","title":"Insurance policy features","publisher":"Research compilation","url":null,"publication_date":null,"access_date":"2026-10-12","locator":"A2.13","quote":null,"evidence_type":"research_note","verification_status":"reported_in_research","refresh_trigger":"Source update or new model release"},{"id":"SRC.RU.A2.14","title":"Insurance cover scope","publisher":"Research compilation","url":null,"publication_date":null,"access_date":"2026-10-12","locator":"A2.14","quote":null,"evidence_type":"research_note","verification_status":"reported_in_research","refresh_trigger":"Source update or new model release"},{"id":"SRC.RU.A2.15","title":"Annual audit of financial statements","publisher":"Research compilation","url":"https://www.esma.europa.eu/publications-data/questions-answers/2344","publication_date":null,"access_date":"2026-10-12","locator":"A2.15","quote":null,"evidence_type":"research_note","verification_status":"reported_in_research","refresh_trigger":"Source update or new model release"},{"id":"SRC.RU.A2.16","title":"Insurance premium for an Art. 67 policy","publisher":"Research compilation","url":null,"publication_date":null,"access_date":"2026-10-12","locator":"A2.16","quote":null,"evidence_type":"research_note","verification_status":"reported_in_research","refresh_trigger":"Source update or new model release"},{"id":"SRC.RU.A3.1","title":"Acknowledgement of receipt","publisher":"Research compilation","url":"https://www.esma.europa.eu/publications-and-data/interactive-single-rulebook/mica/article-63-assessment-application","publication_date":null,"access_date":"2026-10-12","locator":"A3.1","quote":null,"evidence_type":"research_note","verification_status":"reported_in_research","refresh_trigger":"Source update or new model release"},{"id":"SRC.RU.A3.2","title":"Completeness check","publisher":"Research compilation","url":null,"publication_date":null,"access_date":"2026-10-12","locator":"A3.2","quote":null,"evidence_type":"research_note","verification_status":"reported_in_research","refresh_trigger":"Source update or new model release"},{"id":"SRC.RU.A3.3","title":"Deadline to supply missing information","publisher":"Research compilation","url":"https://www.bafin.de/DE/unternehmen-maerkte/erlaubnis-registrierung/geschaefte-krypto/kryptowerte-dienstleistungen/kryptowerte-dienstleistungen_node.html","publication_date":null,"access_date":"2026-10-12","locator":"A3.3","quote":null,"evidence_type":"research_note","verification_status":"reported_in_research","refresh_trigger":"Source update or new model release"},{"id":"SRC.RU.A3.4","title":"Assessment of a complete application","publisher":"Research compilation","url":null,"publication_date":null,"access_date":"2026-10-12","locator":"A3.4","quote":null,"evidence_type":"research_note","verification_status":"reported_in_research","refresh_trigger":"Source update or new model release"},{"id":"SRC.RU.A3.5","title":"Suspension for further information","publisher":"Research compilation","url":null,"publication_date":null,"access_date":"2026-10-12","locator":"A3.5","quote":null,"evidence_type":"research_note","verification_status":"reported_in_research","refresh_trigger":"Source update or new model release"},{"id":"SRC.RU.A3.6","title":"Notification of the decision","publisher":"Research compilation","url":null,"publication_date":null,"access_date":"2026-10-12","locator":"A3.6","quote":null,"evidence_type":"research_note","verification_status":"reported_in_research","refresh_trigger":"Source update or new model release"},{"id":"SRC.RU.A3.7","title":"Statutory maximum after filing a complete file","publisher":"Research compilation","url":null,"publication_date":null,"access_date":"2026-10-12","locator":"A3.7","quote":null,"evidence_type":"research_note","verification_status":"reported_in_research","refresh_trigger":"Source update or new model release"},{"id":"SRC.RU.A3.8","title":"What BaFin expects before filing","publisher":"Research compilation","url":null,"publication_date":null,"access_date":"2026-10-12","locator":"A3.8","quote":null,"evidence_type":"research_note","verification_status":"reported_in_research","refresh_trigger":"Source update or new model release"},{"id":"SRC.RU.A3.9","title":"ESMA expectations on the application","publisher":"Research compilation","url":"https://www.esma.europa.eu/sites/default/files/2025-01/ESMA75-453128700-1263_Supervisory_Briefing_on_Authorisation_of_CASPs.pdf","publication_date":null,"access_date":"2026-10-12","locator":"A3.9","quote":null,"evidence_type":"research_note","verification_status":"reported_in_research","refresh_trigger":"Source update or new model release"},{"id":"SRC.RU.A3.10","title":"BaFin authorisation fee: legal basis","publisher":"Research compilation","url":"https://www.bafin.de/DE/DieBaFin/GrundlagenOrganisation/Finanzierung/finanzierung_node.html","publication_date":null,"access_date":"2026-10-12","locator":"A3.10","quote":null,"evidence_type":"research_note","verification_status":"reported_in_research","refresh_trigger":"Source update or new model release"},{"id":"SRC.RU.A3.11","title":"Fee item","publisher":"Research compilation","url":"https://dserver.bundestag.de/btd/20/102/2010280.pdf","publication_date":null,"access_date":"2026-10-12","locator":"A3.11","quote":null,"evidence_type":"research_note","verification_status":"reported_in_research","refresh_trigger":"Source update or new model release"},{"id":"SRC.RU.A3.12","title":"How a time fee is computed","publisher":"Research compilation","url":"https://www.bafin.de/DE/die-bafin/ueber-die-bafin/organisation/finanzierung/gebuehren/gebuehren_node.html","publication_date":null,"access_date":"2026-10-12","locator":"A3.12","quote":null,"evidence_type":"research_note","verification_status":"reported_in_research","refresh_trigger":"Source update or new model release"},{"id":"SRC.RU.A3.13","title":"BaFin fee amount for a CASP authorisation","publisher":"Research compilation","url":null,"publication_date":null,"access_date":"2026-10-12","locator":"A3.13","quote":null,"evidence_type":"research_note","verification_status":"reported_in_research","refresh_trigger":"Source update or new model release"},{"id":"SRC.RU.A3.14","title":"Comparator: Dutch AFM","publisher":"Research compilation","url":"https://www.afm.nl/en/sector/cryptopartijen/vereisten-en-vergunningen/kosten","publication_date":null,"access_date":"2026-10-12","locator":"A3.14","quote":null,"evidence_type":"research_note","verification_status":"reported_in_research","refresh_trigger":"Source update or new model release"},{"id":"SRC.RU.A3.15","title":"Annual BaFin cost levy (Umlage), minimum","publisher":"Research compilation","url":"https://www.bafin.de/DE/DieBaFin/GrundlagenOrganisation/Finanzierung/finanzierung_node.html","publication_date":null,"access_date":"2026-10-12","locator":"A3.15","quote":null,"evidence_type":"research_note","verification_status":"reported_in_research","refresh_trigger":"Source update or new model release"},{"id":"SRC.RU.A3.16","title":"Levy above the minimum for a small CASP","publisher":"Research compilation","url":null,"publication_date":null,"access_date":"2026-10-12","locator":"A3.16","quote":null,"evidence_type":"research_note","verification_status":"reported_in_research","refresh_trigger":"Source update or new model release"},{"id":"SRC.RU.A3.17","title":"Transitional period in Germany","publisher":"Research compilation","url":"https://www.bafin.de/SharedDocs/Veroeffentlichungen/DE/Meldung/2026/meldung_2026_07_08_fiu_geldwaescherisiken.html","publication_date":null,"access_date":"2026-10-12","locator":"A3.17","quote":null,"evidence_type":"research_note","verification_status":"reported_in_research","refresh_trigger":"Source update or new model release"},{"id":"SRC.RU.A3.18","title":"Observed BaFin output","publisher":"Research compilation","url":"https://www.bafin.de/DE/die-bafin/publikationen-daten/jahresbericht/jahresbericht-2025/unternehmensaufsicht/kreditinstitute/kreditinstitute_node","publication_date":null,"access_date":"2026-10-12","locator":"A3.18","quote":null,"evidence_type":"research_note","verification_status":"reported_in_research","refresh_trigger":"Source update or new model release"},{"id":"SRC.RU.A3.19","title":"Reported time to licence, Germany","publisher":"Research compilation","url":"https://itispay.com/blog/mica-casp-license-cost","publication_date":null,"access_date":"2026-10-12","locator":"A3.19","quote":null,"evidence_type":"research_note","verification_status":"reported_in_research","refresh_trigger":"Source update or new model release"},{"id":"SRC.RU.A3.20","title":"Reported advisory cost of a BaFin application","publisher":"Research compilation","url":null,"publication_date":null,"access_date":"2026-10-12","locator":"A3.20","quote":null,"evidence_type":"research_note","verification_status":"reported_in_research","refresh_trigger":"Source update or new model release"},{"id":"SRC.RU.A3.21","title":"Contents of the application (cost workstreams)","publisher":"Research compilation","url":"https://www.esma.europa.eu/publications-and-data/interactive-single-rulebook/mica/article-62-application-authorisation-crypto","publication_date":null,"access_date":"2026-10-12","locator":"A3.21","quote":null,"evidence_type":"research_note","verification_status":"reported_in_research","refresh_trigger":"Source update or new model release"},{"id":"SRC.RU.A4.1","title":"Management body: legal requirement","publisher":"Research compilation","url":"https://www.esma.europa.eu/publications-and-data/interactive-single-rulebook/mica/article-68-governance-arrangements","publication_date":null,"access_date":"2026-10-12","locator":"A4.1","quote":null,"evidence_type":"research_note","verification_status":"reported_in_research","refresh_trigger":"Source update or new model release"},{"id":"SRC.RU.A4.2","title":"Management body: ESMA supervisory expectations","publisher":"Research compilation","url":null,"publication_date":null,"access_date":"2026-10-12","locator":"A4.2","quote":null,"evidence_type":"research_note","verification_status":"reported_in_research","refresh_trigger":"Source update or new model release"},{"id":"SRC.RU.A4.3","title":"Internal control framework","publisher":"Research compilation","url":null,"publication_date":null,"access_date":"2026-10-12","locator":"A4.3","quote":null,"evidence_type":"research_note","verification_status":"reported_in_research","refresh_trigger":"Source update or new model release"},{"id":"SRC.RU.A4.4","title":"Compliance function","publisher":"Research compilation","url":null,"publication_date":null,"access_date":"2026-10-12","locator":"A4.4","quote":null,"evidence_type":"research_note","verification_status":"reported_in_research","refresh_trigger":"Source update or new model release"},{"id":"SRC.RU.A4.5","title":"AML: obliged entity","publisher":"Research compilation","url":null,"publication_date":null,"access_date":"2026-10-12","locator":"A4.5","quote":null,"evidence_type":"research_note","verification_status":"reported_in_research","refresh_trigger":"Source update or new model release"},{"id":"SRC.RU.A4.6","title":"AML officer","publisher":"Research compilation","url":"https://www.gesetze-im-internet.de/gwg_2017/__7.html","publication_date":null,"access_date":"2026-10-12","locator":"A4.6","quote":null,"evidence_type":"research_note","verification_status":"reported_in_research","refresh_trigger":"Source update or new model release"},{"id":"SRC.RU.A4.7","title":"AML officer workload in the government's cost estimate","publisher":"Research compilation","url":null,"publication_date":null,"access_date":"2026-10-12","locator":"A4.7","quote":null,"evidence_type":"research_note","verification_status":"reported_in_research","refresh_trigger":"Source update or new model release"},{"id":"SRC.RU.A4.8","title":"Complaints handling","publisher":"Research compilation","url":"https://www.esma.europa.eu/publications-and-data/interactive-single-rulebook/mica/article-71-complaints-handling-procedures","publication_date":null,"access_date":"2026-10-12","locator":"A4.8","quote":null,"evidence_type":"research_note","verification_status":"reported_in_research","refresh_trigger":"Source update or new model release"},{"id":"SRC.RU.A4.9","title":"Conflicts of interest","publisher":"Research compilation","url":"https://www.esma.europa.eu/publications-and-data/interactive-single-rulebook/mica/article-72-identification-prevention","publication_date":null,"access_date":"2026-10-12","locator":"A4.9","quote":null,"evidence_type":"research_note","verification_status":"reported_in_research","refresh_trigger":"Source update or new model release"},{"id":"SRC.RU.A4.10","title":"Suitability and reporting (portfolio management / advice)","publisher":"Research compilation","url":null,"publication_date":null,"access_date":"2026-10-12","locator":"A4.10","quote":null,"evidence_type":"research_note","verification_status":"reported_in_research","refresh_trigger":"Source update or new model release"},{"id":"SRC.RU.A4.11","title":"Staff knowledge and competence","publisher":"Research compilation","url":null,"publication_date":null,"access_date":"2026-10-12","locator":"A4.11","quote":null,"evidence_type":"research_note","verification_status":"reported_in_research","refresh_trigger":"Source update or new model release"},{"id":"SRC.RU.A4.12","title":"Market-abuse surveillance","publisher":"Research compilation","url":"https://www.esma.europa.eu/publications-and-data/interactive-single-rulebook/mica/article-92-prevention-and-detection-market","publication_date":null,"access_date":"2026-10-12","locator":"A4.12","quote":null,"evidence_type":"research_note","verification_status":"reported_in_research","refresh_trigger":"Source update or new model release"},{"id":"SRC.RU.A4.13","title":"DORA applies","publisher":"Research compilation","url":"https://www.bafin.de/DE/Aufsicht/DORA/DORA_node.html","publication_date":null,"access_date":"2026-10-12","locator":"A4.13","quote":null,"evidence_type":"research_note","verification_status":"reported_in_research","refresh_trigger":"Source update or new model release"},{"id":"SRC.RU.A4.14","title":"DORA: which ICT risk framework","publisher":"Research compilation","url":"https://www.bafin.de/DE/unternehmen-maerkte/aufsicht/alle-unternehmen/it-cybersicherheit/ikt-risikomanagement/ikt-risikomanagement_node.html","publication_date":null,"access_date":"2026-10-12","locator":"A4.14","quote":null,"evidence_type":"research_note","verification_status":"reported_in_research","refresh_trigger":"Source update or new model release"},{"id":"SRC.RU.A4.15","title":"DORA: register of information","publisher":"Research compilation","url":"https://www.bafin.de/DE/unternehmen-maerkte/aufsicht/alle-unternehmen/it-cybersicherheit/register-anzeigepflichten/register-anzeigepflichten_node.html","publication_date":null,"access_date":"2026-10-12","locator":"A4.15","quote":null,"evidence_type":"research_note","verification_status":"reported_in_research","refresh_trigger":"Source update or new model release"},{"id":"SRC.RU.A4.16","title":"DORA: testing","publisher":"Research compilation","url":"https://www.bafin.de/DE/unternehmen-maerkte/aufsicht/alle-unternehmen/it-cybersicherheit/testen-info-krisenuebungen/tlpt/tlpt_node.html","publication_date":null,"access_date":"2026-10-12","locator":"A4.16","quote":null,"evidence_type":"research_note","verification_status":"reported_in_research","refresh_trigger":"Source update or new model release"},{"id":"SRC.RU.A4.17","title":"Record keeping","publisher":"Research compilation","url":null,"publication_date":null,"access_date":"2026-10-12","locator":"A4.17","quote":null,"evidence_type":"research_note","verification_status":"reported_in_research","refresh_trigger":"Source update or new model release"},{"id":"SRC.RU.A4.18","title":"Accounting and audit in Germany","publisher":"Research compilation","url":null,"publication_date":null,"access_date":"2026-10-12","locator":"A4.18","quote":null,"evidence_type":"research_note","verification_status":"reported_in_research","refresh_trigger":"Source update or new model release"},{"id":"SRC.RU.A4.19","title":"Government estimate of audit cost","publisher":"Research compilation","url":null,"publication_date":null,"access_date":"2026-10-12","locator":"A4.19","quote":null,"evidence_type":"research_note","verification_status":"reported_in_research","refresh_trigger":"Source update or new model release"},{"id":"SRC.RU.A4.20","title":"Wind-down plan","publisher":"Research compilation","url":"https://www.esma.europa.eu/publications-and-data/interactive-single-rulebook/mica/article-74-orderly-wind-down-crypto-asset","publication_date":null,"access_date":"2026-10-12","locator":"A4.20","quote":null,"evidence_type":"research_note","verification_status":"reported_in_research","refresh_trigger":"Source update or new model release"},{"id":"SRC.RU.A4.21","title":"Marketing and disclosures","publisher":"Research compilation","url":"https://www.esma.europa.eu/publications-and-data/interactive-single-rulebook/mica/article-66-obligation-act-honestly-fairly","publication_date":null,"access_date":"2026-10-12","locator":"A4.21","quote":null,"evidence_type":"research_note","verification_status":"reported_in_research","refresh_trigger":"Source update or new model release"},{"id":"SRC.RU.A4.22","title":"White paper","publisher":"Research compilation","url":null,"publication_date":null,"access_date":"2026-10-12","locator":"A4.22","quote":null,"evidence_type":"research_note","verification_status":"reported_in_research","refresh_trigger":"Source update or new model release"},{"id":"SRC.RU.A4.23","title":"Travel Rule (Transfer of Funds Regulation (EU) 2023/1113)","publisher":"Research compilation","url":null,"publication_date":null,"access_date":"2026-10-12","locator":"A4.23","quote":null,"evidence_type":"research_note","verification_status":"reported_in_research","refresh_trigger":"Source update or new model release"},{"id":"SRC.RU.A4.24","title":"Investor compensation","publisher":"Research compilation","url":null,"publication_date":null,"access_date":"2026-10-12","locator":"A4.24","quote":null,"evidence_type":"research_note","verification_status":"reported_in_research","refresh_trigger":"Source update or new model release"},{"id":"SRC.RU.A4.25","title":"Investors in a licensed CASP (funding rounds)","publisher":"Research compilation","url":"https://www.esma.europa.eu/publications-and-data/interactive-single-rulebook/mica/article-83-assessment-proposed-acquisitions","publication_date":null,"access_date":"2026-10-12","locator":"A4.25","quote":null,"evidence_type":"research_note","verification_status":"reported_in_research","refresh_trigger":"Source update or new model release"},{"id":"SRC.RU.B5.1","title":"Sumsub, Basic plan","publisher":"Research compilation","url":"https://sumsub.com/pricing/","publication_date":null,"access_date":"2026-10-12","locator":"B5.1","quote":null,"evidence_type":"research_note","verification_status":"reported_in_research","refresh_trigger":"Source update or new model release"},{"id":"SRC.RU.B5.2","title":"Sumsub, Compliance plan","publisher":"Research compilation","url":null,"publication_date":null,"access_date":"2026-10-12","locator":"B5.2","quote":null,"evidence_type":"research_note","verification_status":"reported_in_research","refresh_trigger":"Source update or new model release"},{"id":"SRC.RU.B5.3","title":"Sumsub at enterprise volume","publisher":"Research compilation","url":"https://aws.amazon.com/marketplace/pp/prodview-6lwbxcged4mlu","publication_date":null,"access_date":"2026-10-12","locator":"B5.3","quote":null,"evidence_type":"research_note","verification_status":"reported_in_research","refresh_trigger":"Source update or new model release"},{"id":"SRC.RU.B5.4","title":"Veriff, Essential / Plus / Premium","publisher":"Research compilation","url":"https://www.veriff.com/plans","publication_date":null,"access_date":"2026-10-12","locator":"B5.4","quote":null,"evidence_type":"research_note","verification_status":"reported_in_research","refresh_trigger":"Source update or new model release"},{"id":"SRC.RU.B5.5","title":"Veriff add-ons","publisher":"Research compilation","url":null,"publication_date":null,"access_date":"2026-10-12","locator":"B5.5","quote":null,"evidence_type":"research_note","verification_status":"reported_in_research","refresh_trigger":"Source update or new model release"},{"id":"SRC.RU.B5.6","title":"Persona, Essential","publisher":"Research compilation","url":"https://help.withpersona.com/articles/6oZbzp7jb7AWGClF5vpY3K.md","publication_date":null,"access_date":"2026-10-12","locator":"B5.6","quote":null,"evidence_type":"research_note","verification_status":"reported_in_research","refresh_trigger":"Source update or new model release"},{"id":"SRC.RU.B5.7","title":"Didit, full KYC","publisher":"Research compilation","url":"https://didit.me/pricing","publication_date":null,"access_date":"2026-10-12","locator":"B5.7","quote":null,"evidence_type":"research_note","verification_status":"reported_in_research","refresh_trigger":"Source update or new model release"},{"id":"SRC.RU.B5.8","title":"Didit, modules","publisher":"Research compilation","url":null,"publication_date":null,"access_date":"2026-10-12","locator":"B5.8","quote":null,"evidence_type":"research_note","verification_status":"reported_in_research","refresh_trigger":"Source update or new model release"},{"id":"SRC.RU.B5.9","title":"Ondato, KYC","publisher":"Research compilation","url":"https://ondato.com/pricing/","publication_date":null,"access_date":"2026-10-12","locator":"B5.9","quote":null,"evidence_type":"research_note","verification_status":"reported_in_research","refresh_trigger":"Source update or new model release"},{"id":"SRC.RU.B5.10","title":"Ondato, AML screening","publisher":"Research compilation","url":null,"publication_date":null,"access_date":"2026-10-12","locator":"B5.10","quote":null,"evidence_type":"research_note","verification_status":"reported_in_research","refresh_trigger":"Source update or new model release"},{"id":"SRC.RU.B5.11","title":"Ondato, ongoing AML monitoring","publisher":"Research compilation","url":null,"publication_date":null,"access_date":"2026-10-12","locator":"B5.11","quote":null,"evidence_type":"research_note","verification_status":"reported_in_research","refresh_trigger":"Source update or new model release"},{"id":"SRC.RU.B5.12","title":"ComplyCube, plans","publisher":"Research compilation","url":"https://complycube.com/pricing","publication_date":null,"access_date":"2026-10-12","locator":"B5.12","quote":null,"evidence_type":"research_note","verification_status":"reported_in_research","refresh_trigger":"Source update or new model release"},{"id":"SRC.RU.B5.13","title":"ComplyCube, per check (Starter / Core)","publisher":"Research compilation","url":null,"publication_date":null,"access_date":"2026-10-12","locator":"B5.13","quote":null,"evidence_type":"research_note","verification_status":"reported_in_research","refresh_trigger":"Source update or new model release"},{"id":"SRC.RU.B5.14","title":"Shufti Pro","publisher":"Research compilation","url":"https://shuftipro.com/pricing/","publication_date":null,"access_date":"2026-10-12","locator":"B5.14","quote":null,"evidence_type":"research_note","verification_status":"reported_in_research","refresh_trigger":"Source update or new model release"},{"id":"SRC.RU.B5.15","title":"iDenfy","publisher":"Research compilation","url":"https://www.idenfy.com/pricing/","publication_date":null,"access_date":"2026-10-12","locator":"B5.15","quote":null,"evidence_type":"research_note","verification_status":"reported_in_research","refresh_trigger":"Source update or new model release"},{"id":"SRC.RU.B5.16","title":"ComplyAdvantage (screening + monitoring)","publisher":"Research compilation","url":"https://erpresearch.com/erp-add-ons/fraud-risk/complyadvantage/pricing","publication_date":null,"access_date":"2026-10-12","locator":"B5.16","quote":null,"evidence_type":"research_note","verification_status":"reported_in_research","refresh_trigger":"Source update or new model release"},{"id":"SRC.RU.B5.17","title":"Onfido (Entrust) list price","publisher":"Research compilation","url":null,"publication_date":null,"access_date":"2026-10-12","locator":"B5.17","quote":null,"evidence_type":"research_note","verification_status":"reported_in_research","refresh_trigger":"Source update or new model release"},{"id":"SRC.RU.B5.18","title":"IDnow list price","publisher":"Research compilation","url":null,"publication_date":null,"access_date":"2026-10-12","locator":"B5.18","quote":null,"evidence_type":"research_note","verification_status":"reported_in_research","refresh_trigger":"Source update or new model release"},{"id":"SRC.RU.B6.1","title":"Standard EEA cards","publisher":"Research compilation","url":"https://stripe.com/en-de/pricing","publication_date":null,"access_date":"2026-10-12","locator":"B6.1","quote":null,"evidence_type":"research_note","verification_status":"reported_in_research","refresh_trigger":"Source update or new model release"},{"id":"SRC.RU.B6.2","title":"Premium EEA cards","publisher":"Research compilation","url":null,"publication_date":null,"access_date":"2026-10-12","locator":"B6.2","quote":null,"evidence_type":"research_note","verification_status":"reported_in_research","refresh_trigger":"Source update or new model release"},{"id":"SRC.RU.B6.3","title":"UK cards","publisher":"Research compilation","url":null,"publication_date":null,"access_date":"2026-10-12","locator":"B6.3","quote":null,"evidence_type":"research_note","verification_status":"reported_in_research","refresh_trigger":"Source update or new model release"},{"id":"SRC.RU.B6.4","title":"International cards","publisher":"Research compilation","url":null,"publication_date":null,"access_date":"2026-10-12","locator":"B6.4","quote":null,"evidence_type":"research_note","verification_status":"reported_in_research","refresh_trigger":"Source update or new model release"},{"id":"SRC.RU.B6.5","title":"Currency conversion","publisher":"Research compilation","url":null,"publication_date":null,"access_date":"2026-10-12","locator":"B6.5","quote":null,"evidence_type":"research_note","verification_status":"reported_in_research","refresh_trigger":"Source update or new model release"},{"id":"SRC.RU.B6.6","title":"SEPA Direct Debit","publisher":"Research compilation","url":"https://stripe.com/en-de/pricing/local-payment-methods","publication_date":null,"access_date":"2026-10-12","locator":"B6.6","quote":null,"evidence_type":"research_note","verification_status":"reported_in_research","refresh_trigger":"Source update or new model release"},{"id":"SRC.RU.B6.7","title":"Card disputes","publisher":"Research compilation","url":null,"publication_date":null,"access_date":"2026-10-12","locator":"B6.7","quote":null,"evidence_type":"research_note","verification_status":"reported_in_research","refresh_trigger":"Source update or new model release"},{"id":"SRC.RU.B6.8","title":"Stripe Billing","publisher":"Research compilation","url":"https://stripe.com/en-de/billing/pricing","publication_date":null,"access_date":"2026-10-12","locator":"B6.8","quote":null,"evidence_type":"research_note","verification_status":"reported_in_research","refresh_trigger":"Source update or new model release"},{"id":"SRC.RU.B6.9","title":"Radar / 3D Secure","publisher":"Research compilation","url":null,"publication_date":null,"access_date":"2026-10-12","locator":"B6.9","quote":null,"evidence_type":"research_note","verification_status":"reported_in_research","refresh_trigger":"Source update or new model release"},{"id":"SRC.RU.B6.10","title":"Stripe Connect (follower-to-lead-trader payouts, R2)","publisher":"Research compilation","url":"https://stripe.com/en-de/connect/pricing","publication_date":null,"access_date":"2026-10-12","locator":"B6.10","quote":null,"evidence_type":"research_note","verification_status":"reported_in_research","refresh_trigger":"Source update or new model release"},{"id":"SRC.RU.B6.11","title":"Other methods via Stripe","publisher":"Research compilation","url":null,"publication_date":null,"access_date":"2026-10-12","locator":"B6.11","quote":null,"evidence_type":"research_note","verification_status":"reported_in_research","refresh_trigger":"Source update or new model release"},{"id":"SRC.RU.B6.12","title":"Subscriptions, standard terms (non-EU storefronts)","publisher":"Research compilation","url":"https://developer.apple.com/app-store/subscriptions/","publication_date":null,"access_date":"2026-10-12","locator":"B6.12","quote":null,"evidence_type":"research_note","verification_status":"reported_in_research","refresh_trigger":"Source update or new model release"},{"id":"SRC.RU.B6.13","title":"App Store Small Business Program","publisher":"Research compilation","url":"https://developer.apple.com/app-store/small-business-program/","publication_date":null,"access_date":"2026-10-12","locator":"B6.13","quote":null,"evidence_type":"research_note","verification_status":"reported_in_research","refresh_trigger":"Source update or new model release"},{"id":"SRC.RU.B6.14","title":"**EU storefronts from 01.10.2026**: Apple In-App Purchase","publisher":"Research compilation","url":"https://developer.apple.com/support/dma-and-apps-in-the-eu/","publication_date":null,"access_date":"2026-10-12","locator":"B6.14","quote":null,"evidence_type":"research_note","verification_status":"reported_in_research","refresh_trigger":"Source update or new model release"},{"id":"SRC.RU.B6.15","title":"EU: alternative payment processing inside the app","publisher":"Research compilation","url":null,"publication_date":null,"access_date":"2026-10-12","locator":"B6.15","quote":null,"evidence_type":"research_note","verification_status":"reported_in_research","refresh_trigger":"Source update or new model release"},{"id":"SRC.RU.B6.16","title":"EU: link-out to web purchase (\"store services commission\")","publisher":"Research compilation","url":null,"publication_date":null,"access_date":"2026-10-12","locator":"B6.16","quote":null,"evidence_type":"research_note","verification_status":"reported_in_research","refresh_trigger":"Source update or new model release"},{"id":"SRC.RU.B6.17","title":"EU: Core Technology Commission (CTC)","publisher":"Research compilation","url":null,"publication_date":null,"access_date":"2026-10-12","locator":"B6.17","quote":null,"evidence_type":"research_note","verification_status":"reported_in_research","refresh_trigger":"Source update or new model release"},{"id":"SRC.RU.B6.18","title":"EU terms before 01.10.2026 (historical)","publisher":"Research compilation","url":"https://developer.apple.com/news/?id=awedznci","publication_date":null,"access_date":"2026-10-12","locator":"B6.18","quote":null,"evidence_type":"research_note","verification_status":"reported_in_research","refresh_trigger":"Source update or new model release"},{"id":"SRC.RU.B6.19","title":"**EEA from 30.06.2026**: auto-renewing subscriptions","publisher":"Research compilation","url":"https://support.google.com/googleplay/android-developer/answer/16954621","publication_date":null,"access_date":"2026-10-12","locator":"B6.19","quote":null,"evidence_type":"research_note","verification_status":"reported_in_research","refresh_trigger":"Source update or new model release"},{"id":"SRC.RU.B6.20","title":"EEA from 30.06.2026: one-time in-app purchases","publisher":"Research compilation","url":null,"publication_date":null,"access_date":"2026-10-12","locator":"B6.20","quote":null,"evidence_type":"research_note","verification_status":"reported_in_research","refresh_trigger":"Source update or new model release"},{"id":"SRC.RU.B6.21","title":"Old structure (EEA before 30.06.2026; other regions until rollout)","publisher":"Research compilation","url":"https://support.google.com/googleplay/android-developer/answer/112622","publication_date":null,"access_date":"2026-10-12","locator":"B6.21","quote":null,"evidence_type":"research_note","verification_status":"reported_in_research","refresh_trigger":"Source update or new model release"},{"id":"SRC.RU.B6.22","title":"EEA external offers program (current)","publisher":"Research compilation","url":"https://support.google.com/googleplay/android-developer/answer/14372887","publication_date":null,"access_date":"2026-10-12","locator":"B6.22","quote":null,"evidence_type":"research_note","verification_status":"reported_in_research","refresh_trigger":"Source update or new model release"},{"id":"SRC.RU.B7.1","title":"Hosting cost per MAU, consumer fintech/social","publisher":"Research compilation","url":null,"publication_date":null,"access_date":"2026-10-12","locator":"B7.1","quote":null,"evidence_type":"research_note","verification_status":"reported_in_research","refresh_trigger":"Source update or new model release"},{"id":"SRC.RU.B7.2","title":"Proxy: Snap infrastructure cost per daily active user","publisher":"Research compilation","url":"https://www.itiger.com/news/2510445336","publication_date":null,"access_date":"2026-10-12","locator":"B7.2","quote":null,"evidence_type":"research_note","verification_status":"reported_in_research","refresh_trigger":"Source update or new model release"},{"id":"SRC.RU.B7.3","title":"Proxy: hosting as % of ARR, private B2B SaaS","publisher":"Research compilation","url":"https://founderpath.com/free-tools/saas-spending-benchmark","publication_date":null,"access_date":"2026-10-12","locator":"B7.3","quote":null,"evidence_type":"research_note","verification_status":"reported_in_research","refresh_trigger":"Source update or new model release"},{"id":"SRC.RU.B7.4","title":"Proxy: cloud infrastructure as % of ARR by stage","publisher":"Research compilation","url":"https://www.doit.com/blog/saas-hosting-benchmarks-by-arr-and-maturity","publication_date":null,"access_date":"2026-10-12","locator":"B7.4","quote":null,"evidence_type":"research_note","verification_status":"reported_in_research","refresh_trigger":"Source update or new model release"},{"id":"SRC.RU.B7.5","title":"CoinGecko API","publisher":"Research compilation","url":"https://www.coingecko.com/en/api/pricing","publication_date":null,"access_date":"2026-10-12","locator":"B7.5","quote":null,"evidence_type":"research_note","verification_status":"reported_in_research","refresh_trigger":"Source update or new model release"},{"id":"SRC.RU.B7.6","title":"CoinMarketCap API","publisher":"Research compilation","url":"https://coinmarketcap.com/api/pricing/","publication_date":null,"access_date":"2026-10-12","locator":"B7.6","quote":null,"evidence_type":"research_note","verification_status":"reported_in_research","refresh_trigger":"Source update or new model release"},{"id":"SRC.RU.B7.7","title":"CoinAPI","publisher":"Research compilation","url":"https://www.coinapi.io/market-data-api/pricing","publication_date":null,"access_date":"2026-10-12","locator":"B7.7","quote":null,"evidence_type":"research_note","verification_status":"reported_in_research","refresh_trigger":"Source update or new model release"},{"id":"SRC.RU.B7.8","title":"CoinDesk Data (formerly CCData / CryptoCompare)","publisher":"Research compilation","url":null,"publication_date":null,"access_date":"2026-10-12","locator":"B7.8","quote":null,"evidence_type":"research_note","verification_status":"reported_in_research","refresh_trigger":"Source update or new model release"},{"id":"SRC.RU.B7.9","title":"Kaiko","publisher":"Research compilation","url":"https://www.kaiko.com/about-kaiko/pricing-and-contracts","publication_date":null,"access_date":"2026-10-12","locator":"B7.9","quote":null,"evidence_type":"research_note","verification_status":"reported_in_research","refresh_trigger":"Source update or new model release"},{"id":"SRC.RU.B7.10","title":"Cost per live contact (global)","publisher":"Research compilation","url":"https://www.tcworld.info/news/self-service-is-a-last-resort-for-customers-989","publication_date":null,"access_date":"2026-10-12","locator":"B7.10","quote":null,"evidence_type":"research_note","verification_status":"reported_in_research","refresh_trigger":"Source update or new model release"},{"id":"SRC.RU.B7.11","title":"Fintech support volume reference (Klarna)","publisher":"Research compilation","url":"https://www.klarna.com/international/press/klarna-ai-assistant-handles-two-thirds-of-customer-service-chats-in-its-first-month/","publication_date":null,"access_date":"2026-10-12","locator":"B7.11","quote":null,"evidence_type":"research_note","verification_status":"reported_in_research","refresh_trigger":"Source update or new model release"},{"id":"SRC.RU.B7.12","title":"Klarna support cost per transaction","publisher":"Research compilation","url":"https://www.customerexperiencedive.com/news/klarna-ai-slash-customer-service-costs/748647/","publication_date":null,"access_date":"2026-10-12","locator":"B7.12","quote":null,"evidence_type":"research_note","verification_status":"reported_in_research","refresh_trigger":"Source update or new model release"},{"id":"SRC.RU.B7.13","title":"Support and success spend, B2B SaaS","publisher":"Research compilation","url":null,"publication_date":null,"access_date":"2026-10-12","locator":"B7.13","quote":null,"evidence_type":"research_note","verification_status":"reported_in_research","refresh_trigger":"Source update or new model release"},{"id":"SRC.RU.B7.14","title":"Zendesk seats","publisher":"Research compilation","url":"https://www.zendesk.com/pricing/","publication_date":null,"access_date":"2026-10-12","locator":"B7.14","quote":null,"evidence_type":"research_note","verification_status":"reported_in_research","refresh_trigger":"Source update or new model release"},{"id":"SRC.RU.B7.15","title":"Intercom seats","publisher":"Research compilation","url":"https://www.intercom.com/pricing","publication_date":null,"access_date":"2026-10-12","locator":"B7.15","quote":null,"evidence_type":"research_note","verification_status":"reported_in_research","refresh_trigger":"Source update or new model release"},{"id":"SRC.RU.B7.16","title":"Freshdesk seats","publisher":"Research compilation","url":"https://www.freshworks.com/freshdesk/pricing/","publication_date":null,"access_date":"2026-10-12","locator":"B7.16","quote":null,"evidence_type":"research_note","verification_status":"reported_in_research","refresh_trigger":"Source update or new model release"},{"id":"SRC.RU.B7.17","title":"Cost per support contact, Europe","publisher":"Research compilation","url":null,"publication_date":null,"access_date":"2026-10-12","locator":"B7.17","quote":null,"evidence_type":"research_note","verification_status":"reported_in_research","refresh_trigger":"Source update or new model release"},{"id":"SRC.RU.B7.18","title":"Contacts per 1,000 active users, fintech","publisher":"Research compilation","url":null,"publication_date":null,"access_date":"2026-10-12","locator":"B7.18","quote":null,"evidence_type":"research_note","verification_status":"reported_in_research","refresh_trigger":"Source update or new model release"},{"id":"SRC.RU.B7.19","title":"Visa VAMP thresholds","publisher":"Research compilation","url":"https://docs.stripe.com/disputes/monitoring-programs","publication_date":null,"access_date":"2026-10-12","locator":"B7.19","quote":null,"evidence_type":"research_note","verification_status":"reported_in_research","refresh_trigger":"Source update or new model release"},{"id":"SRC.RU.B7.20","title":"Mastercard Excessive Chargeback Program","publisher":"Research compilation","url":null,"publication_date":null,"access_date":"2026-10-12","locator":"B7.20","quote":null,"evidence_type":"research_note","verification_status":"reported_in_research","refresh_trigger":"Source update or new model release"},{"id":"SRC.RU.B7.21","title":"\"Excessive\" dispute-rate marker used by Stripe","publisher":"Research compilation","url":"https://docs.stripe.com/disputes/measuring","publication_date":null,"access_date":"2026-10-12","locator":"B7.21","quote":null,"evidence_type":"research_note","verification_status":"reported_in_research","refresh_trigger":"Source update or new model release"},{"id":"SRC.RU.B7.22","title":"Average card-not-present e-commerce chargeback rate","publisher":"Research compilation","url":"https://chargebacks911.com/chargeback-stats/","publication_date":null,"access_date":"2026-10-12","locator":"B7.22","quote":null,"evidence_type":"research_note","verification_status":"reported_in_research","refresh_trigger":"Source update or new model release"},{"id":"SRC.RU.B7.23","title":"Friendly-fraud share of chargebacks","publisher":"Research compilation","url":null,"publication_date":null,"access_date":"2026-10-12","locator":"B7.23","quote":null,"evidence_type":"research_note","verification_status":"reported_in_research","refresh_trigger":"Source update or new model release"},{"id":"SRC.RU.B7.24","title":"LexisNexis True Cost of Fraud","publisher":"Research compilation","url":"https://risk.lexisnexis.com/insights-resources/research/us-ca-true-cost-of-fraud-study","publication_date":null,"access_date":"2026-10-12","locator":"B7.24","quote":null,"evidence_type":"research_note","verification_status":"reported_in_research","refresh_trigger":"Source update or new model release"},{"id":"SRC.RU.B7.25","title":"Involuntary churn (Recurly network)","publisher":"Research compilation","url":"https://www.recurly.com/research/churn-rate-benchmarks/","publication_date":null,"access_date":"2026-10-12","locator":"B7.25","quote":null,"evidence_type":"research_note","verification_status":"reported_in_research","refresh_trigger":"Source update or new model release"},{"id":"SRC.RU.B7.26","title":"Failed-payment recovery (Stripe)","publisher":"Research compilation","url":"https://stripe.com/en-de/billing","publication_date":null,"access_date":"2026-10-12","locator":"B7.26","quote":null,"evidence_type":"research_note","verification_status":"reported_in_research","refresh_trigger":"Source update or new model release"},{"id":"SRC.RU.B7.27","title":"App Store billing retry","publisher":"Research compilation","url":null,"publication_date":null,"access_date":"2026-10-12","locator":"B7.27","quote":null,"evidence_type":"research_note","verification_status":"reported_in_research","refresh_trigger":"Source update or new model release"},{"id":"SRC.RU.B7.28","title":"Chargeback rate for subscription / digital-goods sellers (primary source)","publisher":"Research compilation","url":null,"publication_date":null,"access_date":"2026-10-12","locator":"B7.28","quote":null,"evidence_type":"research_note","verification_status":"reported_in_research","refresh_trigger":"Source update or new model release"},{"id":"SRC.RU.B8.1","title":"Finance app CPI, Europe","publisher":"Research compilation","url":"https://www.adjust.com/resources/ebooks/mobile-app-trends-2026/","publication_date":null,"access_date":"2026-10-12","locator":"B8.1","quote":null,"evidence_type":"research_note","verification_status":"reported_in_research","refresh_trigger":"Source update or new model release"},{"id":"SRC.RU.B8.2","title":"Crypto app CPI, global","publisher":"Research compilation","url":null,"publication_date":null,"access_date":"2026-10-12","locator":"B8.2","quote":null,"evidence_type":"research_note","verification_status":"reported_in_research","refresh_trigger":"Source update or new model release"},{"id":"SRC.RU.B8.3","title":"Finance CPI, Liftoff network","publisher":"Research compilation","url":"https://content.liftoff.io/hubfs/2022/Reports/2022%20Mobile%20Finance%20Apps%20Report/2022%20Finance%20Apps%20Report%20-%20EN.pdf","publication_date":null,"access_date":"2026-10-12","locator":"B8.3","quote":null,"evidence_type":"research_note","verification_status":"reported_in_research","refresh_trigger":"Source update or new model release"},{"id":"SRC.RU.B8.4","title":"Cost per registration, finance","publisher":"Research compilation","url":null,"publication_date":null,"access_date":"2026-10-12","locator":"B8.4","quote":null,"evidence_type":"research_note","verification_status":"reported_in_research","refresh_trigger":"Source update or new model release"},{"id":"SRC.RU.B8.5","title":"Cost per activation (first transaction or bank-account link)","publisher":"Research compilation","url":"https://content.liftoff.io/hubfs/aaa_Reports/2021/2021%20Finance%20Report/Finance%20Report%202021%20-%20EN.pdf","publication_date":null,"access_date":"2026-10-12","locator":"B8.5","quote":null,"evidence_type":"research_note","verification_status":"reported_in_research","refresh_trigger":"Source update or new model release"},{"id":"SRC.RU.B8.6","title":"Funnel: install → registration","publisher":"Research compilation","url":null,"publication_date":null,"access_date":"2026-10-12","locator":"B8.6","quote":null,"evidence_type":"research_note","verification_status":"reported_in_research","refresh_trigger":"Source update or new model release"},{"id":"SRC.RU.B8.7","title":"Funnel: install → activation","publisher":"Research compilation","url":null,"publication_date":null,"access_date":"2026-10-12","locator":"B8.7","quote":null,"evidence_type":"research_note","verification_status":"reported_in_research","refresh_trigger":"Source update or new model release"},{"id":"SRC.RU.B8.8","title":"Liftoff × AppsFlyer 2026 finance and crypto benchmark","publisher":"Research compilation","url":"https://liftoff.ai/2026-finance-crypto-app-performance-benchmark/","publication_date":null,"access_date":"2026-10-12","locator":"B8.8","quote":null,"evidence_type":"research_note","verification_status":"reported_in_research","refresh_trigger":"Source update or new model release"},{"id":"SRC.RU.B8.9","title":"Cost per KYC-verified user, cost per funded user (Europe, current)","publisher":"Research compilation","url":null,"publication_date":null,"access_date":"2026-10-12","locator":"B8.9","quote":null,"evidence_type":"research_note","verification_status":"reported_in_research","refresh_trigger":"Source update or new model release"},{"id":"SRC.RU.B8.10","title":"Finance, SplitMetrics","publisher":"Research compilation","url":"https://splitmetrics.com/blog/apple-search-ads-cost/","publication_date":null,"access_date":"2026-10-12","locator":"B8.10","quote":null,"evidence_type":"research_note","verification_status":"reported_in_research","refresh_trigger":"Source update or new model release"},{"id":"SRC.RU.B8.11","title":"Finance, MobileAction","publisher":"Research compilation","url":"https://www.mobileaction.co/report/apple-ads-2026-benchmark-report/cpt-search-results-ads/","publication_date":null,"access_date":"2026-10-12","locator":"B8.11","quote":null,"evidence_type":"research_note","verification_status":"reported_in_research","refresh_trigger":"Source update or new model release"},{"id":"SRC.RU.B8.12","title":"Germany, all categories","publisher":"Research compilation","url":"https://www.mobileaction.co/report/apple-ads-2026-benchmark-report/search-results-ads-regional-cpt/","publication_date":null,"access_date":"2026-10-12","locator":"B8.12","quote":null,"evidence_type":"research_note","verification_status":"reported_in_research","refresh_trigger":"Source update or new model release"},{"id":"SRC.RU.B8.13","title":"Paid/organic install ratio, finance","publisher":"Research compilation","url":null,"publication_date":null,"access_date":"2026-10-12","locator":"B8.13","quote":null,"evidence_type":"research_note","verification_status":"reported_in_research","refresh_trigger":"Source update or new model release"},{"id":"SRC.RU.B8.14","title":"Paid share, Western Europe finance (AppsFlyer)","publisher":"Research compilation","url":"https://www.appsflyer.com/resources/reports/finance-marketers-europe-report/","publication_date":null,"access_date":"2026-10-12","locator":"B8.14","quote":null,"evidence_type":"research_note","verification_status":"reported_in_research","refresh_trigger":"Source update or new model release"},{"id":"SRC.RU.B8.15","title":"Install fraud, investment apps, Western Europe","publisher":"Research compilation","url":null,"publication_date":null,"access_date":"2026-10-12","locator":"B8.15","quote":null,"evidence_type":"research_note","verification_status":"reported_in_research","refresh_trigger":"Source update or new model release"},{"id":"SRC.RU.B8.16","title":"Europe finance market context","publisher":"Research compilation","url":null,"publication_date":null,"access_date":"2026-10-12","locator":"B8.16","quote":null,"evidence_type":"research_note","verification_status":"reported_in_research","refresh_trigger":"Source update or new model release"},{"id":"SRC.RU.B8.17","title":"Trade Republic (DE)","publisher":"Research compilation","url":"https://assets.traderepublic.com/assets/files/T&amp;C_Customer-Promotions-DE.pdf","publication_date":null,"access_date":"2026-10-12","locator":"B8.17","quote":null,"evidence_type":"research_note","verification_status":"reported_in_research","refresh_trigger":"Source update or new model release"},{"id":"SRC.RU.B8.18","title":"Bitpanda","publisher":"Research compilation","url":"https://www.bitpanda.com/en/tell-a-friend","publication_date":null,"access_date":"2026-10-12","locator":"B8.18","quote":null,"evidence_type":"research_note","verification_status":"reported_in_research","refresh_trigger":"Source update or new model release"},{"id":"SRC.RU.B8.19","title":"Scalable Capital","publisher":"Research compilation","url":"https://help.scalable.capital/en/referral-programme-81610247/can-i-receive-multiple-rewards-56888841","publication_date":null,"access_date":"2026-10-12","locator":"B8.19","quote":null,"evidence_type":"research_note","verification_status":"reported_in_research","refresh_trigger":"Source update or new model release"},{"id":"SRC.RU.B8.20","title":"Bybit EU","publisher":"Research compilation","url":"https://www.bybit.eu/en-EU/help-center/article/Bybit-Referral-Program-General-FAQ","publication_date":null,"access_date":"2026-10-12","locator":"B8.20","quote":null,"evidence_type":"research_note","verification_status":"reported_in_research","refresh_trigger":"Source update or new model release"},{"id":"SRC.RU.B8.21","title":"Kraken (EEA)","publisher":"Research compilation","url":"https://www.kraken.com/referrals-dyn-eea-75H","publication_date":null,"access_date":"2026-10-12","locator":"B8.21","quote":null,"evidence_type":"research_note","verification_status":"reported_in_research","refresh_trigger":"Source update or new model release"},{"id":"SRC.RU.B8.22","title":"N26 (DE)","publisher":"Research compilation","url":"https://n26.com/en-de/invite-friends","publication_date":null,"access_date":"2026-10-12","locator":"B8.22","quote":null,"evidence_type":"research_note","verification_status":"reported_in_research","refresh_trigger":"Source update or new model release"},{"id":"SRC.RU.B8.23","title":"Revolut, Coinbase, eToro, Bitvavo","publisher":"Research compilation","url":null,"publication_date":null,"access_date":"2026-10-12","locator":"B8.23","quote":null,"evidence_type":"research_note","verification_status":"reported_in_research","refresh_trigger":"Source update or new model release"},{"id":"SRC.RU.B9.1","title":"Finance app retention, global","publisher":"Research compilation","url":null,"publication_date":null,"access_date":"2026-10-12","locator":"B9.1","quote":null,"evidence_type":"research_note","verification_status":"reported_in_research","refresh_trigger":"Source update or new model release"},{"id":"SRC.RU.B9.2","title":"Finance app retention, Germany","publisher":"Research compilation","url":"https://e.infogram.com/8f54465a-d5f9-4035-b1da-4e3aafc8ca3a","publication_date":null,"access_date":"2026-10-12","locator":"B9.2","quote":null,"evidence_type":"research_note","verification_status":"reported_in_research","refresh_trigger":"Source update or new model release"},{"id":"SRC.RU.B9.3","title":"Other EU markets, finance","publisher":"Research compilation","url":null,"publication_date":null,"access_date":"2026-10-12","locator":"B9.3","quote":null,"evidence_type":"research_note","verification_status":"reported_in_research","refresh_trigger":"Source update or new model release"},{"id":"SRC.RU.B9.4","title":"Adjust Finance App Insights 2025","publisher":"Research compilation","url":"https://www.adjust.com/resources/ebooks/finance-app-insights/","publication_date":null,"access_date":"2026-10-12","locator":"B9.4","quote":null,"evidence_type":"research_note","verification_status":"reported_in_research","refresh_trigger":"Source update or new model release"},{"id":"SRC.RU.B9.5","title":"Finance day-30 retention (compilation)","publisher":"Research compilation","url":"https://www.businessofapps.com/data/finance-app-benchmarks/","publication_date":null,"access_date":"2026-10-12","locator":"B9.5","quote":null,"evidence_type":"research_note","verification_status":"reported_in_research","refresh_trigger":"Source update or new model release"},{"id":"SRC.RU.B9.6","title":"Crypto engagement, EMEA","publisher":"Research compilation","url":"https://mixpanel.com/blog/finance-benchmarks-2026/","publication_date":null,"access_date":"2026-10-12","locator":"B9.6","quote":null,"evidence_type":"research_note","verification_status":"reported_in_research","refresh_trigger":"Source update or new model release"},{"id":"SRC.RU.B9.7","title":"Download → paid by day 35","publisher":"Research compilation","url":"https://www.revenuecat.com/state-of-subscription-apps","publication_date":null,"access_date":"2026-10-12","locator":"B9.7","quote":null,"evidence_type":"research_note","verification_status":"reported_in_research","refresh_trigger":"Source update or new model release"},{"id":"SRC.RU.B9.8","title":"Download → trial by day 30","publisher":"Research compilation","url":null,"publication_date":null,"access_date":"2026-10-12","locator":"B9.8","quote":null,"evidence_type":"research_note","verification_status":"reported_in_research","refresh_trigger":"Source update or new model release"},{"id":"SRC.RU.B9.9","title":"Trial → paid","publisher":"Research compilation","url":null,"publication_date":null,"access_date":"2026-10-12","locator":"B9.9","quote":null,"evidence_type":"research_note","verification_status":"reported_in_research","refresh_trigger":"Source update or new model release"},{"id":"SRC.RU.B9.10","title":"Monthly plans: renewal rates","publisher":"Research compilation","url":null,"publication_date":null,"access_date":"2026-10-12","locator":"B9.10","quote":null,"evidence_type":"research_note","verification_status":"reported_in_research","refresh_trigger":"Source update or new model release"},{"id":"SRC.RU.B9.11","title":"12-month retention","publisher":"Research compilation","url":null,"publication_date":null,"access_date":"2026-10-12","locator":"B9.11","quote":null,"evidence_type":"research_note","verification_status":"reported_in_research","refresh_trigger":"Source update or new model release"},{"id":"SRC.RU.B9.12","title":"Annual plans: renewal rates","publisher":"Research compilation","url":null,"publication_date":null,"access_date":"2026-10-12","locator":"B9.12","quote":null,"evidence_type":"research_note","verification_status":"reported_in_research","refresh_trigger":"Source update or new model release"},{"id":"SRC.RU.B9.13","title":"Plan mix","publisher":"Research compilation","url":null,"publication_date":null,"access_date":"2026-10-12","locator":"B9.13","quote":null,"evidence_type":"research_note","verification_status":"reported_in_research","refresh_trigger":"Source update or new model release"},{"id":"SRC.RU.B9.14","title":"Price points","publisher":"Research compilation","url":null,"publication_date":null,"access_date":"2026-10-12","locator":"B9.14","quote":null,"evidence_type":"research_note","verification_status":"reported_in_research","refresh_trigger":"Source update or new model release"},{"id":"SRC.RU.B9.15","title":"Refund rate","publisher":"Research compilation","url":null,"publication_date":null,"access_date":"2026-10-12","locator":"B9.15","quote":null,"evidence_type":"research_note","verification_status":"reported_in_research","refresh_trigger":"Source update or new model release"},{"id":"SRC.RU.B9.16","title":"How subscriptions end","publisher":"Research compilation","url":null,"publication_date":null,"access_date":"2026-10-12","locator":"B9.16","quote":null,"evidence_type":"research_note","verification_status":"reported_in_research","refresh_trigger":"Source update or new model release"},{"id":"SRC.RU.B9.17","title":"Value per payer","publisher":"Research compilation","url":null,"publication_date":null,"access_date":"2026-10-12","locator":"B9.17","quote":null,"evidence_type":"research_note","verification_status":"reported_in_research","refresh_trigger":"Source update or new model release"},{"id":"SRC.RU.B9.18","title":"RevenueCat 2025 edition (for comparison)","publisher":"Research compilation","url":"https://www.revenuecat.com/state-of-subscription-apps-2025","publication_date":null,"access_date":"2026-10-12","locator":"B9.18","quote":null,"evidence_type":"research_note","verification_status":"reported_in_research","refresh_trigger":"Source update or new model release"},{"id":"SRC.RU.B9.19","title":"Adapty, \"State of in-app subscriptions 2026\"","publisher":"Research compilation","url":"https://adapty.io/state-of-in-app-subscriptions/","publication_date":null,"access_date":"2026-10-12","locator":"B9.19","quote":null,"evidence_type":"research_note","verification_status":"reported_in_research","refresh_trigger":"Source update or new model release"},{"id":"SRC.RU.B9.20","title":"Copy-trading profit share to lead traders (Bybit, global site)","publisher":"Research compilation","url":"https://www.bybit.com/en/help-center/article/Copy-Trading-Profit-Sharing-Explained","publication_date":null,"access_date":"2026-10-12","locator":"B9.20","quote":null,"evidence_type":"research_note","verification_status":"reported_in_research","refresh_trigger":"Source update or new model release"},{"id":"SRC.RU.B9.21","title":"Creator-platform take rates","publisher":"Research compilation","url":"https://www.patreon.com/pricing","publication_date":null,"access_date":"2026-10-12","locator":"B9.21","quote":null,"evidence_type":"research_note","verification_status":"reported_in_research","refresh_trigger":"Source update or new model release"},{"id":"SRC.RU.B9.22","title":"Exchange revenue share for referred users","publisher":"Research compilation","url":null,"publication_date":null,"access_date":"2026-10-12","locator":"B9.22","quote":null,"evidence_type":"research_note","verification_status":"reported_in_research","refresh_trigger":"Source update or new model release"},{"id":"SRC.MP.R1","title":"EUR/USD, ECB euro reference rate","publisher":"Research compilation","url":"https://www.ecb.europa.eu/stats/eurofxref/eurofxref-hist.zip","publication_date":null,"access_date":"2026-10-12","locator":"R1","quote":null,"evidence_type":"research_note","verification_status":"reported_in_research","refresh_trigger":"Source update or new model release"},{"id":"SRC.MP.R2","title":"EUR/USD averages","publisher":"Research compilation","url":null,"publication_date":null,"access_date":"2026-10-12","locator":"R2","quote":null,"evidence_type":"research_note","verification_status":"reported_in_research","refresh_trigger":"Source update or new model release"},{"id":"SRC.MP.R3","title":"Adult population (18+), 1 Jan 2025","publisher":"Research compilation","url":"https://ec.europa.eu/eurostat/api/dissemination/statistics/1.0/data/demo_pjanbroad","publication_date":null,"access_date":"2026-10-12","locator":"R3","quote":null,"evidence_type":"research_note","verification_status":"reported_in_research","refresh_trigger":"Source update or new model release"},{"id":"SRC.MP.R4","title":"German VAT, and price display to consumers","publisher":"Research compilation","url":"https://www.gesetze-im-internet.de/ustg_1980/__12.html","publication_date":null,"access_date":"2026-10-12","locator":"R4","quote":null,"evidence_type":"research_note","verification_status":"reported_in_research","refresh_trigger":"Source update or new model release"},{"id":"SRC.MP.E01","title":"Funded accounts, 30 Jun 2026","publisher":"Research compilation","url":"https://www.etoro.com/news-and-analysis/press-releases/etoro-reports-second-quarter-2026-results/","publication_date":null,"access_date":"2026-10-12","locator":"E01","quote":null,"evidence_type":"research_note","verification_status":"reported_in_research","refresh_trigger":"Source update or new model release"},{"id":"SRC.MP.E02","title":"Funded accounts, earlier quarter-ends","publisher":"Research compilation","url":"https://www.etoro.com/news-and-analysis/press-releases/etoro-reports-fourth-quarter-and-full-year-2025-results/","publication_date":null,"access_date":"2026-10-12","locator":"E02","quote":null,"evidence_type":"research_note","verification_status":"reported_in_research","refresh_trigger":"Source update or new model release"},{"id":"SRC.MP.E03","title":"Registered users","publisher":"Research compilation","url":null,"publication_date":null,"access_date":"2026-10-12","locator":"E03","quote":null,"evidence_type":"research_note","verification_status":"reported_in_research","refresh_trigger":"Source update or new model release"},{"id":"SRC.MP.E04","title":"Total revenue and income, FY2025","publisher":"Research compilation","url":null,"publication_date":null,"access_date":"2026-10-12","locator":"E04","quote":null,"evidence_type":"research_note","verification_status":"reported_in_research","refresh_trigger":"Source update or new model release"},{"id":"SRC.MP.E05","title":"Net contribution, FY2025","publisher":"Research compilation","url":null,"publication_date":null,"access_date":"2026-10-12","locator":"E05","quote":null,"evidence_type":"research_note","verification_status":"reported_in_research","refresh_trigger":"Source update or new model release"},{"id":"SRC.MP.E06","title":"Net contribution, 2026","publisher":"Research compilation","url":null,"publication_date":null,"access_date":"2026-10-12","locator":"E06","quote":null,"evidence_type":"research_note","verification_status":"reported_in_research","refresh_trigger":"Source update or new model release"},{"id":"SRC.MP.E07","title":"Net contribution per funded account (ARPU proxy)","publisher":"Research compilation","url":null,"publication_date":null,"access_date":"2026-10-12","locator":"E07","quote":null,"evidence_type":"research_note","verification_status":"reported_in_research","refresh_trigger":"Source update or new model release"},{"id":"SRC.MP.E08","title":"Broker revenue lines, FY2025","publisher":"Research compilation","url":null,"publication_date":null,"access_date":"2026-10-12","locator":"E08","quote":null,"evidence_type":"research_note","verification_status":"reported_in_research","refresh_trigger":"Source update or new model release"},{"id":"SRC.MP.E09","title":"\"Currency conversion and other income\" (eToro Money, subscriptions and other)","publisher":"Research compilation","url":null,"publication_date":null,"access_date":"2026-10-12","locator":"E09","quote":null,"evidence_type":"research_note","verification_status":"reported_in_research","refresh_trigger":"Source update or new model release"},{"id":"SRC.MP.E10","title":"Adjusted EBITDA, FY2025","publisher":"Research compilation","url":null,"publication_date":null,"access_date":"2026-10-12","locator":"E10","quote":null,"evidence_type":"research_note","verification_status":"reported_in_research","refresh_trigger":"Source update or new model release"},{"id":"SRC.MP.E11","title":"Assets under administration (AUA)","publisher":"Research compilation","url":null,"publication_date":null,"access_date":"2026-10-12","locator":"E11","quote":null,"evidence_type":"research_note","verification_status":"reported_in_research","refresh_trigger":"Source update or new model release"},{"id":"SRC.MP.E12","title":"Pro Investor programme members (formerly \"Popular Investors\")","publisher":"Research compilation","url":null,"publication_date":null,"access_date":"2026-10-12","locator":"E12","quote":null,"evidence_type":"research_note","verification_status":"reported_in_research","refresh_trigger":"Source update or new model release"},{"id":"SRC.MP.E13","title":"Pro Investor payout terms","publisher":"Research compilation","url":"https://www.etoro.com/copytrader/popular-investor/","publication_date":null,"access_date":"2026-10-12","locator":"E13","quote":null,"evidence_type":"research_note","verification_status":"reported_in_research","refresh_trigger":"Source update or new model release"},{"id":"SRC.MP.E14","title":"Pro Investor tier thresholds","publisher":"Research compilation","url":null,"publication_date":null,"access_date":"2026-10-12","locator":"E14","quote":null,"evidence_type":"research_note","verification_status":"reported_in_research","refresh_trigger":"Source update or new model release"},{"id":"SRC.MP.E15","title":"eToro Club subscription (premium tier)","publisher":"Research compilation","url":"https://www.etoro.com/news-and-analysis/press-releases/etoro-launches-club-subscription-unlocking-platinum-tier-benefits","publication_date":null,"access_date":"2026-10-12","locator":"E15","quote":null,"evidence_type":"research_note","verification_status":"reported_in_research","refresh_trigger":"Source update or new model release"},{"id":"SRC.MP.E16","title":"Copy-trading usage (share of users copying, number of copiers, AUC)","publisher":"Research compilation","url":null,"publication_date":null,"access_date":"2026-10-12","locator":"E16","quote":null,"evidence_type":"research_note","verification_status":"reported_in_research","refresh_trigger":"Source update or new model release"},{"id":"SRC.MP.E17","title":"Trading-activity proxies","publisher":"Research compilation","url":null,"publication_date":null,"access_date":"2026-10-12","locator":"E17","quote":null,"evidence_type":"research_note","verification_status":"reported_in_research","refresh_trigger":"Source update or new model release"},{"id":"SRC.MP.C01","title":"Binance Futures copy trading: lead-trader profit share","publisher":"Research compilation","url":"https://www.binance.com/en/support/faq/lead-trader-benefits-in-binance-futures-copy-trading-ea9bacf82b9e4ddfae50ebc98565241b","publication_date":null,"access_date":"2026-10-12","locator":"C01","quote":null,"evidence_type":"research_note","verification_status":"reported_in_research","refresh_trigger":"Source update or new model release"},{"id":"SRC.MP.C02","title":"Binance Spot copy trading: lead-trader profit share","publisher":"Research compilation","url":"https://www.binance.com/en/support/faq/binance-spot-copy-trading-guide-lead-traders-b9e5e3b2141149be826685d2c88536fa","publication_date":null,"access_date":"2026-10-12","locator":"C02","quote":null,"evidence_type":"research_note","verification_status":"reported_in_research","refresh_trigger":"Source update or new model release"},{"id":"SRC.MP.C03","title":"OKX copy trading: lead-trader profit share","publisher":"Research compilation","url":"https://www.okx.com/en-eu/help/lead-traders-trader-profit-sharing-rules","publication_date":null,"access_date":"2026-10-12","locator":"C03","quote":null,"evidence_type":"research_note","verification_status":"reported_in_research","refresh_trigger":"Source update or new model release"},{"id":"SRC.MP.C04","title":"Bybit copy trading: master-trader profit share","publisher":"Research compilation","url":"https://www.bybit.com/en/help-center/article/Copy-Trading-Profit-Sharing-Explained","publication_date":null,"access_date":"2026-10-12","locator":"C04","quote":null,"evidence_type":"research_note","verification_status":"reported_in_research","refresh_trigger":"Source update or new model release"},{"id":"SRC.MP.C05","title":"Bitget futures copy trading: elite-trader profit share","publisher":"Research compilation","url":"https://www.bitget.com/support/articles/12560603847588","publication_date":null,"access_date":"2026-10-12","locator":"C05","quote":null,"evidence_type":"research_note","verification_status":"reported_in_research","refresh_trigger":"Source update or new model release"},{"id":"SRC.MP.C06","title":"Zignaly profit sharing: success fee","publisher":"Research compilation","url":"https://help.zignaly.com/en/articles/6894830-what-is-profit-sharing","publication_date":null,"access_date":"2026-10-12","locator":"C06","quote":null,"evidence_type":"research_note","verification_status":"reported_in_research","refresh_trigger":"Source update or new model release"},{"id":"SRC.MP.C07","title":"Zignaly platform cut","publisher":"Research compilation","url":null,"publication_date":null,"access_date":"2026-10-12","locator":"C07","quote":null,"evidence_type":"research_note","verification_status":"reported_in_research","refresh_trigger":"Source update or new model release"},{"id":"SRC.MP.C08","title":"3Commas subscriptions","publisher":"Research compilation","url":"https://3commas.io/pricing","publication_date":null,"access_date":"2026-10-12","locator":"C08","quote":null,"evidence_type":"research_note","verification_status":"reported_in_research","refresh_trigger":"Source update or new model release"},{"id":"SRC.MP.C09","title":"3Commas marketplace commission for strategy and signal sellers","publisher":"Research compilation","url":null,"publication_date":null,"access_date":"2026-10-12","locator":"C09","quote":null,"evidence_type":"research_note","verification_status":"reported_in_research","refresh_trigger":"Source update or new model release"},{"id":"SRC.MP.C10","title":"Cryptohopper subscriptions","publisher":"Research compilation","url":"https://www.cryptohopper.com/pricing","publication_date":null,"access_date":"2026-10-12","locator":"C10","quote":null,"evidence_type":"research_note","verification_status":"reported_in_research","refresh_trigger":"Source update or new model release"},{"id":"SRC.MP.C11","title":"Cryptohopper marketplace commission","publisher":"Research compilation","url":"https://www.cryptohopper.com/blog/7232-how-to-sell-on-cryptohopper","publication_date":null,"access_date":"2026-10-12","locator":"C11","quote":null,"evidence_type":"research_note","verification_status":"reported_in_research","refresh_trigger":"Source update or new model release"},{"id":"SRC.MP.C12","title":"TradingView plans in EUR","publisher":"Research compilation","url":"https://de.tradingview.com/pricing/","publication_date":null,"access_date":"2026-10-12","locator":"C12","quote":null,"evidence_type":"research_note","verification_status":"reported_in_research","refresh_trigger":"Source update or new model release"},{"id":"SRC.MP.C13","title":"Darwinex performance fee","publisher":"Research compilation","url":"https://help.darwinex.com/performance-fees-darwin-provider","publication_date":null,"access_date":"2026-10-12","locator":"C13","quote":null,"evidence_type":"research_note","verification_status":"reported_in_research","refresh_trigger":"Source update or new model release"},{"id":"SRC.MP.C14","title":"ZuluTrade leader pay","publisher":"Research compilation","url":"https://www.zulutrade.com/leader-guide","publication_date":null,"access_date":"2026-10-12","locator":"C14","quote":null,"evidence_type":"research_note","verification_status":"reported_in_research","refresh_trigger":"Source update or new model release"},{"id":"SRC.MP.X01","title":"Binance Link (broker) programme rebate","publisher":"Research compilation","url":"https://www.binance.com/en/link","publication_date":null,"access_date":"2026-10-12","locator":"X01","quote":null,"evidence_type":"research_note","verification_status":"reported_in_research","refresh_trigger":"Source update or new model release"},{"id":"SRC.MP.X02","title":"Binance affiliate commission","publisher":"Research compilation","url":"https://www.binance.com/en/support/faq/binance-affiliate-program-starter-guide-cbf9ab9a11fa44a293d44607803c6c2d","publication_date":null,"access_date":"2026-10-12","locator":"X02","quote":null,"evidence_type":"research_note","verification_status":"reported_in_research","refresh_trigger":"Source update or new model release"},{"id":"SRC.MP.X03","title":"MiCA status of Binance and Bitget","publisher":"Research compilation","url":"https://www.esma.europa.eu/sites/default/files/2024-12/CASPS.csv","publication_date":null,"access_date":"2026-10-12","locator":"X03","quote":null,"evidence_type":"research_note","verification_status":"reported_in_research","refresh_trigger":"Source update or new model release"},{"id":"SRC.MP.X04","title":"OKX Broker programme","publisher":"Research compilation","url":"https://www.okx.com/en-eu/broker/home","publication_date":null,"access_date":"2026-10-12","locator":"X04","quote":null,"evidence_type":"research_note","verification_status":"reported_in_research","refresh_trigger":"Source update or new model release"},{"id":"SRC.MP.X05","title":"OKX affiliate","publisher":"Research compilation","url":"https://www.okx.com/en-us/help/okx-affiliate-and-referral-program-faq","publication_date":null,"access_date":"2026-10-12","locator":"X05","quote":null,"evidence_type":"research_note","verification_status":"reported_in_research","refresh_trigger":"Source update or new model release"},{"id":"SRC.MP.X06","title":"Bybit API Broker rebate","publisher":"Research compilation","url":"https://www.bybit.com/en/help-center/article/FAQ-API-Brokers-Program","publication_date":null,"access_date":"2026-10-12","locator":"X06","quote":null,"evidence_type":"research_note","verification_status":"reported_in_research","refresh_trigger":"Source update or new model release"},{"id":"SRC.MP.X07","title":"Bybit affiliate","publisher":"Research compilation","url":"https://www.bybit.com/en/help-center/article/Bybit-Affiliate-Program-General-FAQ","publication_date":null,"access_date":"2026-10-12","locator":"X07","quote":null,"evidence_type":"research_note","verification_status":"reported_in_research","refresh_trigger":"Source update or new model release"},{"id":"SRC.MP.X08","title":"MiCA-authorised venues usable for EU users","publisher":"Research compilation","url":null,"publication_date":null,"access_date":"2026-10-12","locator":"X08","quote":null,"evidence_type":"research_note","verification_status":"reported_in_research","refresh_trigger":"Source update or new model release"},{"id":"SRC.MP.X09","title":"Binance spot fees, Regular user","publisher":"Research compilation","url":"https://www.binance.com/en/fee/schedule","publication_date":null,"access_date":"2026-10-12","locator":"X09","quote":null,"evidence_type":"research_note","verification_status":"reported_in_research","refresh_trigger":"Source update or new model release"},{"id":"SRC.MP.X10","title":"Binance USDⓈ-M futures fees, Regular user","publisher":"Research compilation","url":"https://www.binance.com/en/fee/futureFee","publication_date":null,"access_date":"2026-10-12","locator":"X10","quote":null,"evidence_type":"research_note","verification_status":"reported_in_research","refresh_trigger":"Source update or new model release"},{"id":"SRC.MP.X11","title":"OKX Europe spot fees, Regular user","publisher":"Research compilation","url":"https://www.okx.com/en-eu/fees","publication_date":null,"access_date":"2026-10-12","locator":"X11","quote":null,"evidence_type":"research_note","verification_status":"reported_in_research","refresh_trigger":"Source update or new model release"},{"id":"SRC.MP.X12","title":"OKX Europe futures fees, Regular user","publisher":"Research compilation","url":null,"publication_date":null,"access_date":"2026-10-12","locator":"X12","quote":null,"evidence_type":"research_note","verification_status":"reported_in_research","refresh_trigger":"Source update or new model release"},{"id":"SRC.MP.X13","title":"Bybit spot fees, Regular user (crypto pairs)","publisher":"Research compilation","url":"https://www.bybit.com/en/fee/spot","publication_date":null,"access_date":"2026-10-12","locator":"X13","quote":null,"evidence_type":"research_note","verification_status":"reported_in_research","refresh_trigger":"Source update or new model release"},{"id":"SRC.MP.X14","title":"Bybit perpetual and futures fees, Regular user (standard crypto)","publisher":"Research compilation","url":"https://www.bybit.com/en/fee/futures","publication_date":null,"access_date":"2026-10-12","locator":"X14","quote":null,"evidence_type":"research_note","verification_status":"reported_in_research","refresh_trigger":"Source update or new model release"},{"id":"SRC.MP.X15","title":"Bitget fees, Regular user","publisher":"Research compilation","url":"https://www.bitget.com/fee","publication_date":null,"access_date":"2026-10-12","locator":"X15","quote":null,"evidence_type":"research_note","verification_status":"reported_in_research","refresh_trigger":"Source update or new model release"},{"id":"SRC.MP.X16","title":"Blended effective fee for rebate maths","publisher":"Research compilation","url":null,"publication_date":null,"access_date":"2026-10-12","locator":"X16","quote":null,"evidence_type":"research_note","verification_status":"reported_in_research","refresh_trigger":"Source update or new model release"},{"id":"SRC.MP.L1","title":"Exchange affiliate rate table, level L1 (spot volume 0.1M USDT/month, futures volume 0.5M USDT/month)","publisher":"Research compilation","url":null,"publication_date":null,"access_date":"2026-10-12","locator":"L1","quote":null,"evidence_type":"research_note","verification_status":"reported_in_research","refresh_trigger":"Source update or new model release"},{"id":"SRC.MP.L2","title":"Exchange affiliate rate table, level L2 (spot volume 0.5M USDT/month, futures volume 1M USDT/month)","publisher":"Research compilation","url":null,"publication_date":null,"access_date":"2026-10-12","locator":"L2","quote":null,"evidence_type":"research_note","verification_status":"reported_in_research","refresh_trigger":"Source update or new model release"},{"id":"SRC.MP.L3","title":"Exchange affiliate rate table, level L3 (spot volume 1M USDT/month, futures volume 10M USDT/month)","publisher":"Research compilation","url":null,"publication_date":null,"access_date":"2026-10-12","locator":"L3","quote":null,"evidence_type":"research_note","verification_status":"reported_in_research","refresh_trigger":"Source update or new model release"},{"id":"SRC.MP.L4","title":"Exchange affiliate rate table, level L4 (spot volume 5M USDT/month, futures volume 50M USDT/month)","publisher":"Research compilation","url":null,"publication_date":null,"access_date":"2026-10-12","locator":"L4","quote":null,"evidence_type":"research_note","verification_status":"reported_in_research","refresh_trigger":"Source update or new model release"},{"id":"SRC.MP.L5","title":"Exchange affiliate rate table, level L5 (spot volume 10M USDT/month, futures volume 200M USDT/month)","publisher":"Research compilation","url":null,"publication_date":null,"access_date":"2026-10-12","locator":"L5","quote":null,"evidence_type":"research_note","verification_status":"reported_in_research","refresh_trigger":"Source update or new model release"},{"id":"SRC.MP.M01","title":"Crypto-asset ownership, Germany","publisher":"Research compilation","url":"https://www.ecb.europa.eu/stats/ecb_surveys/space/html/ecb.space2024~19d46f0f17.en.html","publication_date":null,"access_date":"2026-10-12","locator":"M01","quote":null,"evidence_type":"research_note","verification_status":"reported_in_research","refresh_trigger":"Source update or new model release"},{"id":"SRC.MP.M02","title":"Crypto owners in Germany (count)","publisher":"Research compilation","url":null,"publication_date":null,"access_date":"2026-10-12","locator":"M02","quote":null,"evidence_type":"research_note","verification_status":"reported_in_research","refresh_trigger":"Source update or new model release"},{"id":"SRC.MP.M03","title":"Crypto-asset ownership, euro area","publisher":"Research compilation","url":null,"publication_date":null,"access_date":"2026-10-12","locator":"M03","quote":null,"evidence_type":"research_note","verification_status":"reported_in_research","refresh_trigger":"Source update or new model release"},{"id":"SRC.MP.M04","title":"Crypto owners, euro area and EU-27 (count)","publisher":"Research compilation","url":null,"publication_date":null,"access_date":"2026-10-12","locator":"M04","quote":null,"evidence_type":"research_note","verification_status":"reported_in_research","refresh_trigger":"Source update or new model release"},{"id":"SRC.MP.M05","title":"Equity investors in Germany (shares, equity funds, ETFs)","publisher":"Research compilation","url":"https://www.dai.de/detail/aktionaerszahlen-2025-aktienanlage-im-aufwind","publication_date":null,"access_date":"2026-10-12","locator":"M05","quote":null,"evidence_type":"research_note","verification_status":"reported_in_research","refresh_trigger":"Source update or new model release"},{"id":"SRC.MP.M06","title":"DAI breakdown, 2025","publisher":"Research compilation","url":null,"publication_date":null,"access_date":"2026-10-12","locator":"M06","quote":null,"evidence_type":"research_note","verification_status":"reported_in_research","refresh_trigger":"Source update or new model release"},{"id":"SRC.MP.M07","title":"Share of retail investors using copy or social trading","publisher":"Research compilation","url":null,"publication_date":null,"access_date":"2026-10-12","locator":"M07","quote":null,"evidence_type":"research_note","verification_status":"reported_in_research","refresh_trigger":"Source update or new model release"},{"id":"SRC.MP.M08","title":"MiCA-authorised CASPs","publisher":"Research compilation","url":"https://www.esma.europa.eu/sites/default/files/2024-12/CASPS.csv","publication_date":null,"access_date":"2026-10-12","locator":"M08","quote":null,"evidence_type":"research_note","verification_status":"reported_in_research","refresh_trigger":"Source update or new model release"},{"id":"SRC.MP.S01","title":"TradingView","publisher":"Research compilation","url":null,"publication_date":null,"access_date":"2026-10-12","locator":"S01","quote":null,"evidence_type":"research_note","verification_status":"reported_in_research","refresh_trigger":"Source update or new model release"},{"id":"SRC.MP.S02","title":"eToro Club","publisher":"Research compilation","url":null,"publication_date":null,"access_date":"2026-10-12","locator":"S02","quote":null,"evidence_type":"research_note","verification_status":"reported_in_research","refresh_trigger":"Source update or new model release"},{"id":"SRC.MP.S03","title":"Scalable Capital PRIME+ (German neobroker)","publisher":"Research compilation","url":"https://de.scalable.capital/en/trading","publication_date":null,"access_date":"2026-10-12","locator":"S03","quote":null,"evidence_type":"research_note","verification_status":"reported_in_research","refresh_trigger":"Source update or new model release"},{"id":"SRC.MP.S04","title":"Parqet (German portfolio tracker)","publisher":"Research compilation","url":"https://parqet.com/en/pricing","publication_date":null,"access_date":"2026-10-12","locator":"S04","quote":null,"evidence_type":"research_note","verification_status":"reported_in_research","refresh_trigger":"Source update or new model release"},{"id":"SRC.MP.S05","title":"getquin (portfolio tracker and community)","publisher":"Research compilation","url":"https://www.getquin.com/pricing/","publication_date":null,"access_date":"2026-10-12","locator":"S05","quote":null,"evidence_type":"research_note","verification_status":"reported_in_research","refresh_trigger":"Source update or new model release"},{"id":"SRC.MP.S06","title":"Finanzfluss Copilot PLUS","publisher":"Research compilation","url":"https://www.finanzfluss.de/copilot/preise/","publication_date":null,"access_date":"2026-10-12","locator":"S06","quote":null,"evidence_type":"research_note","verification_status":"reported_in_research","refresh_trigger":"Source update or new model release"},{"id":"SRC.MP.S07","title":"Blockpit (crypto portfolio and tax, AT)","publisher":"Research compilation","url":"https://www.blockpit.io/de-de/preise","publication_date":null,"access_date":"2026-10-12","locator":"S07","quote":null,"evidence_type":"research_note","verification_status":"reported_in_research","refresh_trigger":"Source update or new model release"},{"id":"SRC.MP.S08","title":"Altrady (multi-exchange crypto trading terminal, billed in EUR)","publisher":"Research compilation","url":"https://www.altrady.com/pricing","publication_date":null,"access_date":"2026-10-12","locator":"S08","quote":null,"evidence_type":"research_note","verification_status":"reported_in_research","refresh_trigger":"Source update or new model release"},{"id":"SRC.MP.S09","title":"3Commas","publisher":"Research compilation","url":null,"publication_date":null,"access_date":"2026-10-12","locator":"S09","quote":null,"evidence_type":"research_note","verification_status":"reported_in_research","refresh_trigger":"Source update or new model release"},{"id":"SRC.MP.S10","title":"Cryptohopper","publisher":"Research compilation","url":null,"publication_date":null,"access_date":"2026-10-12","locator":"S10","quote":null,"evidence_type":"research_note","verification_status":"reported_in_research","refresh_trigger":"Source update or new model release"},{"id":"SRC.MP.S11","title":"Koyfin (equity analytics)","publisher":"Research compilation","url":"https://www.koyfin.com/pricing/","publication_date":null,"access_date":"2026-10-12","locator":"S11","quote":null,"evidence_type":"research_note","verification_status":"reported_in_research","refresh_trigger":"Source update or new model release"},{"id":"SRC.MP.S12","title":"CoinGlass data API (a cost input, not a retail benchmark)","publisher":"Research compilation","url":"https://www.coinglass.com/pricing","publication_date":null,"access_date":"2026-10-12","locator":"S12","quote":null,"evidence_type":"research_note","verification_status":"reported_in_research","refresh_trigger":"Source update or new model release"},{"id":"SRC.MP.S13","title":"Annual-billing discount norms","publisher":"Research compilation","url":null,"publication_date":null,"access_date":"2026-10-12","locator":"S13","quote":null,"evidence_type":"research_note","verification_status":"reported_in_research","refresh_trigger":"Source update or new model release"},{"id":"SRC.GC.SECTION_1","title":"Germany costs and tax, section 1","publisher":"Research compilation","url":null,"publication_date":null,"access_date":"2026-10-12","locator":"§1","quote":null,"evidence_type":"research_note","verification_status":"reported_in_research","refresh_trigger":"Source update or new model release"},{"id":"SRC.GC.SECTION_2a","title":"Germany costs and tax, section 2a","publisher":"Research compilation","url":null,"publication_date":null,"access_date":"2026-10-12","locator":"§2a","quote":null,"evidence_type":"research_note","verification_status":"reported_in_research","refresh_trigger":"Source update or new model release"},{"id":"SRC.GC.SECTION_2b","title":"Germany costs and tax, section 2b","publisher":"Research compilation","url":null,"publication_date":null,"access_date":"2026-10-12","locator":"§2b","quote":null,"evidence_type":"research_note","verification_status":"reported_in_research","refresh_trigger":"Source update or new model release"},{"id":"SRC.GC.SECTION_3","title":"Germany costs and tax, section 3","publisher":"Research compilation","url":null,"publication_date":null,"access_date":"2026-10-12","locator":"§3","quote":null,"evidence_type":"research_note","verification_status":"reported_in_research","refresh_trigger":"Source update or new model release"},{"id":"SRC.GC.SECTION_4","title":"Germany costs and tax, section 4","publisher":"Research compilation","url":null,"publication_date":null,"access_date":"2026-10-12","locator":"§4","quote":null,"evidence_type":"research_note","verification_status":"reported_in_research","refresh_trigger":"Source update or new model release"},{"id":"SRC.GC.SECTION_5","title":"Germany costs and tax, section 5","publisher":"Research compilation","url":null,"publication_date":null,"access_date":"2026-10-12","locator":"§5","quote":null,"evidence_type":"research_note","verification_status":"reported_in_research","refresh_trigger":"Source update or new model release"},{"id":"SRC.GC.SECTION_6","title":"Germany costs and tax, section 6","publisher":"Research compilation","url":null,"publication_date":null,"access_date":"2026-10-12","locator":"§6","quote":null,"evidence_type":"research_note","verification_status":"reported_in_research","refresh_trigger":"Source update or new model release"},{"id":"SRC.GC.SECTION_7","title":"Germany costs and tax, section 7","publisher":"Research compilation","url":null,"publication_date":null,"access_date":"2026-10-12","locator":"§7","quote":null,"evidence_type":"research_note","verification_status":"reported_in_research","refresh_trigger":"Source update or new model release"},{"id":"SRC.S2.GEN.START","title":"Assumptions register: Model start","publisher":"Fictional model specification","url":null,"publication_date":null,"access_date":"2026-10-12","locator":"GEN.START","quote":null,"evidence_type":"engineering","verification_status":"engineering_choice","refresh_trigger":"Source update or new model release"},{"id":"SRC.S2.GEN.HORIZON","title":"Assumptions register: Horizon","publisher":"Fictional model specification","url":null,"publication_date":null,"access_date":"2026-10-12","locator":"GEN.HORIZON","quote":null,"evidence_type":"engineering","verification_status":"engineering_choice","refresh_trigger":"Source update or new model release"},{"id":"SRC.S2.GEN.CCY","title":"Assumptions register: Currency","publisher":"Fictional model specification","url":null,"publication_date":null,"access_date":"2026-10-12","locator":"GEN.CCY","quote":null,"evidence_type":"engineering","verification_status":"engineering_choice","refresh_trigger":"Source update or new model release"},{"id":"SRC.S2.GEN.FX_USD","title":"Assumptions register: USD per EUR","publisher":"Fictional model specification","url":null,"publication_date":null,"access_date":"2026-10-12","locator":"GEN.FX_USD","quote":null,"evidence_type":"engineering","verification_status":"engineering_choice","refresh_trigger":"Source update or new model release"},{"id":"SRC.S2.GEN.CITY","title":"Assumptions register: Seat / Hebesatz municipality","publisher":"Fictional model specification","url":null,"publication_date":null,"access_date":"2026-10-12","locator":"GEN.CITY","quote":null,"evidence_type":"engineering","verification_status":"engineering_choice","refresh_trigger":"Source update or new model release"},{"id":"SRC.S2.T.LAUNCH","title":"Assumptions register: T.LAUNCH","publisher":"Fictional model specification","url":null,"publication_date":null,"access_date":"2026-10-12","locator":"T.LAUNCH","quote":null,"evidence_type":"engineering","verification_status":"engineering_choice","refresh_trigger":"Source update or new model release"},{"id":"SRC.S2.T.LIC_FILE","title":"Assumptions register: T.LIC_FILE","publisher":"Fictional model specification","url":null,"publication_date":null,"access_date":"2026-10-12","locator":"T.LIC_FILE","quote":null,"evidence_type":"engineering","verification_status":"engineering_choice","refresh_trigger":"Source update or new model release"},{"id":"SRC.S2.T.LICENCE","title":"Assumptions register: T.LICENCE","publisher":"Fictional model specification","url":null,"publication_date":null,"access_date":"2026-10-12","locator":"T.LICENCE","quote":null,"evidence_type":"engineering","verification_status":"engineering_choice","refresh_trigger":"Source update or new model release"},{"id":"SRC.S2.T.TEAMS","title":"Assumptions register: T.TEAMS","publisher":"Fictional model specification","url":null,"publication_date":null,"access_date":"2026-10-12","locator":"T.TEAMS","quote":null,"evidence_type":"engineering","verification_status":"engineering_choice","refresh_trigger":"Source update or new model release"},{"id":"SRC.S2.T.AT_ACCESS","title":"Assumptions register: T.AT_ACCESS","publisher":"Fictional model specification","url":null,"publication_date":null,"access_date":"2026-10-12","locator":"T.AT_ACCESS","quote":null,"evidence_type":"engineering","verification_status":"engineering_choice","refresh_trigger":"Source update or new model release"},{"id":"SRC.S2.MKT.AT_SHARE","title":"Assumptions register: Share of users in Austria","publisher":"Fictional model specification","url":null,"publication_date":null,"access_date":"2026-10-12","locator":"MKT.AT_SHARE","quote":null,"evidence_type":"engineering","verification_status":"engineering_choice","refresh_trigger":"Source update or new model release"},{"id":"SRC.S2.MKT.INDEX","title":"Assumptions register: Market activity index (volume and engagement regime)","publisher":"Fictional model specification","url":null,"publication_date":null,"access_date":"2026-10-12","locator":"MKT.INDEX","quote":null,"evidence_type":"engineering","verification_status":"engineering_choice","refresh_trigger":"Source update or new model release"},{"id":"SRC.S2.ACQ.SPEND","title":"Assumptions register: Performance marketing (Inputs_TS)","publisher":"Fictional model specification","url":null,"publication_date":null,"access_date":"2026-10-12","locator":"ACQ.SPEND","quote":null,"evidence_type":"engineering","verification_status":"engineering_choice","refresh_trigger":"Source update or new model release"},{"id":"SRC.S2.ACQ.CPI","title":"Assumptions register: Blended cost per install, Germany","publisher":"Fictional model specification","url":null,"publication_date":null,"access_date":"2026-10-12","locator":"ACQ.CPI","quote":null,"evidence_type":"engineering","verification_status":"engineering_choice","refresh_trigger":"Source update or new model release"},{"id":"SRC.S2.ACQ.FRAUD","title":"Assumptions register: Install-fraud allowance on paid CPI","publisher":"Fictional model specification","url":null,"publication_date":null,"access_date":"2026-10-12","locator":"ACQ.FRAUD","quote":null,"evidence_type":"engineering","verification_status":"engineering_choice","refresh_trigger":"Source update or new model release"},{"id":"SRC.S2.ACQ.I2R","title":"Assumptions register: Install → registration","publisher":"Fictional model specification","url":null,"publication_date":null,"access_date":"2026-10-12","locator":"ACQ.I2R","quote":null,"evidence_type":"engineering","verification_status":"engineering_choice","refresh_trigger":"Source update or new model release"},{"id":"SRC.S2.ACQ.R2V","title":"Assumptions register: Registration → verified (e-mail/phone before the licence; KYC for copy features after)","publisher":"Fictional model specification","url":null,"publication_date":null,"access_date":"2026-10-12","locator":"ACQ.R2V","quote":null,"evidence_type":"engineering","verification_status":"engineering_choice","refresh_trigger":"Source update or new model release"},{"id":"SRC.S2.ACQ.V2C","title":"Assumptions register: Verified → exchange connected (= \"connected user\")","publisher":"Fictional model specification","url":null,"publication_date":null,"access_date":"2026-10-12","locator":"ACQ.V2C","quote":null,"evidence_type":"engineering","verification_status":"engineering_choice","refresh_trigger":"Source update or new model release"},{"id":"SRC.S2.ACQ.REF_RATE","title":"Assumptions register: Referred connected users per MAU(t−1) per month","publisher":"Fictional model specification","url":null,"publication_date":null,"access_date":"2026-10-12","locator":"ACQ.REF_RATE","quote":null,"evidence_type":"engineering","verification_status":"engineering_choice","refresh_trigger":"Source update or new model release"},{"id":"SRC.S2.ACQ.REF_BONUS","title":"Assumptions register: Referral bonus","publisher":"Fictional model specification","url":null,"publication_date":null,"access_date":"2026-10-12","locator":"ACQ.REF_BONUS","quote":null,"evidence_type":"engineering","verification_status":"engineering_choice","refresh_trigger":"Source update or new model release"},{"id":"SRC.S2.ACQ.LT_SHARE","title":"Assumptions register: Active lead traders as a share of MAU(t−1), from licence","publisher":"Fictional model specification","url":null,"publication_date":null,"access_date":"2026-10-12","locator":"ACQ.LT_SHARE","quote":null,"evidence_type":"engineering","verification_status":"engineering_choice","refresh_trigger":"Source update or new model release"},{"id":"SRC.S2.ACQ.LT_FOLLOW","title":"Assumptions register: New connected followers brought per active lead trader per month","publisher":"Fictional model specification","url":null,"publication_date":null,"access_date":"2026-10-12","locator":"ACQ.LT_FOLLOW","quote":null,"evidence_type":"engineering","verification_status":"engineering_choice","refresh_trigger":"Source update or new model release"},{"id":"SRC.S2.ACQ.LT_CAP","title":"Assumptions register: Followers-per-trader warning level","publisher":"Fictional model specification","url":null,"publication_date":null,"access_date":"2026-10-12","locator":"ACQ.LT_CAP","quote":null,"evidence_type":"engineering","verification_status":"engineering_choice","refresh_trigger":"Source update or new model release"},{"id":"SRC.S2.ACQ.ORG","title":"Assumptions register: Organic connected users per paid connected user","publisher":"Fictional model specification","url":null,"publication_date":null,"access_date":"2026-10-12","locator":"ACQ.ORG","quote":null,"evidence_type":"engineering","verification_status":"engineering_choice","refresh_trigger":"Source update or new model release"},{"id":"SRC.S2.RET.CURVE","title":"Assumptions register: Share of a connected cohort active in month age a","publisher":"Fictional model specification","url":null,"publication_date":null,"access_date":"2026-10-12","locator":"RET.CURVE","quote":null,"evidence_type":"engineering","verification_status":"engineering_choice","refresh_trigger":"Source update or new model release"},{"id":"SRC.S2.RET.SCEN","title":"Assumptions register: Scenario rule","publisher":"Fictional model specification","url":null,"publication_date":null,"access_date":"2026-10-12","locator":"RET.SCEN","quote":null,"evidence_type":"engineering","verification_status":"engineering_choice","refresh_trigger":"Source update or new model release"},{"id":"SRC.S2.RET.REACT","title":"Assumptions register: Reactivation","publisher":"Fictional model specification","url":null,"publication_date":null,"access_date":"2026-10-12","locator":"RET.REACT","quote":null,"evidence_type":"engineering","verification_status":"engineering_choice","refresh_trigger":"Source update or new model release"},{"id":"SRC.S2.R1.P_PLUS_M","title":"Assumptions register: Plus monthly price (incl. VAT)","publisher":"Fictional model specification","url":null,"publication_date":null,"access_date":"2026-10-12","locator":"R1.P_PLUS_M","quote":null,"evidence_type":"engineering","verification_status":"engineering_choice","refresh_trigger":"Source update or new model release"},{"id":"SRC.S2.R1.P_PLUS_Y","title":"Assumptions register: Plus annual price","publisher":"Fictional model specification","url":null,"publication_date":null,"access_date":"2026-10-12","locator":"R1.P_PLUS_Y","quote":null,"evidence_type":"engineering","verification_status":"engineering_choice","refresh_trigger":"Source update or new model release"},{"id":"SRC.S2.R1.P_PRO_M","title":"Assumptions register: Pro monthly price (incl. terminal)","publisher":"Fictional model specification","url":null,"publication_date":null,"access_date":"2026-10-12","locator":"R1.P_PRO_M","quote":null,"evidence_type":"engineering","verification_status":"engineering_choice","refresh_trigger":"Source update or new model release"},{"id":"SRC.S2.R1.P_PRO_Y","title":"Assumptions register: Pro annual price","publisher":"Fictional model specification","url":null,"publication_date":null,"access_date":"2026-10-12","locator":"R1.P_PRO_Y","quote":null,"evidence_type":"engineering","verification_status":"engineering_choice","refresh_trigger":"Source update or new model release"},{"id":"SRC.S2.R1.MIX_PRO","title":"Assumptions register: Pro share of new payers","publisher":"Fictional model specification","url":null,"publication_date":null,"access_date":"2026-10-12","locator":"R1.MIX_PRO","quote":null,"evidence_type":"engineering","verification_status":"engineering_choice","refresh_trigger":"Source update or new model release"},{"id":"SRC.S2.R1.CONV_FIRST","title":"Assumptions register: New connected users who pay in their first month","publisher":"Fictional model specification","url":null,"publication_date":null,"access_date":"2026-10-12","locator":"R1.CONV_FIRST","quote":null,"evidence_type":"engineering","verification_status":"engineering_choice","refresh_trigger":"Source update or new model release"},{"id":"SRC.S2.R1.CONV_LATE","title":"Assumptions register: Monthly conversion of active non-payers","publisher":"Fictional model specification","url":null,"publication_date":null,"access_date":"2026-10-12","locator":"R1.CONV_LATE","quote":null,"evidence_type":"engineering","verification_status":"engineering_choice","refresh_trigger":"Source update or new model release"},{"id":"SRC.S2.R1.ANNUAL_SHARE","title":"Assumptions register: Annual plans among new paid","publisher":"Fictional model specification","url":null,"publication_date":null,"access_date":"2026-10-12","locator":"R1.ANNUAL_SHARE","quote":null,"evidence_type":"engineering","verification_status":"engineering_choice","refresh_trigger":"Source update or new model release"},{"id":"SRC.S2.R1.CHURN_M","title":"Assumptions register: Monthly-plan churn","publisher":"Fictional model specification","url":null,"publication_date":null,"access_date":"2026-10-12","locator":"R1.CHURN_M","quote":null,"evidence_type":"engineering","verification_status":"engineering_choice","refresh_trigger":"Source update or new model release"},{"id":"SRC.S2.R1.RENEW_Y","title":"Assumptions register: Annual renewal rate","publisher":"Fictional model specification","url":null,"publication_date":null,"access_date":"2026-10-12","locator":"R1.RENEW_Y","quote":null,"evidence_type":"engineering","verification_status":"engineering_choice","refresh_trigger":"Source update or new model release"},{"id":"SRC.S2.R1.STORE_SHARE","title":"Assumptions register: Share of R1 billing through app stores","publisher":"Fictional model specification","url":null,"publication_date":null,"access_date":"2026-10-12","locator":"R1.STORE_SHARE","quote":null,"evidence_type":"engineering","verification_status":"engineering_choice","refresh_trigger":"Source update or new model release"},{"id":"SRC.S2.R1.STORE_FEE","title":"Assumptions register: App-store commission (blended)","publisher":"Fictional model specification","url":null,"publication_date":null,"access_date":"2026-10-12","locator":"R1.STORE_FEE","quote":null,"evidence_type":"engineering","verification_status":"engineering_choice","refresh_trigger":"Source update or new model release"},{"id":"SRC.S2.R1.STORE_LAG","title":"Assumptions register: Store payout lag","publisher":"Fictional model specification","url":null,"publication_date":null,"access_date":"2026-10-12","locator":"R1.STORE_LAG","quote":null,"evidence_type":"engineering","verification_status":"engineering_choice","refresh_trigger":"Source update or new model release"},{"id":"SRC.S2.R1.REFUNDS","title":"Assumptions register: Refunds","publisher":"Fictional model specification","url":null,"publication_date":null,"access_date":"2026-10-12","locator":"R1.REFUNDS","quote":null,"evidence_type":"engineering","verification_status":"engineering_choice","refresh_trigger":"Source update or new model release"},{"id":"SRC.S2.R2.PRICE","title":"Assumptions register: Average copy fee per copied trader per month (incl. VAT; traders choose €9.99–49.99)","publisher":"Fictional model specification","url":null,"publication_date":null,"access_date":"2026-10-12","locator":"R2.PRICE","quote":null,"evidence_type":"engineering","verification_status":"engineering_choice","refresh_trigger":"Source update or new model release"},{"id":"SRC.S2.R2.TRADER_SHARE","title":"Assumptions register: Share of the net copy fee paid to the lead trader (signal-provider fee)","publisher":"Fictional model specification","url":null,"publication_date":null,"access_date":"2026-10-12","locator":"R2.TRADER_SHARE","quote":null,"evidence_type":"engineering","verification_status":"engineering_choice","refresh_trigger":"Source update or new model release"},{"id":"SRC.S2.R2.CONV","title":"Assumptions register: Eligible active non-copiers who start copying per month","publisher":"Fictional model specification","url":null,"publication_date":null,"access_date":"2026-10-12","locator":"R2.CONV","quote":null,"evidence_type":"engineering","verification_status":"engineering_choice","refresh_trigger":"Source update or new model release"},{"id":"SRC.S2.R2.CHURN","title":"Assumptions register: Copier churn","publisher":"Fictional model specification","url":null,"publication_date":null,"access_date":"2026-10-12","locator":"R2.CHURN","quote":null,"evidence_type":"engineering","verification_status":"engineering_choice","refresh_trigger":"Source update or new model release"},{"id":"SRC.S2.R2.REL","title":"Assumptions register: Copied traders per copier","publisher":"Fictional model specification","url":null,"publication_date":null,"access_date":"2026-10-12","locator":"R2.REL","quote":null,"evidence_type":"engineering","verification_status":"engineering_choice","refresh_trigger":"Source update or new model release"},{"id":"SRC.S2.R2.PAYOUT_LAG","title":"Assumptions register: Lead-trader payout","publisher":"Fictional model specification","url":null,"publication_date":null,"access_date":"2026-10-12","locator":"R2.PAYOUT_LAG","quote":null,"evidence_type":"engineering","verification_status":"engineering_choice","refresh_trigger":"Source update or new model release"},{"id":"SRC.S2.R2.AUC_ALLOC","title":"Assumptions register: Average capital allocated per copy relationship (memo only, at the exchange)","publisher":"Fictional model specification","url":null,"publication_date":null,"access_date":"2026-10-12","locator":"R2.AUC_ALLOC","quote":null,"evidence_type":"engineering","verification_status":"engineering_choice","refresh_trigger":"Source update or new model release"},{"id":"SRC.S2.R3.SWITCH","title":"Assumptions register: Rebates on licensed copy and transmitted orders","publisher":"Fictional model specification","url":null,"publication_date":null,"access_date":"2026-10-12","locator":"R3.SWITCH","quote":null,"evidence_type":"engineering","verification_status":"engineering_choice","refresh_trigger":"Source update or new model release"},{"id":"SRC.S2.R3.AFFIL","title":"Assumptions register: Affiliate commissions on self-directed users (outside MiCA services)","publisher":"Fictional model specification","url":null,"publication_date":null,"access_date":"2026-10-12","locator":"R3.AFFIL","quote":null,"evidence_type":"engineering","verification_status":"engineering_choice","refresh_trigger":"Source update or new model release"},{"id":"SRC.S2.R7.NEW","title":"Assumptions register: New clients per month","publisher":"Fictional model specification","url":null,"publication_date":null,"access_date":"2026-10-12","locator":"R7.NEW","quote":null,"evidence_type":"engineering","verification_status":"engineering_choice","refresh_trigger":"Source update or new model release"},{"id":"SRC.S2.R7.CHURN","title":"Assumptions register: Client churn","publisher":"Fictional model specification","url":null,"publication_date":null,"access_date":"2026-10-12","locator":"R7.CHURN","quote":null,"evidence_type":"engineering","verification_status":"engineering_choice","refresh_trigger":"Source update or new model release"},{"id":"SRC.S2.R7.SEATS","title":"Assumptions register: Seats per client","publisher":"Fictional model specification","url":null,"publication_date":null,"access_date":"2026-10-12","locator":"R7.SEATS","quote":null,"evidence_type":"engineering","verification_status":"engineering_choice","refresh_trigger":"Source update or new model release"},{"id":"SRC.S2.R7.PRICE","title":"Assumptions register: Price per seat per month (net)","publisher":"Fictional model specification","url":null,"publication_date":null,"access_date":"2026-10-12","locator":"R7.PRICE","quote":null,"evidence_type":"engineering","verification_status":"engineering_choice","refresh_trigger":"Source update or new model release"},{"id":"SRC.S2.R7.ONBOARD","title":"Assumptions register: Onboarding fee (recognised over 12 months)","publisher":"Fictional model specification","url":null,"publication_date":null,"access_date":"2026-10-12","locator":"R7.ONBOARD","quote":null,"evidence_type":"engineering","verification_status":"engineering_choice","refresh_trigger":"Source update or new model release"},{"id":"SRC.S2.R7.DSO","title":"Assumptions register: Payment terms","publisher":"Fictional model specification","url":null,"publication_date":null,"access_date":"2026-10-12","locator":"R7.DSO","quote":null,"evidence_type":"engineering","verification_status":"engineering_choice","refresh_trigger":"Source update or new model release"},{"id":"SRC.S2.R7.SPLIT","title":"Assumptions register: Client location: DE / AT","publisher":"Fictional model specification","url":null,"publication_date":null,"access_date":"2026-10-12","locator":"R7.SPLIT","quote":null,"evidence_type":"engineering","verification_status":"engineering_choice","refresh_trigger":"Source update or new model release"},{"id":"SRC.S2.COGS.WEB_PCT","title":"Assumptions register: Card processing, percentage part","publisher":"Fictional model specification","url":null,"publication_date":null,"access_date":"2026-10-12","locator":"COGS.WEB_PCT","quote":null,"evidence_type":"engineering","verification_status":"engineering_choice","refresh_trigger":"Source update or new model release"},{"id":"SRC.S2.COGS.WEB_FIX","title":"Assumptions register: Card processing, fixed part","publisher":"Fictional model specification","url":null,"publication_date":null,"access_date":"2026-10-12","locator":"COGS.WEB_FIX","quote":null,"evidence_type":"engineering","verification_status":"engineering_choice","refresh_trigger":"Source update or new model release"},{"id":"SRC.S2.COGS.BILLING","title":"Assumptions register: Subscription billing","publisher":"Fictional model specification","url":null,"publication_date":null,"access_date":"2026-10-12","locator":"COGS.BILLING","quote":null,"evidence_type":"engineering","verification_status":"engineering_choice","refresh_trigger":"Source update or new model release"},{"id":"SRC.S2.COGS.PAYOUT","title":"Assumptions register: Lead-trader payouts (Stripe Connect, \"you handle pricing\")","publisher":"Fictional model specification","url":null,"publication_date":null,"access_date":"2026-10-12","locator":"COGS.PAYOUT","quote":null,"evidence_type":"engineering","verification_status":"engineering_choice","refresh_trigger":"Source update or new model release"},{"id":"SRC.S2.COGS.KYC","title":"Assumptions register: KYC per verification (new copiers, new paid lead traders; deduplicated)","publisher":"Fictional model specification","url":null,"publication_date":null,"access_date":"2026-10-12","locator":"COGS.KYC","quote":null,"evidence_type":"engineering","verification_status":"engineering_choice","refresh_trigger":"Source update or new model release"},{"id":"SRC.S2.COGS.CLOUD","title":"Assumptions register: Hosting","publisher":"Fictional model specification","url":null,"publication_date":null,"access_date":"2026-10-12","locator":"COGS.CLOUD","quote":null,"evidence_type":"engineering","verification_status":"engineering_choice","refresh_trigger":"Source update or new model release"},{"id":"SRC.S2.COGS.SUPPORT","title":"Assumptions register: Outsourced first-line support","publisher":"Fictional model specification","url":null,"publication_date":null,"access_date":"2026-10-12","locator":"COGS.SUPPORT","quote":null,"evidence_type":"engineering","verification_status":"engineering_choice","refresh_trigger":"Source update or new model release"},{"id":"SRC.S2.COGS.CHARGEBACK","title":"Assumptions register: Disputes","publisher":"Fictional model specification","url":null,"publication_date":null,"access_date":"2026-10-12","locator":"COGS.CHARGEBACK","quote":null,"evidence_type":"engineering","verification_status":"engineering_choice","refresh_trigger":"Source update or new model release"},{"id":"SRC.S2.COGS.FRAUD","title":"Assumptions register: Fraud losses","publisher":"Fictional model specification","url":null,"publication_date":null,"access_date":"2026-10-12","locator":"COGS.FRAUD","quote":null,"evidence_type":"engineering","verification_status":"engineering_choice","refresh_trigger":"Source update or new model release"},{"id":"SRC.S2.COGS.MDATA","title":"Assumptions register: Market data","publisher":"Fictional model specification","url":null,"publication_date":null,"access_date":"2026-10-12","locator":"COGS.MDATA","quote":null,"evidence_type":"engineering","verification_status":"engineering_choice","refresh_trigger":"Source update or new model release"},{"id":"SRC.S2.PPL.RV","title":"Assumptions register: Pension total (employer half)","publisher":"Fictional model specification","url":null,"publication_date":null,"access_date":"2026-10-12","locator":"PPL.RV","quote":null,"evidence_type":"engineering","verification_status":"engineering_choice","refresh_trigger":"Source update or new model release"},{"id":"SRC.S2.PPL.AV","title":"Assumptions register: Unemployment total","publisher":"Fictional model specification","url":null,"publication_date":null,"access_date":"2026-10-12","locator":"PPL.AV","quote":null,"evidence_type":"engineering","verification_status":"engineering_choice","refresh_trigger":"Source update or new model release"},{"id":"SRC.S2.PPL.KV","title":"Assumptions register: Health general rate + average additional contribution","publisher":"Fictional model specification","url":null,"publication_date":null,"access_date":"2026-10-12","locator":"PPL.KV","quote":null,"evidence_type":"engineering","verification_status":"engineering_choice","refresh_trigger":"Source update or new model release"},{"id":"SRC.S2.PPL.PV","title":"Assumptions register: Care total (employer 1.8%)","publisher":"Fictional model specification","url":null,"publication_date":null,"access_date":"2026-10-12","locator":"PPL.PV","quote":null,"evidence_type":"engineering","verification_status":"engineering_choice","refresh_trigger":"Source update or new model release"},{"id":"SRC.S2.PPL.CEIL_RV","title":"Assumptions register: Pension/unemployment ceiling","publisher":"Fictional model specification","url":null,"publication_date":null,"access_date":"2026-10-12","locator":"PPL.CEIL_RV","quote":null,"evidence_type":"engineering","verification_status":"engineering_choice","refresh_trigger":"Source update or new model release"},{"id":"SRC.S2.PPL.CEIL_KV","title":"Assumptions register: Health/care ceiling","publisher":"Fictional model specification","url":null,"publication_date":null,"access_date":"2026-10-12","locator":"PPL.CEIL_KV","quote":null,"evidence_type":"engineering","verification_status":"engineering_choice","refresh_trigger":"Source update or new model release"},{"id":"SRC.S2.PPL.U1","title":"Assumptions register: Sick-pay levy (only while ≤ 30 employees)","publisher":"Fictional model specification","url":null,"publication_date":null,"access_date":"2026-10-12","locator":"PPL.U1","quote":null,"evidence_type":"engineering","verification_status":"engineering_choice","refresh_trigger":"Source update or new model release"},{"id":"SRC.S2.PPL.U2","title":"Assumptions register: Maternity levy","publisher":"Fictional model specification","url":null,"publication_date":null,"access_date":"2026-10-12","locator":"PPL.U2","quote":null,"evidence_type":"engineering","verification_status":"engineering_choice","refresh_trigger":"Source update or new model release"},{"id":"SRC.S2.PPL.INSOLV","title":"Assumptions register: Insolvency levy","publisher":"Fictional model specification","url":null,"publication_date":null,"access_date":"2026-10-12","locator":"PPL.INSOLV","quote":null,"evidence_type":"engineering","verification_status":"engineering_choice","refresh_trigger":"Source update or new model release"},{"id":"SRC.S2.PPL.BG","title":"Assumptions register: Accident insurance","publisher":"Fictional model specification","url":null,"publication_date":null,"access_date":"2026-10-12","locator":"PPL.BG","quote":null,"evidence_type":"engineering","verification_status":"engineering_choice","refresh_trigger":"Source update or new model release"},{"id":"SRC.S2.PPL.RAISE","title":"Assumptions register: Salary increase each January","publisher":"Fictional model specification","url":null,"publication_date":null,"access_date":"2026-10-12","locator":"PPL.RAISE","quote":null,"evidence_type":"engineering","verification_status":"engineering_choice","refresh_trigger":"Source update or new model release"},{"id":"SRC.S2.PPL.RECRUIT","title":"Assumptions register: Recruiting","publisher":"Fictional model specification","url":null,"publication_date":null,"access_date":"2026-10-12","locator":"PPL.RECRUIT","quote":null,"evidence_type":"engineering","verification_status":"engineering_choice","refresh_trigger":"Source update or new model release"},{"id":"SRC.S2.PPL.EQUIP","title":"Assumptions register: IT equipment per hire (capex; 3-year depreciation; replaced after 48 months)","publisher":"Fictional model specification","url":null,"publication_date":null,"access_date":"2026-10-12","locator":"PPL.EQUIP","quote":null,"evidence_type":"engineering","verification_status":"engineering_choice","refresh_trigger":"Source update or new model release"},{"id":"SRC.S2.PPL.SW","title":"Assumptions register: Software per FTE","publisher":"Fictional model specification","url":null,"publication_date":null,"access_date":"2026-10-12","locator":"PPL.SW","quote":null,"evidence_type":"engineering","verification_status":"engineering_choice","refresh_trigger":"Source update or new model release"},{"id":"SRC.S2.PPL.BONUS","title":"Assumptions register: Bonuses and sales commission","publisher":"Fictional model specification","url":null,"publication_date":null,"access_date":"2026-10-12","locator":"PPL.BONUS","quote":null,"evidence_type":"engineering","verification_status":"engineering_choice","refresh_trigger":"Source update or new model release"},{"id":"SRC.S2.OPX.DESK","title":"Assumptions register: Coworking (while FTE ≤ 30)","publisher":"Fictional model specification","url":null,"publication_date":null,"access_date":"2026-10-12","locator":"OPX.DESK","quote":null,"evidence_type":"engineering","verification_status":"engineering_choice","refresh_trigger":"Source update or new model release"},{"id":"SRC.S2.OPX.OFFICE","title":"Assumptions register: Own office (FTE &gt; 30)","publisher":"Fictional model specification","url":null,"publication_date":null,"access_date":"2026-10-12","locator":"OPX.OFFICE","quote":null,"evidence_type":"engineering","verification_status":"engineering_choice","refresh_trigger":"Source update or new model release"},{"id":"SRC.S2.OPX.FITOUT","title":"Assumptions register: Office fit-out (capex, 5-year depreciation)","publisher":"Fictional model specification","url":null,"publication_date":null,"access_date":"2026-10-12","locator":"OPX.FITOUT","quote":null,"evidence_type":"engineering","verification_status":"engineering_choice","refresh_trigger":"Source update or new model release"},{"id":"SRC.S2.OPX.CONTEST","title":"Assumptions register: Lead-trader contests","publisher":"Fictional model specification","url":null,"publication_date":null,"access_date":"2026-10-12","locator":"OPX.CONTEST","quote":null,"evidence_type":"engineering","verification_status":"engineering_choice","refresh_trigger":"Source update or new model release"},{"id":"SRC.S2.OPX.REFERRAL","title":"Assumptions register: Referral bonuses","publisher":"Fictional model specification","url":null,"publication_date":null,"access_date":"2026-10-12","locator":"OPX.REFERRAL","quote":null,"evidence_type":"engineering","verification_status":"engineering_choice","refresh_trigger":"Source update or new model release"},{"id":"SRC.S2.OPX.PAYROLL","title":"Assumptions register: Payroll service","publisher":"Fictional model specification","url":null,"publication_date":null,"access_date":"2026-10-12","locator":"OPX.PAYROLL","quote":null,"evidence_type":"engineering","verification_status":"engineering_choice","refresh_trigger":"Source update or new model release"},{"id":"SRC.S2.OPX.FOUNDING","title":"Assumptions register: Founding (notary + register)","publisher":"Fictional model specification","url":null,"publication_date":null,"access_date":"2026-10-12","locator":"OPX.FOUNDING","quote":null,"evidence_type":"engineering","verification_status":"engineering_choice","refresh_trigger":"Source update or new model release"},{"id":"SRC.S2.OPX.IHK","title":"Assumptions register: IHK + transparency register + filing","publisher":"Fictional model specification","url":null,"publication_date":null,"access_date":"2026-10-12","locator":"OPX.IHK","quote":null,"evidence_type":"engineering","verification_status":"engineering_choice","refresh_trigger":"Source update or new model release"},{"id":"SRC.S2.OPX.INS_PRE","title":"Assumptions register: Insurance before licence (D&amp;O, cyber, liability; crypto loading ×1.5)","publisher":"Fictional model specification","url":null,"publication_date":null,"access_date":"2026-10-12","locator":"OPX.INS_PRE","quote":null,"evidence_type":"engineering","verification_status":"engineering_choice","refresh_trigger":"Source update or new model release"},{"id":"SRC.S2.OPX.MISC","title":"Assumptions register: Travel, bank, misc.","publisher":"Fictional model specification","url":null,"publication_date":null,"access_date":"2026-10-12","locator":"OPX.MISC","quote":null,"evidence_type":"engineering","verification_status":"engineering_choice","refresh_trigger":"Source update or new model release"},{"id":"SRC.S2.OPX.CONTINGENCY","title":"Assumptions register: Contingency","publisher":"Fictional model specification","url":null,"publication_date":null,"access_date":"2026-10-12","locator":"OPX.CONTINGENCY","quote":null,"evidence_type":"engineering","verification_status":"engineering_choice","refresh_trigger":"Source update or new model release"},{"id":"SRC.S2.OPX.BRAND","title":"Assumptions register: Brand / PR","publisher":"Fictional model specification","url":null,"publication_date":null,"access_date":"2026-10-12","locator":"OPX.BRAND","quote":null,"evidence_type":"engineering","verification_status":"engineering_choice","refresh_trigger":"Source update or new model release"},{"id":"SRC.S2.OPX.BOOKKEEP","title":"Assumptions register: Bookkeeping","publisher":"Fictional model specification","url":null,"publication_date":null,"access_date":"2026-10-12","locator":"OPX.BOOKKEEP","quote":null,"evidence_type":"engineering","verification_status":"engineering_choice","refresh_trigger":"Source update or new model release"},{"id":"SRC.S2.OPX.ACCOUNTS","title":"Assumptions register: Annual statements and tax returns","publisher":"Fictional model specification","url":null,"publication_date":null,"access_date":"2026-10-12","locator":"OPX.ACCOUNTS","quote":null,"evidence_type":"engineering","verification_status":"engineering_choice","refresh_trigger":"Source update or new model release"},{"id":"SRC.S2.OPX.ROUND_COSTS","title":"Assumptions register: Per round: notary + legal","publisher":"Fictional model specification","url":null,"publication_date":null,"access_date":"2026-10-12","locator":"OPX.ROUND_COSTS","quote":null,"evidence_type":"engineering","verification_status":"engineering_choice","refresh_trigger":"Source update or new model release"},{"id":"SRC.S2.REG.LEGAL_APP","title":"Assumptions register: Legal and regulatory advisers for the application","publisher":"Fictional model specification","url":null,"publication_date":null,"access_date":"2026-10-12","locator":"REG.LEGAL_APP","quote":null,"evidence_type":"engineering","verification_status":"engineering_choice","refresh_trigger":"Source update or new model release"},{"id":"SRC.S2.REG.BAFIN_FEE","title":"Assumptions register: BaFin authorisation fee (time-based)","publisher":"Fictional model specification","url":null,"publication_date":null,"access_date":"2026-10-12","locator":"REG.BAFIN_FEE","quote":null,"evidence_type":"engineering","verification_status":"engineering_choice","refresh_trigger":"Source update or new model release"},{"id":"SRC.S2.REG.DORA_SETUP","title":"Assumptions register: DORA framework set-up","publisher":"Fictional model specification","url":null,"publication_date":null,"access_date":"2026-10-12","locator":"REG.DORA_SETUP","quote":null,"evidence_type":"engineering","verification_status":"engineering_choice","refresh_trigger":"Source update or new model release"},{"id":"SRC.S2.REG.LEVY","title":"Assumptions register: BaFin levy","publisher":"Fictional model specification","url":null,"publication_date":null,"access_date":"2026-10-12","locator":"REG.LEVY","quote":null,"evidence_type":"engineering","verification_status":"engineering_choice","refresh_trigger":"Source update or new model release"},{"id":"SRC.S2.REG.AUDIT","title":"Assumptions register: Statutory and regulatory audit (KMAG: large-company accounts for CASPs)","publisher":"Fictional model specification","url":null,"publication_date":null,"access_date":"2026-10-12","locator":"REG.AUDIT","quote":null,"evidence_type":"engineering","verification_status":"engineering_choice","refresh_trigger":"Source update or new model release"},{"id":"SRC.S2.REG.INT_AUDIT","title":"Assumptions register: Outsourced internal audit","publisher":"Fictional model specification","url":null,"publication_date":null,"access_date":"2026-10-12","locator":"REG.INT_AUDIT","quote":null,"evidence_type":"engineering","verification_status":"engineering_choice","refresh_trigger":"Source update or new model release"},{"id":"SRC.S2.REG.LEGAL_RUN","title":"Assumptions register: Ongoing legal","publisher":"Fictional model specification","url":null,"publication_date":null,"access_date":"2026-10-12","locator":"REG.LEGAL_RUN","quote":null,"evidence_type":"engineering","verification_status":"engineering_choice","refresh_trigger":"Source update or new model release"},{"id":"SRC.S2.REG.DORA_TEST","title":"Assumptions register: Penetration and resilience testing","publisher":"Fictional model specification","url":null,"publication_date":null,"access_date":"2026-10-12","locator":"REG.DORA_TEST","quote":null,"evidence_type":"engineering","verification_status":"engineering_choice","refresh_trigger":"Source update or new model release"},{"id":"SRC.S2.REG.SURVEIL","title":"Assumptions register: Market-abuse surveillance tools","publisher":"Fictional model specification","url":null,"publication_date":null,"access_date":"2026-10-12","locator":"REG.SURVEIL","quote":null,"evidence_type":"engineering","verification_status":"engineering_choice","refresh_trigger":"Source update or new model release"},{"id":"SRC.S2.REG.INSURANCE","title":"Assumptions register: Insurance (professional indemnity, D&amp;O, cyber)","publisher":"Fictional model specification","url":null,"publication_date":null,"access_date":"2026-10-12","locator":"REG.INSURANCE","quote":null,"evidence_type":"engineering","verification_status":"engineering_choice","refresh_trigger":"Source update or new model release"},{"id":"SRC.S2.REG.CLASS_FLOOR","title":"Assumptions register: Minimum capital, Class 1","publisher":"Fictional model specification","url":null,"publication_date":null,"access_date":"2026-10-12","locator":"REG.CLASS_FLOOR","quote":null,"evidence_type":"engineering","verification_status":"engineering_choice","refresh_trigger":"Source update or new model release"},{"id":"SRC.S2.REG.OH_FACTOR","title":"Assumptions register: Share of the reference year's total expenses","publisher":"Fictional model specification","url":null,"publication_date":null,"access_date":"2026-10-12","locator":"REG.OH_FACTOR","quote":null,"evidence_type":"engineering","verification_status":"engineering_choice","refresh_trigger":"Source update or new model release"},{"id":"SRC.S2.REG.BUFFER","title":"Assumptions register: Management buffer above the requirement","publisher":"Fictional model specification","url":null,"publication_date":null,"access_date":"2026-10-12","locator":"REG.BUFFER","quote":null,"evidence_type":"engineering","verification_status":"engineering_choice","refresh_trigger":"Source update or new model release"},{"id":"SRC.S2.REG.QH_LEAD","title":"Assumptions register: Lead time for a new ≥ 10% investor after the licence","publisher":"Fictional model specification","url":null,"publication_date":null,"access_date":"2026-10-12","locator":"REG.QH_LEAD","quote":null,"evidence_type":"engineering","verification_status":"engineering_choice","refresh_trigger":"Source update or new model release"},{"id":"SRC.S2.REG.FIRST_YEAR","title":"Assumptions register: First 12 months after the licence","publisher":"Fictional model specification","url":null,"publication_date":null,"access_date":"2026-10-12","locator":"REG.FIRST_YEAR","quote":null,"evidence_type":"engineering","verification_status":"engineering_choice","refresh_trigger":"Source update or new model release"},{"id":"SRC.S2.REG.DEDUCT","title":"Assumptions register: Allowed deductions from total expenses","publisher":"Fictional model specification","url":null,"publication_date":null,"access_date":"2026-10-12","locator":"REG.DEDUCT","quote":null,"evidence_type":"engineering","verification_status":"engineering_choice","refresh_trigger":"Source update or new model release"},{"id":"SRC.S2.TAX.KST","title":"Assumptions register: Corporate income tax by year","publisher":"Fictional model specification","url":null,"publication_date":null,"access_date":"2026-10-12","locator":"TAX.KST","quote":null,"evidence_type":"engineering","verification_status":"engineering_choice","refresh_trigger":"Source update or new model release"},{"id":"SRC.S2.TAX.LOSS_Q_KST","title":"Assumptions register: KSt share above the threshold","publisher":"Fictional model specification","url":null,"publication_date":null,"access_date":"2026-10-12","locator":"TAX.LOSS_Q_KST","quote":null,"evidence_type":"engineering","verification_status":"engineering_choice","refresh_trigger":"Source update or new model release"},{"id":"SRC.S2.TAX.SOLI","title":"Assumptions register: Solidarity surcharge","publisher":"Fictional model specification","url":null,"publication_date":null,"access_date":"2026-10-12","locator":"TAX.SOLI","quote":null,"evidence_type":"engineering","verification_status":"engineering_choice","refresh_trigger":"Source update or new model release"},{"id":"SRC.S2.TAX.GEWST","title":"Assumptions register: Trade-tax base rate × Hebesatz","publisher":"Fictional model specification","url":null,"publication_date":null,"access_date":"2026-10-12","locator":"TAX.GEWST","quote":null,"evidence_type":"engineering","verification_status":"engineering_choice","refresh_trigger":"Source update or new model release"},{"id":"SRC.S2.TAX.LOSS_T","title":"Assumptions register: Unrestricted loss offset","publisher":"Fictional model specification","url":null,"publication_date":null,"access_date":"2026-10-12","locator":"TAX.LOSS_T","quote":null,"evidence_type":"engineering","verification_status":"engineering_choice","refresh_trigger":"Source update or new model release"},{"id":"SRC.S2.TAX.LOSS_Q_GEW","title":"Assumptions register: GewSt share above the threshold","publisher":"Fictional model specification","url":null,"publication_date":null,"access_date":"2026-10-12","locator":"TAX.LOSS_Q_GEW","quote":null,"evidence_type":"engineering","verification_status":"engineering_choice","refresh_trigger":"Source update or new model release"},{"id":"SRC.S2.TAX.ADDBACK","title":"Assumptions register: Trade-tax add-backs","publisher":"Fictional model specification","url":null,"publication_date":null,"access_date":"2026-10-12","locator":"TAX.ADDBACK","quote":null,"evidence_type":"engineering","verification_status":"engineering_choice","refresh_trigger":"Source update or new model release"},{"id":"SRC.S2.VAT.DE","title":"Assumptions register: B2C VAT","publisher":"Fictional model specification","url":null,"publication_date":null,"access_date":"2026-10-12","locator":"VAT.DE","quote":null,"evidence_type":"engineering","verification_status":"engineering_choice","refresh_trigger":"Source update or new model release"},{"id":"SRC.S2.VAT.AT","title":"Assumptions register: B2C VAT","publisher":"Fictional model specification","url":null,"publication_date":null,"access_date":"2026-10-12","locator":"VAT.AT","quote":null,"evidence_type":"engineering","verification_status":"engineering_choice","refresh_trigger":"Source update or new model release"},{"id":"SRC.S2.VAT.RECOVERY","title":"Assumptions register: Input-VAT recovery","publisher":"Fictional model specification","url":null,"publication_date":null,"access_date":"2026-10-12","locator":"VAT.RECOVERY","quote":null,"evidence_type":"engineering","verification_status":"engineering_choice","refresh_trigger":"Source update or new model release"},{"id":"SRC.S2.TAX.PREPAY","title":"Assumptions register: Tax advances","publisher":"Fictional model specification","url":null,"publication_date":null,"access_date":"2026-10-12","locator":"TAX.PREPAY","quote":null,"evidence_type":"engineering","verification_status":"engineering_choice","refresh_trigger":"Source update or new model release"},{"id":"SRC.S2.TAX.8C","title":"Assumptions register: Loss forfeiture on &gt; 50% ownership change","publisher":"Fictional model specification","url":null,"publication_date":null,"access_date":"2026-10-12","locator":"TAX.8C","quote":null,"evidence_type":"engineering","verification_status":"engineering_choice","refresh_trigger":"Source update or new model release"},{"id":"SRC.S2.VAT.R2","title":"Assumptions register: Copy fees","publisher":"Fictional model specification","url":null,"publication_date":null,"access_date":"2026-10-12","locator":"VAT.R2","quote":null,"evidence_type":"engineering","verification_status":"engineering_choice","refresh_trigger":"Source update or new model release"},{"id":"SRC.S2.VAT.FILING","title":"Assumptions register: VAT returns","publisher":"Fictional model specification","url":null,"publication_date":null,"access_date":"2026-10-12","locator":"VAT.FILING","quote":null,"evidence_type":"engineering","verification_status":"engineering_choice","refresh_trigger":"Source update or new model release"},{"id":"SRC.S2.FUND.SHARE_CAP","title":"Assumptions register: Share capital at M1","publisher":"Fictional model specification","url":null,"publication_date":null,"access_date":"2026-10-12","locator":"FUND.SHARE_CAP","quote":null,"evidence_type":"engineering","verification_status":"engineering_choice","refresh_trigger":"Source update or new model release"},{"id":"SRC.S2.FUND.CONV","title":"Assumptions register: Pre-seed Wandeldarlehen at M1","publisher":"Fictional model specification","url":null,"publication_date":null,"access_date":"2026-10-12","locator":"FUND.CONV","quote":null,"evidence_type":"engineering","verification_status":"engineering_choice","refresh_trigger":"Source update or new model release"},{"id":"SRC.S2.FUND.SEED","title":"Assumptions register: Seed: amount, pre-money, month","publisher":"Fictional model specification","url":null,"publication_date":null,"access_date":"2026-10-12","locator":"FUND.SEED","quote":null,"evidence_type":"engineering","verification_status":"engineering_choice","refresh_trigger":"Source update or new model release"},{"id":"SRC.S2.FUND.A","title":"Assumptions register: Series A: amount, pre-money, month","publisher":"Fictional model specification","url":null,"publication_date":null,"access_date":"2026-10-12","locator":"FUND.A","quote":null,"evidence_type":"engineering","verification_status":"engineering_choice","refresh_trigger":"Source update or new model release"},{"id":"SRC.S2.FUND.VSOP","title":"Assumptions register: VSOP pool (memo dilution)","publisher":"Fictional model specification","url":null,"publication_date":null,"access_date":"2026-10-12","locator":"FUND.VSOP","quote":null,"evidence_type":"engineering","verification_status":"engineering_choice","refresh_trigger":"Source update or new model release"},{"id":"SRC.S2.FUND.CASH_BUF","title":"Assumptions register: Cash-buffer target","publisher":"Fictional model specification","url":null,"publication_date":null,"access_date":"2026-10-12","locator":"FUND.CASH_BUF","quote":null,"evidence_type":"engineering","verification_status":"engineering_choice","refresh_trigger":"Source update or new model release"},{"id":"SRC.S2.FUND.DEP_RATE","title":"Assumptions register: Interest on positive cash","publisher":"Fictional model specification","url":null,"publication_date":null,"access_date":"2026-10-12","locator":"FUND.DEP_RATE","quote":null,"evidence_type":"engineering","verification_status":"engineering_choice","refresh_trigger":"Source update or new model release"},{"id":"SRC.S2.FUND.B","title":"Assumptions register: Series B","publisher":"Fictional model specification","url":null,"publication_date":null,"access_date":"2026-10-12","locator":"FUND.B","quote":null,"evidence_type":"engineering","verification_status":"engineering_choice","refresh_trigger":"Source update or new model release"},{"id":"SRC.S2.FUND.GRANT","title":"Assumptions register: GründungsBONUS Plus","publisher":"Fictional model specification","url":null,"publication_date":null,"access_date":"2026-10-12","locator":"FUND.GRANT","quote":null,"evidence_type":"engineering","verification_status":"engineering_choice","refresh_trigger":"Source update or new model release"},{"id":"SRC.S2.WC.DPO","title":"Assumptions register: Supplier payment terms (non-people opex, COGS)","publisher":"Fictional model specification","url":null,"publication_date":null,"access_date":"2026-10-12","locator":"WC.DPO","quote":null,"evidence_type":"engineering","verification_status":"engineering_choice","refresh_trigger":"Source update or new model release"},{"id":"SRC.S2.WC.PAYROLL","title":"Assumptions register: Salaries and contributions","publisher":"Fictional model specification","url":null,"publication_date":null,"access_date":"2026-10-12","locator":"WC.PAYROLL","quote":null,"evidence_type":"engineering","verification_status":"engineering_choice","refresh_trigger":"Source update or new model release"},{"id":"SRC.S2.WC.STORE","title":"Assumptions register: Store payouts","publisher":"Fictional model specification","url":null,"publication_date":null,"access_date":"2026-10-12","locator":"WC.STORE","quote":null,"evidence_type":"engineering","verification_status":"engineering_choice","refresh_trigger":"Source update or new model release"},{"id":"SRC.S2.WC.STRIPE","title":"Assumptions register: Card settlement","publisher":"Fictional model specification","url":null,"publication_date":null,"access_date":"2026-10-12","locator":"WC.STRIPE","quote":null,"evidence_type":"engineering","verification_status":"engineering_choice","refresh_trigger":"Source update or new model release"},{"id":"SRC.S2.WC.TRADER","title":"Assumptions register: Lead-trader payouts","publisher":"Fictional model specification","url":null,"publication_date":null,"access_date":"2026-10-12","locator":"WC.TRADER","quote":null,"evidence_type":"engineering","verification_status":"engineering_choice","refresh_trigger":"Source update or new model release"},{"id":"SRC.GC.2b.RV","title":"RV rate 2027","publisher":"Local research compilation","url":"https://www.deutsche-rentenversicherung.de/DRV/DE/Ueber-uns-und-Presse/Presse/Pressemitteilungen/Pressemitteilungen-aktuell/2026/2026-06-11-bvv-gunkel","publication_date":null,"access_date":"2026-10-12","locator":"Section 2b; row: RV rate 2027","quote":null,"evidence_type":"research_note","verification_status":"reported_in_research","refresh_trigger":"Source update or new model release"},{"id":"SRC.GC.2b.CEIL_RV","title":"RV/AV ceiling 2027","publisher":"Local research compilation","url":"https://www.bmas.de/DE/Service/Presse/Pressemitteilungen/2026/bundeskabinett-beschliesst-sozialversicherungsrechengroessen-2027.html","publication_date":null,"access_date":"2026-10-12","locator":"Section 2b; row: RV/AV ceiling 2027","quote":null,"evidence_type":"research_note","verification_status":"reported_in_research","refresh_trigger":"Source update or new model release"},{"id":"SRC.GC.2b.CEIL_KV","title":"KV/PV ceiling 2027","publisher":"Local research compilation","url":"https://www.bundesgesundheitsministerium.de/presse/pressemitteilungen/kabinett-beschliesst-pflegeneuordnungsgesetz","publication_date":null,"access_date":"2026-10-12","locator":"Section 2b; row: KV/PV ceiling 2027","quote":null,"evidence_type":"research_note","verification_status":"reported_in_research","refresh_trigger":"Source update or new model release"},{"id":"SRC.GC.2a.AV","title":"Unemployment insurance (AV), total / employer","publisher":"Local research compilation","url":"https://www.gesetze-im-internet.de/sgb_3/__341.html","publication_date":null,"access_date":"2026-10-12","locator":"Section 2a; row: Unemployment insurance (AV), total / employer","quote":null,"evidence_type":"research_note","verification_status":"reported_in_research","refresh_trigger":"Source update or new model release"},{"id":"SRC.GC.2a.KV","title":"Health insurance (KV) general rate, total / employer","publisher":"Local research compilation","url":"https://www.gesetze-im-internet.de/sgb_5/__241.html","publication_date":null,"access_date":"2026-10-12","locator":"Section 2a; row: Health insurance (KV) general rate, total / employer","quote":null,"evidence_type":"research_note","verification_status":"reported_in_research","refresh_trigger":"Source update or new model release"},{"id":"SRC.GC.2b.KV_ADD","title":"KV average additional contribution 2027","publisher":"Local research compilation","url":null,"publication_date":null,"access_date":"2026-10-12","locator":"Section 2b; row: KV average additional contribution 2027","quote":null,"evidence_type":"research_note","verification_status":"reported_in_research","refresh_trigger":"Source update or new model release"},{"id":"SRC.GC.2a.PV","title":"Long-term care (PV), total / employer","publisher":"Local research compilation","url":"https://www.gesetze-im-internet.de/sgb_11/__55.html","publication_date":null,"access_date":"2026-10-12","locator":"Section 2a; row: Long-term care (PV), total / employer","quote":null,"evidence_type":"research_note","verification_status":"reported_in_research","refresh_trigger":"Source update or new model release"},{"id":"SRC.GC.2a.U1","title":"U1 levy (sick-pay reimbursement), TK as example","publisher":"Local research compilation","url":"https://www.gesetze-im-internet.de/aag/","publication_date":null,"access_date":"2026-10-12","locator":"Section 2a; row: U1 levy (sick-pay reimbursement), TK as example","quote":null,"evidence_type":"research_note","verification_status":"reported_in_research","refresh_trigger":"Source update or new model release"},{"id":"SRC.GC.2a.U2","title":"U2 levy (maternity), TK as example","publisher":"Local research compilation","url":"https://www.tk.de/resource/blob/2206606/7445181694077ffa3c734446798a01f1/beitragstabelle-2026-data.pdf","publication_date":null,"access_date":"2026-10-12","locator":"Section 2a; row: U2 levy (maternity), TK as example","quote":null,"evidence_type":"research_note","verification_status":"reported_in_research","refresh_trigger":"Source update or new model release"},{"id":"SRC.GC.2a.INSOLV","title":"Insolvency levy (Insolvenzgeldumlage)","publisher":"Local research compilation","url":"https://www.gesetze-im-internet.de/sgb_3/__360.html","publication_date":null,"access_date":"2026-10-12","locator":"Section 2a; row: Insolvency levy (Insolvenzgeldumlage)","quote":null,"evidence_type":"research_note","verification_status":"reported_in_research","refresh_trigger":"Source update or new model release"},{"id":"SRC.GC.2a.BG","title":"Accident insurance (BG), effective rate for office/IT work","publisher":"Local research compilation","url":"https://www.vbg.de/cms/mitgliedschaft-und-versicherung/mitgliedschaft-und-beitrag/beitrag","publication_date":null,"access_date":"2026-10-12","locator":"Section 2a; row: Accident insurance (BG), effective rate for office/IT work","quote":null,"evidence_type":"research_note","verification_status":"reported_in_research","refresh_trigger":"Source update or new model release"},{"id":"SRC.GC.3.KST","title":"Corporate income tax (Körperschaftsteuer, KSt) by year","publisher":"Local research compilation","url":"https://www.gesetze-im-internet.de/kstg_1977/__23.html","publication_date":null,"access_date":"2026-10-12","locator":"Section 3; row: Corporate income tax (Körperschaftsteuer, KSt) by year","quote":null,"evidence_type":"research_note","verification_status":"reported_in_research","refresh_trigger":"Source update or new model release"},{"id":"SRC.GC.3.SOLI","title":"Solidarity surcharge (Solidaritätszuschlag)","publisher":"Local research compilation","url":"https://www.gesetze-im-internet.de/solzg_1995/__4.html","publication_date":null,"access_date":"2026-10-12","locator":"Section 3; row: Solidarity surcharge (Solidaritätszuschlag)","quote":null,"evidence_type":"research_note","verification_status":"reported_in_research","refresh_trigger":"Source update or new model release"},{"id":"SRC.GC.3.HEBESATZ","title":"Trade-tax multiplier (Hebesatz), Berlin","publisher":"Local research compilation","url":"https://www.berlin.de/sen/finanzen/steuern/informationen-fuer-steuerzahler-/faq-steuern/artikel.9362.php","publication_date":null,"access_date":"2026-10-12","locator":"Section 3; row: Trade-tax multiplier (Hebesatz), Berlin","quote":null,"evidence_type":"research_note","verification_status":"reported_in_research","refresh_trigger":"Source update or new model release"},{"id":"SRC.GC.3.BASE_RATE","title":"Trade tax base rate (Steuermesszahl)","publisher":"Local research compilation","url":"https://www.gesetze-im-internet.de/gewstg/__11.html","publication_date":null,"access_date":"2026-10-12","locator":"Section 3; row: Trade tax base rate (Steuermesszahl)","quote":null,"evidence_type":"research_note","verification_status":"reported_in_research","refresh_trigger":"Source update or new model release"},{"id":"SRC.GC.3.LOSS_THRESHOLD","title":"Loss carryforward, KSt (Mindestbesteuerung)","publisher":"Local research compilation","url":"https://www.gesetze-im-internet.de/estg/__10d.html","publication_date":null,"access_date":"2026-10-12","locator":"Section 3; row: Loss carryforward, KSt (Mindestbesteuerung)","quote":null,"evidence_type":"research_note","verification_status":"reported_in_research","refresh_trigger":"Source update or new model release"},{"id":"SRC.GC.3.LOSS_K","title":"Loss carryforward, KSt (Mindestbesteuerung)","publisher":"Local research compilation","url":"https://www.gesetze-im-internet.de/estg/__10d.html","publication_date":null,"access_date":"2026-10-12","locator":"Section 3; row: Loss carryforward, KSt (Mindestbesteuerung)","quote":null,"evidence_type":"research_note","verification_status":"reported_in_research","refresh_trigger":"Source update or new model release"},{"id":"SRC.GC.3.LOSS_G","title":"Loss carryforward, trade tax","publisher":"Local research compilation","url":"https://www.gesetze-im-internet.de/gewstg/__10a.html","publication_date":null,"access_date":"2026-10-12","locator":"Section 3; row: Loss carryforward, trade tax","quote":null,"evidence_type":"research_note","verification_status":"reported_in_research","refresh_trigger":"Source update or new model release"},{"id":"SRC.GC.3.OWNERSHIP","title":"Change of ownership (schädlicher Beteiligungserwerb)","publisher":"Local research compilation","url":"https://www.gesetze-im-internet.de/kstg_1977/__8c.html","publication_date":null,"access_date":"2026-10-12","locator":"Section 3; row: Change of ownership (schädlicher Beteiligungserwerb)","quote":null,"evidence_type":"research_note","verification_status":"reported_in_research","refresh_trigger":"Source update or new model release"},{"id":"SRC.GC.3.PREPAY","title":"Tax prepayments","publisher":"Local research compilation","url":null,"publication_date":null,"access_date":"2026-10-12","locator":"Section 3; row: Tax prepayments","quote":null,"evidence_type":"research_note","verification_status":"reported_in_research","refresh_trigger":"Source update or new model release"},{"id":"SRC.GC.4.VAT_DE","title":"German standard VAT rate","publisher":"Local research compilation","url":"https://www.gesetze-im-internet.de/ustg_1980/__12.html","publication_date":null,"access_date":"2026-10-12","locator":"Section 4; row: German standard VAT rate","quote":null,"evidence_type":"research_note","verification_status":"reported_in_research","refresh_trigger":"Source update or new model release"},{"id":"SRC.GC.4.VAT_R2","title":"Portfolio management / automated strategy replication","publisher":"Local research compilation","url":null,"publication_date":null,"access_date":"2026-10-12","locator":"Section 4; row: Portfolio management / automated strategy replication","quote":null,"evidence_type":"research_note","verification_status":"reported_in_research","refresh_trigger":"Source update or new model release"},{"id":"SRC.GC.4.FILING","title":"VAT return frequency for a new company","publisher":"Local research compilation","url":null,"publication_date":null,"access_date":"2026-10-12","locator":"Section 4; row: VAT return frequency for a new company","quote":null,"evidence_type":"research_note","verification_status":"reported_in_research","refresh_trigger":"Source update or new model release"},{"id":"SRC.GC.3.ADDBACK","title":"Trade-tax add-backs (Hinzurechnungen, §8 Nr. 1 GewStG)","publisher":"Local research compilation","url":"https://www.gesetze-im-internet.de/gewstg/__8.html","publication_date":null,"access_date":"2026-10-12","locator":"Section 3; row: Trade-tax add-backs (Hinzurechnungen, §8 Nr. 1 GewStG)","quote":null,"evidence_type":"research_note","verification_status":"reported_in_research","refresh_trigger":"Source update or new model release"},{"id":"SRC.S2.P01","title":"Assumptions register: headcount plan, person P01","publisher":"Fictional model specification","url":null,"publication_date":null,"access_date":"2026-10-12","locator":"Headcount plan, P01","quote":null,"evidence_type":"engineering","verification_status":"engineering_choice","refresh_trigger":"Source update or new model release"},{"id":"SRC.S2.P02","title":"Assumptions register: headcount plan, person P02","publisher":"Fictional model specification","url":null,"publication_date":null,"access_date":"2026-10-12","locator":"Headcount plan, P02","quote":null,"evidence_type":"engineering","verification_status":"engineering_choice","refresh_trigger":"Source update or new model release"},{"id":"SRC.S2.P03","title":"Assumptions register: headcount plan, person P03","publisher":"Fictional model specification","url":null,"publication_date":null,"access_date":"2026-10-12","locator":"Headcount plan, P03","quote":null,"evidence_type":"engineering","verification_status":"engineering_choice","refresh_trigger":"Source update or new model release"},{"id":"SRC.S2.P04","title":"Assumptions register: headcount plan, person P04","publisher":"Fictional model specification","url":null,"publication_date":null,"access_date":"2026-10-12","locator":"Headcount plan, P04","quote":null,"evidence_type":"engineering","verification_status":"engineering_choice","refresh_trigger":"Source update or new model release"},{"id":"SRC.S2.P05","title":"Assumptions register: headcount plan, person P05","publisher":"Fictional model specification","url":null,"publication_date":null,"access_date":"2026-10-12","locator":"Headcount plan, P05","quote":null,"evidence_type":"engineering","verification_status":"engineering_choice","refresh_trigger":"Source update or new model release"},{"id":"SRC.S2.P06","title":"Assumptions register: headcount plan, person P06","publisher":"Fictional model specification","url":null,"publication_date":null,"access_date":"2026-10-12","locator":"Headcount plan, P06","quote":null,"evidence_type":"engineering","verification_status":"engineering_choice","refresh_trigger":"Source update or new model release"},{"id":"SRC.S2.P07","title":"Assumptions register: headcount plan, person P07","publisher":"Fictional model specification","url":null,"publication_date":null,"access_date":"2026-10-12","locator":"Headcount plan, P07","quote":null,"evidence_type":"engineering","verification_status":"engineering_choice","refresh_trigger":"Source update or new model release"},{"id":"SRC.S2.P08","title":"Assumptions register: headcount plan, person P08","publisher":"Fictional model specification","url":null,"publication_date":null,"access_date":"2026-10-12","locator":"Headcount plan, P08","quote":null,"evidence_type":"engineering","verification_status":"engineering_choice","refresh_trigger":"Source update or new model release"},{"id":"SRC.S2.P10","title":"Assumptions register: headcount plan, person P10","publisher":"Fictional model specification","url":null,"publication_date":null,"access_date":"2026-10-12","locator":"Headcount plan, P10","quote":null,"evidence_type":"engineering","verification_status":"engineering_choice","refresh_trigger":"Source update or new model release"},{"id":"SRC.S2.P11","title":"Assumptions register: headcount plan, person P11","publisher":"Fictional model specification","url":null,"publication_date":null,"access_date":"2026-10-12","locator":"Headcount plan, P11","quote":null,"evidence_type":"engineering","verification_status":"engineering_choice","refresh_trigger":"Source update or new model release"},{"id":"SRC.S2.P12","title":"Assumptions register: headcount plan, person P12","publisher":"Fictional model specification","url":null,"publication_date":null,"access_date":"2026-10-12","locator":"Headcount plan, P12","quote":null,"evidence_type":"engineering","verification_status":"engineering_choice","refresh_trigger":"Source update or new model release"},{"id":"SRC.S2.P13","title":"Assumptions register: headcount plan, person P13","publisher":"Fictional model specification","url":null,"publication_date":null,"access_date":"2026-10-12","locator":"Headcount plan, P13","quote":null,"evidence_type":"engineering","verification_status":"engineering_choice","refresh_trigger":"Source update or new model release"},{"id":"SRC.S2.P14","title":"Assumptions register: headcount plan, person P14","publisher":"Fictional model specification","url":null,"publication_date":null,"access_date":"2026-10-12","locator":"Headcount plan, P14","quote":null,"evidence_type":"engineering","verification_status":"engineering_choice","refresh_trigger":"Source update or new model release"},{"id":"SRC.S2.P17","title":"Assumptions register: headcount plan, person P17","publisher":"Fictional model specification","url":null,"publication_date":null,"access_date":"2026-10-12","locator":"Headcount plan, P17","quote":null,"evidence_type":"engineering","verification_status":"engineering_choice","refresh_trigger":"Source update or new model release"},{"id":"SRC.S2.P23","title":"Assumptions register: headcount plan, person P23","publisher":"Fictional model specification","url":null,"publication_date":null,"access_date":"2026-10-12","locator":"Headcount plan, P23","quote":null,"evidence_type":"engineering","verification_status":"engineering_choice","refresh_trigger":"Source update or new model release"},{"id":"SRC.S2.P25","title":"Assumptions register: headcount plan, person P25","publisher":"Fictional model specification","url":null,"publication_date":null,"access_date":"2026-10-12","locator":"Headcount plan, P25","quote":null,"evidence_type":"engineering","verification_status":"engineering_choice","refresh_trigger":"Source update or new model release"},{"id":"SRC.T04","title":"Rulebook acceptance review","publisher":"Fictional model acceptance review","url":null,"publication_date":"2026-10-12","access_date":"2026-10-12","locator":"Corrections 1–8 adopted; verdict: accepted with fixes","quote":null,"evidence_type":"engineering","verification_status":"engineering_choice","refresh_trigger":"Revised acceptance overlay or rulebook"},{"id":"SRC.COA","title":"Provisional DATEV SKR04 logical mapping","publisher":"Fictional model preparation","url":null,"publication_date":"2026-10-12","access_date":"2026-10-12","locator":"Schema issues and DATEV SKR04 edition verification","quote":null,"evidence_type":"engineering","verification_status":"pending","refresh_trigger":"Verify the 2027 DATEV SKR04 edition and tax keys before operational use"},{"id":"SRC.CR01","title":"Owner decision: Series B round inputs","publisher":"Model owner","url":null,"publication_date":"2026-10-12","access_date":"2026-10-13","locator":"Decision and values for the FUND.B inputs (illustrative assumption); the shipped plan has no Series B","quote":null,"evidence_type":"owner_decision","verification_status":"owner_accepted","refresh_trigger":"New owner funding decision or model release"}]}}</ns0:bundle>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 economics calculator</dc:title>
  <dc:creator>Igor Sabodakha</dc:creator>
  <dc:description>Mirovest GmbH is fictional. Illustrative calculation — not investment, tax or legal advice. Crypto-assets are highly risky. Copy trading can lose money, including the entire amount invested.</dc:description>
  <cp:lastModifiedBy>Igor Sabodakha</cp:lastModifiedBy>
  <dcterms:created xsi:type="dcterms:W3CDTF">2026-10-16T18:47:11Z</dcterms:created>
  <dcterms:modified xsi:type="dcterms:W3CDTF">2026-10-16T18:47:11Z</dcterms:modified>
</cp:coreProperties>
</file>